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8"/>
  </bookViews>
  <sheets>
    <sheet name="Dec-2011 (O)" sheetId="7" state="hidden" r:id="rId1"/>
    <sheet name="IS (Dec 2011)" sheetId="4" state="hidden" r:id="rId2"/>
    <sheet name="2011-2012--&gt;IS Jul-Dec" sheetId="6" r:id="rId3"/>
    <sheet name="N Jul-Dec" sheetId="5" r:id="rId4"/>
    <sheet name="OneMonth" sheetId="11" r:id="rId5"/>
    <sheet name="Approximate-V" sheetId="12" r:id="rId6"/>
    <sheet name="Approximate-H" sheetId="13" r:id="rId7"/>
    <sheet name="Vlookup-Find" sheetId="14" r:id="rId8"/>
    <sheet name="Vlookup-Match" sheetId="17" r:id="rId9"/>
  </sheets>
  <externalReferences>
    <externalReference r:id="rId10"/>
  </externalReferences>
  <definedNames>
    <definedName name="_xlnm.Print_Area" localSheetId="2">'2011-2012--&gt;IS Jul-Dec'!$A$1:$AG$40</definedName>
    <definedName name="_xlnm.Print_Area" localSheetId="3">'N Jul-Dec'!$A$2:$AH$101</definedName>
    <definedName name="_xlnm.Print_Area" localSheetId="4">OneMonth!$A$1:$G$15</definedName>
    <definedName name="_xlnm.Print_Area" localSheetId="8">'Vlookup-Match'!$A$1:$G$15</definedName>
    <definedName name="_xlnm.Print_Titles" localSheetId="2">'2011-2012--&gt;IS Jul-Dec'!$1:$6</definedName>
    <definedName name="_xlnm.Print_Titles" localSheetId="1">'IS (Dec 2011)'!$A$1:$IV$5</definedName>
    <definedName name="_xlnm.Print_Titles" localSheetId="3">'N Jul-Dec'!$1:$6</definedName>
    <definedName name="_xlnm.Print_Titles" localSheetId="4">OneMonth!$1:$6</definedName>
    <definedName name="_xlnm.Print_Titles" localSheetId="8">'Vlookup-Match'!$1:$6</definedName>
  </definedNames>
  <calcPr calcId="144525"/>
</workbook>
</file>

<file path=xl/calcChain.xml><?xml version="1.0" encoding="utf-8"?>
<calcChain xmlns="http://schemas.openxmlformats.org/spreadsheetml/2006/main">
  <c r="G13" i="17" l="1"/>
  <c r="H13" i="17"/>
  <c r="I13" i="17"/>
  <c r="J13" i="17"/>
  <c r="K13" i="17"/>
  <c r="L13" i="17"/>
  <c r="G9" i="17"/>
  <c r="H9" i="17"/>
  <c r="I9" i="17"/>
  <c r="J9" i="17"/>
  <c r="K9" i="17"/>
  <c r="L9" i="17"/>
  <c r="H7" i="17"/>
  <c r="I7" i="17"/>
  <c r="J7" i="17"/>
  <c r="K7" i="17"/>
  <c r="L7" i="17"/>
  <c r="L11" i="17" s="1"/>
  <c r="G7" i="17"/>
  <c r="H11" i="17"/>
  <c r="H15" i="17" s="1"/>
  <c r="K11" i="17"/>
  <c r="J11" i="17"/>
  <c r="J15" i="17" s="1"/>
  <c r="I11" i="17"/>
  <c r="I15" i="17" s="1"/>
  <c r="K15" i="17" l="1"/>
  <c r="L15" i="17"/>
  <c r="G11" i="17"/>
  <c r="G15" i="17" s="1"/>
  <c r="D13" i="14" l="1"/>
  <c r="I9" i="14" l="1"/>
  <c r="I8" i="14"/>
  <c r="I7" i="14"/>
  <c r="I6" i="14"/>
  <c r="I5" i="14"/>
  <c r="I4" i="14"/>
  <c r="H9" i="14"/>
  <c r="G9" i="14"/>
  <c r="F9" i="14"/>
  <c r="E9" i="14"/>
  <c r="D9" i="14"/>
  <c r="C9" i="14"/>
  <c r="F4" i="13" l="1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G24" i="13" l="1"/>
  <c r="F24" i="13"/>
  <c r="G26" i="13"/>
  <c r="F26" i="13"/>
  <c r="G23" i="13"/>
  <c r="G22" i="13"/>
  <c r="G27" i="13" l="1"/>
  <c r="G25" i="13"/>
  <c r="F25" i="13"/>
  <c r="F23" i="13"/>
  <c r="F21" i="13"/>
  <c r="G21" i="13"/>
  <c r="F22" i="13"/>
  <c r="G18" i="13"/>
  <c r="F27" i="13" l="1"/>
  <c r="E17" i="12"/>
  <c r="G17" i="12" s="1"/>
  <c r="F17" i="12" l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4" i="12"/>
  <c r="F4" i="12" s="1"/>
  <c r="G16" i="12" l="1"/>
  <c r="F26" i="12" s="1"/>
  <c r="G14" i="12"/>
  <c r="G12" i="12"/>
  <c r="G10" i="12"/>
  <c r="G8" i="12"/>
  <c r="G6" i="12"/>
  <c r="G4" i="12"/>
  <c r="G15" i="12"/>
  <c r="G13" i="12"/>
  <c r="G11" i="12"/>
  <c r="G25" i="12" s="1"/>
  <c r="G9" i="12"/>
  <c r="F23" i="12" s="1"/>
  <c r="G7" i="12"/>
  <c r="G5" i="12"/>
  <c r="G27" i="12" s="1"/>
  <c r="F22" i="12"/>
  <c r="G26" i="12"/>
  <c r="F25" i="12"/>
  <c r="F21" i="12"/>
  <c r="H13" i="11"/>
  <c r="I13" i="11"/>
  <c r="J13" i="11"/>
  <c r="K13" i="11"/>
  <c r="L13" i="11"/>
  <c r="G13" i="11"/>
  <c r="H9" i="11"/>
  <c r="I9" i="11"/>
  <c r="J9" i="11"/>
  <c r="K9" i="11"/>
  <c r="L9" i="11"/>
  <c r="G9" i="11"/>
  <c r="H7" i="11"/>
  <c r="I7" i="11"/>
  <c r="J7" i="11"/>
  <c r="K7" i="11"/>
  <c r="L7" i="11"/>
  <c r="G7" i="11"/>
  <c r="G21" i="12" l="1"/>
  <c r="G22" i="12"/>
  <c r="G18" i="12"/>
  <c r="F24" i="12"/>
  <c r="F27" i="12" s="1"/>
  <c r="G24" i="12"/>
  <c r="G23" i="12"/>
  <c r="L11" i="11"/>
  <c r="L15" i="11" s="1"/>
  <c r="K11" i="11"/>
  <c r="K15" i="11" s="1"/>
  <c r="J11" i="11"/>
  <c r="J15" i="11" s="1"/>
  <c r="I11" i="11"/>
  <c r="I15" i="11" s="1"/>
  <c r="H11" i="11"/>
  <c r="H15" i="11" s="1"/>
  <c r="I36" i="6"/>
  <c r="M36" i="6"/>
  <c r="AE36" i="6"/>
  <c r="AA36" i="6"/>
  <c r="W36" i="6"/>
  <c r="S36" i="6"/>
  <c r="O36" i="6"/>
  <c r="K36" i="6"/>
  <c r="G36" i="6"/>
  <c r="A3" i="5"/>
  <c r="G11" i="11" l="1"/>
  <c r="G15" i="11" s="1"/>
  <c r="AG3" i="6"/>
  <c r="H9" i="5" l="1"/>
  <c r="L65" i="5"/>
  <c r="H65" i="5"/>
  <c r="P65" i="5"/>
  <c r="P42" i="5"/>
  <c r="AB26" i="5"/>
  <c r="X11" i="5"/>
  <c r="AB11" i="5"/>
  <c r="S9" i="6"/>
  <c r="S8" i="6"/>
  <c r="W12" i="6"/>
  <c r="W8" i="6"/>
  <c r="Y4" i="6" s="1"/>
  <c r="Y38" i="6" s="1"/>
  <c r="I35" i="6"/>
  <c r="I12" i="6"/>
  <c r="I10" i="6"/>
  <c r="I8" i="6"/>
  <c r="AE12" i="6"/>
  <c r="AE11" i="6"/>
  <c r="AE10" i="6"/>
  <c r="AC4" i="6"/>
  <c r="AC38" i="6" s="1"/>
  <c r="M4" i="6"/>
  <c r="M38" i="6" s="1"/>
  <c r="G8" i="6"/>
  <c r="I39" i="6" s="1"/>
  <c r="K9" i="6"/>
  <c r="M9" i="6" s="1"/>
  <c r="K8" i="6"/>
  <c r="O8" i="6"/>
  <c r="AA8" i="6"/>
  <c r="J100" i="5"/>
  <c r="J99" i="5"/>
  <c r="J98" i="5"/>
  <c r="J97" i="5"/>
  <c r="J95" i="5"/>
  <c r="J94" i="5"/>
  <c r="J92" i="5"/>
  <c r="J91" i="5"/>
  <c r="J90" i="5"/>
  <c r="J88" i="5"/>
  <c r="J87" i="5"/>
  <c r="J86" i="5"/>
  <c r="J85" i="5"/>
  <c r="J84" i="5"/>
  <c r="J82" i="5"/>
  <c r="J81" i="5"/>
  <c r="J79" i="5"/>
  <c r="J78" i="5"/>
  <c r="J77" i="5"/>
  <c r="J76" i="5"/>
  <c r="J75" i="5"/>
  <c r="J72" i="5"/>
  <c r="J71" i="5"/>
  <c r="J70" i="5"/>
  <c r="J68" i="5"/>
  <c r="J67" i="5"/>
  <c r="J66" i="5"/>
  <c r="J65" i="5"/>
  <c r="J64" i="5"/>
  <c r="J63" i="5"/>
  <c r="J61" i="5"/>
  <c r="J60" i="5"/>
  <c r="J59" i="5"/>
  <c r="J58" i="5"/>
  <c r="J57" i="5"/>
  <c r="J56" i="5"/>
  <c r="J55" i="5"/>
  <c r="J53" i="5"/>
  <c r="J52" i="5"/>
  <c r="J48" i="5"/>
  <c r="J46" i="5"/>
  <c r="J45" i="5"/>
  <c r="J44" i="5"/>
  <c r="J43" i="5"/>
  <c r="J42" i="5"/>
  <c r="J41" i="5"/>
  <c r="J39" i="5"/>
  <c r="J38" i="5"/>
  <c r="J36" i="5"/>
  <c r="J35" i="5"/>
  <c r="J34" i="5"/>
  <c r="J33" i="5"/>
  <c r="J31" i="5"/>
  <c r="J30" i="5"/>
  <c r="J29" i="5"/>
  <c r="J28" i="5"/>
  <c r="J27" i="5"/>
  <c r="J26" i="5"/>
  <c r="J24" i="5"/>
  <c r="J23" i="5"/>
  <c r="J22" i="5"/>
  <c r="J21" i="5"/>
  <c r="J20" i="5"/>
  <c r="J19" i="5"/>
  <c r="J17" i="5"/>
  <c r="J16" i="5"/>
  <c r="J15" i="5"/>
  <c r="J14" i="5"/>
  <c r="J13" i="5"/>
  <c r="J12" i="5"/>
  <c r="J11" i="5"/>
  <c r="J10" i="5"/>
  <c r="J9" i="5"/>
  <c r="J8" i="5"/>
  <c r="G7" i="6"/>
  <c r="I7" i="6" s="1"/>
  <c r="AF78" i="5"/>
  <c r="AF22" i="5"/>
  <c r="AF67" i="5"/>
  <c r="AF9" i="5"/>
  <c r="AF99" i="5"/>
  <c r="AF97" i="5"/>
  <c r="AF94" i="5"/>
  <c r="AF91" i="5"/>
  <c r="AF90" i="5"/>
  <c r="AF87" i="5"/>
  <c r="AF86" i="5"/>
  <c r="AF85" i="5"/>
  <c r="AF84" i="5"/>
  <c r="AF83" i="5" s="1"/>
  <c r="AF81" i="5"/>
  <c r="AF76" i="5"/>
  <c r="AF75" i="5"/>
  <c r="AF65" i="5"/>
  <c r="AF64" i="5"/>
  <c r="AF63" i="5"/>
  <c r="AF58" i="5"/>
  <c r="AF56" i="5"/>
  <c r="AF55" i="5"/>
  <c r="AF48" i="5"/>
  <c r="AF44" i="5"/>
  <c r="AF43" i="5"/>
  <c r="AF38" i="5"/>
  <c r="AF35" i="5"/>
  <c r="AF34" i="5"/>
  <c r="AF33" i="5"/>
  <c r="AF32" i="5" s="1"/>
  <c r="AF29" i="5"/>
  <c r="AF28" i="5"/>
  <c r="AF27" i="5"/>
  <c r="AF26" i="5"/>
  <c r="AF16" i="5"/>
  <c r="AF15" i="5" s="1"/>
  <c r="AF13" i="5"/>
  <c r="AF12" i="5"/>
  <c r="AF11" i="5"/>
  <c r="AF10" i="5"/>
  <c r="AF62" i="5" l="1"/>
  <c r="AF89" i="5"/>
  <c r="AE9" i="6"/>
  <c r="AC9" i="6"/>
  <c r="AC11" i="6"/>
  <c r="AC13" i="6"/>
  <c r="AC37" i="6"/>
  <c r="AC39" i="6"/>
  <c r="Q4" i="6"/>
  <c r="M11" i="6"/>
  <c r="M13" i="6"/>
  <c r="M37" i="6"/>
  <c r="M39" i="6"/>
  <c r="U4" i="6"/>
  <c r="U39" i="6" s="1"/>
  <c r="AE8" i="6"/>
  <c r="AC8" i="6"/>
  <c r="AC10" i="6"/>
  <c r="AC12" i="6"/>
  <c r="AC35" i="6"/>
  <c r="M8" i="6"/>
  <c r="M10" i="6"/>
  <c r="M12" i="6"/>
  <c r="M35" i="6"/>
  <c r="I9" i="6"/>
  <c r="I11" i="6"/>
  <c r="I13" i="6"/>
  <c r="I37" i="6"/>
  <c r="U9" i="6"/>
  <c r="U11" i="6"/>
  <c r="U13" i="6"/>
  <c r="U38" i="6"/>
  <c r="U8" i="6"/>
  <c r="U10" i="6"/>
  <c r="U12" i="6"/>
  <c r="U35" i="6"/>
  <c r="U37" i="6"/>
  <c r="Y9" i="6"/>
  <c r="Y11" i="6"/>
  <c r="Y13" i="6"/>
  <c r="Y37" i="6"/>
  <c r="Y39" i="6"/>
  <c r="Y8" i="6"/>
  <c r="Y10" i="6"/>
  <c r="Y12" i="6"/>
  <c r="Y35" i="6"/>
  <c r="AE7" i="6"/>
  <c r="AF96" i="5"/>
  <c r="AF93" i="5"/>
  <c r="AF80" i="5"/>
  <c r="G38" i="6"/>
  <c r="H40" i="5"/>
  <c r="T41" i="5"/>
  <c r="AF41" i="5" s="1"/>
  <c r="T49" i="5"/>
  <c r="AB50" i="5"/>
  <c r="AB8" i="5"/>
  <c r="AB45" i="5"/>
  <c r="AB57" i="5"/>
  <c r="AB39" i="5"/>
  <c r="AB70" i="5"/>
  <c r="AA7" i="6"/>
  <c r="AC7" i="6" s="1"/>
  <c r="X57" i="5"/>
  <c r="T45" i="5"/>
  <c r="X50" i="5"/>
  <c r="X23" i="5"/>
  <c r="X8" i="5"/>
  <c r="Z4" i="5" s="1"/>
  <c r="Z78" i="5" s="1"/>
  <c r="X30" i="5"/>
  <c r="X39" i="5"/>
  <c r="X45" i="5"/>
  <c r="X42" i="5" s="1"/>
  <c r="X70" i="5"/>
  <c r="X7" i="5"/>
  <c r="Z7" i="5" s="1"/>
  <c r="W7" i="6"/>
  <c r="Y7" i="6" s="1"/>
  <c r="T32" i="5"/>
  <c r="T47" i="5"/>
  <c r="T62" i="5"/>
  <c r="T73" i="5"/>
  <c r="T83" i="5"/>
  <c r="T19" i="5"/>
  <c r="AF19" i="5" s="1"/>
  <c r="T21" i="5"/>
  <c r="AF21" i="5" s="1"/>
  <c r="T30" i="5"/>
  <c r="T25" i="5" s="1"/>
  <c r="T57" i="5"/>
  <c r="T54" i="5" s="1"/>
  <c r="T39" i="5"/>
  <c r="T37" i="5" s="1"/>
  <c r="T70" i="5"/>
  <c r="T69" i="5" s="1"/>
  <c r="V4" i="5"/>
  <c r="S7" i="6"/>
  <c r="U7" i="6" s="1"/>
  <c r="P89" i="5"/>
  <c r="P20" i="5"/>
  <c r="P50" i="5"/>
  <c r="P30" i="5"/>
  <c r="F34" i="6"/>
  <c r="O34" i="6" s="1"/>
  <c r="Q34" i="6" s="1"/>
  <c r="P39" i="5"/>
  <c r="P70" i="5"/>
  <c r="P71" i="5"/>
  <c r="R4" i="5"/>
  <c r="R41" i="5" s="1"/>
  <c r="G11" i="7"/>
  <c r="G33" i="6"/>
  <c r="I33" i="6" s="1"/>
  <c r="H7" i="5"/>
  <c r="J7" i="5" s="1"/>
  <c r="L60" i="5"/>
  <c r="AF60" i="5" s="1"/>
  <c r="L70" i="5"/>
  <c r="L7" i="5"/>
  <c r="L54" i="5"/>
  <c r="L32" i="5"/>
  <c r="L15" i="5"/>
  <c r="K33" i="6" s="1"/>
  <c r="M33" i="6" s="1"/>
  <c r="L23" i="5"/>
  <c r="L18" i="5" s="1"/>
  <c r="L49" i="5"/>
  <c r="L47" i="5" s="1"/>
  <c r="L39" i="5"/>
  <c r="L89" i="5"/>
  <c r="L30" i="5"/>
  <c r="L25" i="5" s="1"/>
  <c r="L42" i="5"/>
  <c r="L71" i="5"/>
  <c r="L69" i="5" l="1"/>
  <c r="AF71" i="5"/>
  <c r="P23" i="5"/>
  <c r="AF20" i="5"/>
  <c r="AF30" i="5"/>
  <c r="AF25" i="5" s="1"/>
  <c r="AF39" i="5"/>
  <c r="AB42" i="5"/>
  <c r="AF42" i="5" s="1"/>
  <c r="AF45" i="5"/>
  <c r="AE38" i="6"/>
  <c r="I38" i="6"/>
  <c r="Q39" i="6"/>
  <c r="Q37" i="6"/>
  <c r="Q13" i="6"/>
  <c r="Q11" i="6"/>
  <c r="Q9" i="6"/>
  <c r="Q38" i="6"/>
  <c r="Q35" i="6"/>
  <c r="Q12" i="6"/>
  <c r="Q10" i="6"/>
  <c r="AF70" i="5"/>
  <c r="AF69" i="5" s="1"/>
  <c r="AF57" i="5"/>
  <c r="AF54" i="5" s="1"/>
  <c r="AF8" i="5"/>
  <c r="AF7" i="5" s="1"/>
  <c r="J40" i="5"/>
  <c r="AF40" i="5"/>
  <c r="AG7" i="6"/>
  <c r="Q8" i="6"/>
  <c r="AD4" i="5"/>
  <c r="T23" i="5"/>
  <c r="T18" i="5" s="1"/>
  <c r="L37" i="5"/>
  <c r="AD42" i="5"/>
  <c r="R86" i="5"/>
  <c r="AD9" i="5"/>
  <c r="AD11" i="5"/>
  <c r="AD13" i="5"/>
  <c r="AD16" i="5"/>
  <c r="AD19" i="5"/>
  <c r="AD21" i="5"/>
  <c r="AD23" i="5"/>
  <c r="AD26" i="5"/>
  <c r="AD28" i="5"/>
  <c r="AD30" i="5"/>
  <c r="AD33" i="5"/>
  <c r="AD35" i="5"/>
  <c r="AD38" i="5"/>
  <c r="AD40" i="5"/>
  <c r="AD43" i="5"/>
  <c r="AD45" i="5"/>
  <c r="AD48" i="5"/>
  <c r="AD50" i="5"/>
  <c r="AD52" i="5"/>
  <c r="AD55" i="5"/>
  <c r="AD57" i="5"/>
  <c r="AD59" i="5"/>
  <c r="AD61" i="5"/>
  <c r="AD64" i="5"/>
  <c r="AD66" i="5"/>
  <c r="AD68" i="5"/>
  <c r="AD72" i="5"/>
  <c r="AD75" i="5"/>
  <c r="AD77" i="5"/>
  <c r="AD79" i="5"/>
  <c r="AD82" i="5"/>
  <c r="AD85" i="5"/>
  <c r="AD87" i="5"/>
  <c r="AD90" i="5"/>
  <c r="AD92" i="5"/>
  <c r="AD95" i="5"/>
  <c r="AD98" i="5"/>
  <c r="AD100" i="5"/>
  <c r="R90" i="5"/>
  <c r="AD8" i="5"/>
  <c r="AD10" i="5"/>
  <c r="AD12" i="5"/>
  <c r="AD14" i="5"/>
  <c r="AD17" i="5"/>
  <c r="AD20" i="5"/>
  <c r="AD22" i="5"/>
  <c r="AD24" i="5"/>
  <c r="AD27" i="5"/>
  <c r="AD29" i="5"/>
  <c r="AD31" i="5"/>
  <c r="AD34" i="5"/>
  <c r="AD36" i="5"/>
  <c r="AD39" i="5"/>
  <c r="AD41" i="5"/>
  <c r="AD44" i="5"/>
  <c r="AD46" i="5"/>
  <c r="AD49" i="5"/>
  <c r="AD51" i="5"/>
  <c r="AD53" i="5"/>
  <c r="AD56" i="5"/>
  <c r="AD58" i="5"/>
  <c r="AD60" i="5"/>
  <c r="AD63" i="5"/>
  <c r="AD65" i="5"/>
  <c r="AD67" i="5"/>
  <c r="AD71" i="5"/>
  <c r="AD74" i="5"/>
  <c r="AD76" i="5"/>
  <c r="AD78" i="5"/>
  <c r="AD81" i="5"/>
  <c r="AD84" i="5"/>
  <c r="AD86" i="5"/>
  <c r="AD88" i="5"/>
  <c r="AD91" i="5"/>
  <c r="AD94" i="5"/>
  <c r="AD97" i="5"/>
  <c r="AD99" i="5"/>
  <c r="AD70" i="5"/>
  <c r="AA34" i="6"/>
  <c r="AC34" i="6" s="1"/>
  <c r="S34" i="6"/>
  <c r="U34" i="6" s="1"/>
  <c r="W34" i="6"/>
  <c r="Y34" i="6" s="1"/>
  <c r="V100" i="5"/>
  <c r="V98" i="5"/>
  <c r="V95" i="5"/>
  <c r="V92" i="5"/>
  <c r="V90" i="5"/>
  <c r="V87" i="5"/>
  <c r="V85" i="5"/>
  <c r="V82" i="5"/>
  <c r="V79" i="5"/>
  <c r="V77" i="5"/>
  <c r="V75" i="5"/>
  <c r="V72" i="5"/>
  <c r="V68" i="5"/>
  <c r="V66" i="5"/>
  <c r="V64" i="5"/>
  <c r="V61" i="5"/>
  <c r="V59" i="5"/>
  <c r="V57" i="5"/>
  <c r="V55" i="5"/>
  <c r="V52" i="5"/>
  <c r="V50" i="5"/>
  <c r="V46" i="5"/>
  <c r="V44" i="5"/>
  <c r="V42" i="5"/>
  <c r="V40" i="5"/>
  <c r="V38" i="5"/>
  <c r="V35" i="5"/>
  <c r="V33" i="5"/>
  <c r="V30" i="5"/>
  <c r="V28" i="5"/>
  <c r="V26" i="5"/>
  <c r="V23" i="5"/>
  <c r="V21" i="5"/>
  <c r="V19" i="5"/>
  <c r="V16" i="5"/>
  <c r="V14" i="5"/>
  <c r="V12" i="5"/>
  <c r="V10" i="5"/>
  <c r="V8" i="5"/>
  <c r="V99" i="5"/>
  <c r="V97" i="5"/>
  <c r="V94" i="5"/>
  <c r="V91" i="5"/>
  <c r="V88" i="5"/>
  <c r="V86" i="5"/>
  <c r="V84" i="5"/>
  <c r="V81" i="5"/>
  <c r="V78" i="5"/>
  <c r="V76" i="5"/>
  <c r="V74" i="5"/>
  <c r="V71" i="5"/>
  <c r="V67" i="5"/>
  <c r="V65" i="5"/>
  <c r="V63" i="5"/>
  <c r="V60" i="5"/>
  <c r="V58" i="5"/>
  <c r="V56" i="5"/>
  <c r="V53" i="5"/>
  <c r="V51" i="5"/>
  <c r="V48" i="5"/>
  <c r="V45" i="5"/>
  <c r="V43" i="5"/>
  <c r="V41" i="5"/>
  <c r="V39" i="5"/>
  <c r="V36" i="5"/>
  <c r="V34" i="5"/>
  <c r="V31" i="5"/>
  <c r="V29" i="5"/>
  <c r="V27" i="5"/>
  <c r="V24" i="5"/>
  <c r="V22" i="5"/>
  <c r="V20" i="5"/>
  <c r="V17" i="5"/>
  <c r="V13" i="5"/>
  <c r="V11" i="5"/>
  <c r="V9" i="5"/>
  <c r="V70" i="5"/>
  <c r="V49" i="5"/>
  <c r="R85" i="5"/>
  <c r="K34" i="6"/>
  <c r="M34" i="6" s="1"/>
  <c r="G34" i="6"/>
  <c r="I34" i="6" s="1"/>
  <c r="R9" i="5"/>
  <c r="R43" i="5"/>
  <c r="R40" i="5"/>
  <c r="R99" i="5"/>
  <c r="R57" i="5"/>
  <c r="R8" i="5"/>
  <c r="R39" i="5"/>
  <c r="W94" i="7"/>
  <c r="U93" i="7"/>
  <c r="W91" i="7"/>
  <c r="U90" i="7"/>
  <c r="W90" i="7" s="1"/>
  <c r="W88" i="7"/>
  <c r="U87" i="7"/>
  <c r="W87" i="7" s="1"/>
  <c r="W85" i="7"/>
  <c r="W84" i="7"/>
  <c r="U83" i="7"/>
  <c r="W83" i="7" s="1"/>
  <c r="W81" i="7"/>
  <c r="U80" i="7"/>
  <c r="W80" i="7" s="1"/>
  <c r="W78" i="7"/>
  <c r="W76" i="7"/>
  <c r="W75" i="7"/>
  <c r="U74" i="7"/>
  <c r="W74" i="7" s="1"/>
  <c r="W71" i="7"/>
  <c r="W70" i="7"/>
  <c r="U69" i="7"/>
  <c r="W69" i="7" s="1"/>
  <c r="W67" i="7"/>
  <c r="W65" i="7"/>
  <c r="W64" i="7"/>
  <c r="W63" i="7"/>
  <c r="U62" i="7"/>
  <c r="W62" i="7" s="1"/>
  <c r="W60" i="7"/>
  <c r="W58" i="7"/>
  <c r="W57" i="7"/>
  <c r="W56" i="7"/>
  <c r="U55" i="7"/>
  <c r="W55" i="7" s="1"/>
  <c r="U48" i="7"/>
  <c r="W48" i="7" s="1"/>
  <c r="U47" i="7"/>
  <c r="W47" i="7" s="1"/>
  <c r="U46" i="7"/>
  <c r="W46" i="7" s="1"/>
  <c r="W45" i="7"/>
  <c r="U44" i="7"/>
  <c r="W44" i="7" s="1"/>
  <c r="W42" i="7"/>
  <c r="W41" i="7"/>
  <c r="W40" i="7"/>
  <c r="W39" i="7"/>
  <c r="W38" i="7"/>
  <c r="U37" i="7"/>
  <c r="W37" i="7" s="1"/>
  <c r="W35" i="7"/>
  <c r="W34" i="7"/>
  <c r="W33" i="7"/>
  <c r="U32" i="7"/>
  <c r="W32" i="7" s="1"/>
  <c r="W30" i="7"/>
  <c r="W29" i="7"/>
  <c r="W28" i="7"/>
  <c r="W27" i="7"/>
  <c r="W26" i="7"/>
  <c r="U25" i="7"/>
  <c r="W25" i="7" s="1"/>
  <c r="W23" i="7"/>
  <c r="W22" i="7"/>
  <c r="W21" i="7"/>
  <c r="W20" i="7"/>
  <c r="W19" i="7"/>
  <c r="U18" i="7"/>
  <c r="W18" i="7" s="1"/>
  <c r="W16" i="7"/>
  <c r="W15" i="7"/>
  <c r="W13" i="7"/>
  <c r="W12" i="7"/>
  <c r="W11" i="7"/>
  <c r="W10" i="7"/>
  <c r="W9" i="7"/>
  <c r="W8" i="7"/>
  <c r="U7" i="7"/>
  <c r="W7" i="7" s="1"/>
  <c r="I34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9" i="7"/>
  <c r="I8" i="7"/>
  <c r="G7" i="7"/>
  <c r="G32" i="7" s="1"/>
  <c r="AB7" i="5"/>
  <c r="AD7" i="5" s="1"/>
  <c r="AB96" i="5"/>
  <c r="AB93" i="5"/>
  <c r="AB89" i="5"/>
  <c r="AB83" i="5"/>
  <c r="AB80" i="5"/>
  <c r="AB73" i="5"/>
  <c r="AB69" i="5"/>
  <c r="AB62" i="5"/>
  <c r="AB54" i="5"/>
  <c r="AB47" i="5"/>
  <c r="AB37" i="5"/>
  <c r="AB32" i="5"/>
  <c r="AB25" i="5"/>
  <c r="AB18" i="5"/>
  <c r="AB15" i="5"/>
  <c r="X96" i="5"/>
  <c r="X93" i="5"/>
  <c r="X89" i="5"/>
  <c r="X83" i="5"/>
  <c r="X80" i="5"/>
  <c r="X73" i="5"/>
  <c r="X69" i="5"/>
  <c r="X62" i="5"/>
  <c r="X54" i="5"/>
  <c r="X47" i="5"/>
  <c r="X37" i="5"/>
  <c r="X32" i="5"/>
  <c r="X25" i="5"/>
  <c r="X18" i="5"/>
  <c r="X15" i="5"/>
  <c r="W33" i="6" s="1"/>
  <c r="Y33" i="6" s="1"/>
  <c r="Z8" i="5"/>
  <c r="T96" i="5"/>
  <c r="T93" i="5"/>
  <c r="T89" i="5"/>
  <c r="T80" i="5"/>
  <c r="T15" i="5"/>
  <c r="T7" i="5"/>
  <c r="P96" i="5"/>
  <c r="P93" i="5"/>
  <c r="P83" i="5"/>
  <c r="P80" i="5"/>
  <c r="P73" i="5"/>
  <c r="P69" i="5"/>
  <c r="P62" i="5"/>
  <c r="P54" i="5"/>
  <c r="P47" i="5"/>
  <c r="P37" i="5"/>
  <c r="P32" i="5"/>
  <c r="P25" i="5"/>
  <c r="P18" i="5"/>
  <c r="P15" i="5"/>
  <c r="O33" i="6" s="1"/>
  <c r="Q33" i="6" s="1"/>
  <c r="P7" i="5"/>
  <c r="R7" i="5" s="1"/>
  <c r="O7" i="6"/>
  <c r="Q7" i="6" s="1"/>
  <c r="AF23" i="5" l="1"/>
  <c r="AG39" i="6"/>
  <c r="AG10" i="6"/>
  <c r="AG35" i="6"/>
  <c r="AG11" i="6"/>
  <c r="AG37" i="6"/>
  <c r="AH3" i="5"/>
  <c r="AH69" i="5" s="1"/>
  <c r="AG8" i="6"/>
  <c r="AG12" i="6"/>
  <c r="AG9" i="6"/>
  <c r="AG13" i="6"/>
  <c r="AG38" i="6"/>
  <c r="AF37" i="5"/>
  <c r="AH25" i="5"/>
  <c r="N41" i="5"/>
  <c r="N86" i="5"/>
  <c r="N99" i="5"/>
  <c r="N90" i="5"/>
  <c r="N85" i="5"/>
  <c r="N67" i="5"/>
  <c r="N57" i="5"/>
  <c r="N43" i="5"/>
  <c r="N12" i="5"/>
  <c r="N19" i="5"/>
  <c r="N23" i="5"/>
  <c r="N29" i="5"/>
  <c r="N35" i="5"/>
  <c r="N44" i="5"/>
  <c r="N50" i="5"/>
  <c r="N55" i="5"/>
  <c r="N58" i="5"/>
  <c r="N64" i="5"/>
  <c r="N70" i="5"/>
  <c r="N74" i="5"/>
  <c r="N76" i="5"/>
  <c r="N81" i="5"/>
  <c r="N87" i="5"/>
  <c r="N94" i="5"/>
  <c r="N9" i="5"/>
  <c r="N60" i="5"/>
  <c r="N39" i="5"/>
  <c r="N8" i="5"/>
  <c r="N11" i="5"/>
  <c r="N21" i="5"/>
  <c r="N27" i="5"/>
  <c r="N33" i="5"/>
  <c r="N40" i="5"/>
  <c r="N48" i="5"/>
  <c r="N10" i="5"/>
  <c r="N13" i="5"/>
  <c r="N16" i="5"/>
  <c r="N20" i="5"/>
  <c r="N22" i="5"/>
  <c r="N26" i="5"/>
  <c r="N28" i="5"/>
  <c r="N30" i="5"/>
  <c r="N34" i="5"/>
  <c r="N38" i="5"/>
  <c r="N42" i="5"/>
  <c r="N45" i="5"/>
  <c r="N49" i="5"/>
  <c r="N51" i="5"/>
  <c r="N56" i="5"/>
  <c r="N63" i="5"/>
  <c r="N65" i="5"/>
  <c r="N71" i="5"/>
  <c r="N75" i="5"/>
  <c r="N78" i="5"/>
  <c r="N84" i="5"/>
  <c r="N91" i="5"/>
  <c r="N97" i="5"/>
  <c r="AE34" i="6"/>
  <c r="AG34" i="6" s="1"/>
  <c r="V15" i="5"/>
  <c r="S33" i="6"/>
  <c r="U33" i="6" s="1"/>
  <c r="P101" i="5"/>
  <c r="P105" i="5" s="1"/>
  <c r="AD96" i="5"/>
  <c r="AD18" i="5"/>
  <c r="AD93" i="5"/>
  <c r="AD89" i="5"/>
  <c r="AD83" i="5"/>
  <c r="AD80" i="5"/>
  <c r="AD47" i="5"/>
  <c r="AD15" i="5"/>
  <c r="AA33" i="6"/>
  <c r="AC33" i="6" s="1"/>
  <c r="AD62" i="5"/>
  <c r="AD73" i="5"/>
  <c r="AD54" i="5"/>
  <c r="AD32" i="5"/>
  <c r="AD69" i="5"/>
  <c r="AD25" i="5"/>
  <c r="AD37" i="5"/>
  <c r="Z100" i="5"/>
  <c r="Z98" i="5"/>
  <c r="Z96" i="5"/>
  <c r="Z94" i="5"/>
  <c r="Z92" i="5"/>
  <c r="Z90" i="5"/>
  <c r="Z88" i="5"/>
  <c r="Z86" i="5"/>
  <c r="Z84" i="5"/>
  <c r="Z82" i="5"/>
  <c r="Z76" i="5"/>
  <c r="Z74" i="5"/>
  <c r="Z70" i="5"/>
  <c r="Z66" i="5"/>
  <c r="Z62" i="5"/>
  <c r="Z56" i="5"/>
  <c r="Z52" i="5"/>
  <c r="Z50" i="5"/>
  <c r="Z46" i="5"/>
  <c r="Z42" i="5"/>
  <c r="Z38" i="5"/>
  <c r="Z34" i="5"/>
  <c r="Z30" i="5"/>
  <c r="Z26" i="5"/>
  <c r="Z22" i="5"/>
  <c r="Z16" i="5"/>
  <c r="Z14" i="5"/>
  <c r="Z10" i="5"/>
  <c r="Z99" i="5"/>
  <c r="Z97" i="5"/>
  <c r="Z95" i="5"/>
  <c r="Z93" i="5"/>
  <c r="Z91" i="5"/>
  <c r="Z89" i="5"/>
  <c r="Z87" i="5"/>
  <c r="Z85" i="5"/>
  <c r="Z83" i="5"/>
  <c r="Z81" i="5"/>
  <c r="Z79" i="5"/>
  <c r="Z77" i="5"/>
  <c r="Z75" i="5"/>
  <c r="Z73" i="5"/>
  <c r="Z71" i="5"/>
  <c r="Z69" i="5"/>
  <c r="Z67" i="5"/>
  <c r="Z65" i="5"/>
  <c r="Z63" i="5"/>
  <c r="Z61" i="5"/>
  <c r="Z59" i="5"/>
  <c r="Z57" i="5"/>
  <c r="Z55" i="5"/>
  <c r="Z53" i="5"/>
  <c r="Z51" i="5"/>
  <c r="Z49" i="5"/>
  <c r="Z47" i="5"/>
  <c r="Z45" i="5"/>
  <c r="Z43" i="5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80" i="5"/>
  <c r="Z72" i="5"/>
  <c r="Z68" i="5"/>
  <c r="Z64" i="5"/>
  <c r="Z60" i="5"/>
  <c r="Z58" i="5"/>
  <c r="Z54" i="5"/>
  <c r="Z48" i="5"/>
  <c r="Z44" i="5"/>
  <c r="Z40" i="5"/>
  <c r="Z36" i="5"/>
  <c r="Z32" i="5"/>
  <c r="Z28" i="5"/>
  <c r="Z24" i="5"/>
  <c r="Z20" i="5"/>
  <c r="Z18" i="5"/>
  <c r="Z12" i="5"/>
  <c r="T101" i="5"/>
  <c r="T105" i="5" s="1"/>
  <c r="V93" i="5"/>
  <c r="V96" i="5"/>
  <c r="V18" i="5"/>
  <c r="V89" i="5"/>
  <c r="V83" i="5"/>
  <c r="V80" i="5"/>
  <c r="V47" i="5"/>
  <c r="V62" i="5"/>
  <c r="V25" i="5"/>
  <c r="V7" i="5"/>
  <c r="V73" i="5"/>
  <c r="V54" i="5"/>
  <c r="V32" i="5"/>
  <c r="V69" i="5"/>
  <c r="V37" i="5"/>
  <c r="R11" i="5"/>
  <c r="R18" i="5"/>
  <c r="R26" i="5"/>
  <c r="R30" i="5"/>
  <c r="R35" i="5"/>
  <c r="R42" i="5"/>
  <c r="R48" i="5"/>
  <c r="R54" i="5"/>
  <c r="R60" i="5"/>
  <c r="R65" i="5"/>
  <c r="R71" i="5"/>
  <c r="R76" i="5"/>
  <c r="R83" i="5"/>
  <c r="R91" i="5"/>
  <c r="R94" i="5"/>
  <c r="R13" i="5"/>
  <c r="R20" i="5"/>
  <c r="R22" i="5"/>
  <c r="R28" i="5"/>
  <c r="R33" i="5"/>
  <c r="R38" i="5"/>
  <c r="R45" i="5"/>
  <c r="R50" i="5"/>
  <c r="R56" i="5"/>
  <c r="R63" i="5"/>
  <c r="R69" i="5"/>
  <c r="R74" i="5"/>
  <c r="R80" i="5"/>
  <c r="R87" i="5"/>
  <c r="R97" i="5"/>
  <c r="R15" i="5"/>
  <c r="R25" i="5"/>
  <c r="R10" i="5"/>
  <c r="R12" i="5"/>
  <c r="R16" i="5"/>
  <c r="R19" i="5"/>
  <c r="R21" i="5"/>
  <c r="R23" i="5"/>
  <c r="R27" i="5"/>
  <c r="R29" i="5"/>
  <c r="R32" i="5"/>
  <c r="R34" i="5"/>
  <c r="R37" i="5"/>
  <c r="R44" i="5"/>
  <c r="R47" i="5"/>
  <c r="R49" i="5"/>
  <c r="R51" i="5"/>
  <c r="R55" i="5"/>
  <c r="R58" i="5"/>
  <c r="R62" i="5"/>
  <c r="R64" i="5"/>
  <c r="R67" i="5"/>
  <c r="R70" i="5"/>
  <c r="R73" i="5"/>
  <c r="R75" i="5"/>
  <c r="R78" i="5"/>
  <c r="R81" i="5"/>
  <c r="R84" i="5"/>
  <c r="R89" i="5"/>
  <c r="R93" i="5"/>
  <c r="R96" i="5"/>
  <c r="U73" i="7"/>
  <c r="W73" i="7" s="1"/>
  <c r="W93" i="7"/>
  <c r="G36" i="7"/>
  <c r="I36" i="7" s="1"/>
  <c r="I32" i="7"/>
  <c r="I7" i="7"/>
  <c r="R101" i="5"/>
  <c r="AB101" i="5"/>
  <c r="X101" i="5"/>
  <c r="X105" i="5" s="1"/>
  <c r="V101" i="5"/>
  <c r="K7" i="6"/>
  <c r="M7" i="6" s="1"/>
  <c r="N15" i="5"/>
  <c r="L96" i="5"/>
  <c r="N96" i="5" s="1"/>
  <c r="L93" i="5"/>
  <c r="N93" i="5" s="1"/>
  <c r="N89" i="5"/>
  <c r="L83" i="5"/>
  <c r="L80" i="5"/>
  <c r="N80" i="5" s="1"/>
  <c r="L73" i="5"/>
  <c r="N73" i="5" s="1"/>
  <c r="N69" i="5"/>
  <c r="L62" i="5"/>
  <c r="N62" i="5" s="1"/>
  <c r="N54" i="5"/>
  <c r="N47" i="5"/>
  <c r="N37" i="5"/>
  <c r="N32" i="5"/>
  <c r="N25" i="5"/>
  <c r="N18" i="5"/>
  <c r="N7" i="5"/>
  <c r="F14" i="7"/>
  <c r="F21" i="7"/>
  <c r="F16" i="7"/>
  <c r="H83" i="5"/>
  <c r="J83" i="5" s="1"/>
  <c r="H69" i="5"/>
  <c r="H18" i="5"/>
  <c r="H62" i="5"/>
  <c r="H54" i="5"/>
  <c r="H37" i="5"/>
  <c r="H32" i="5"/>
  <c r="H25" i="5"/>
  <c r="F12" i="7"/>
  <c r="H96" i="5"/>
  <c r="H93" i="5"/>
  <c r="J93" i="5" s="1"/>
  <c r="H89" i="5"/>
  <c r="J89" i="5" s="1"/>
  <c r="H80" i="5"/>
  <c r="J80" i="5" s="1"/>
  <c r="H74" i="5"/>
  <c r="H50" i="5"/>
  <c r="H49" i="5"/>
  <c r="H51" i="5"/>
  <c r="K128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H83" i="4"/>
  <c r="K83" i="4" s="1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G48" i="4"/>
  <c r="G49" i="4" s="1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G29" i="4"/>
  <c r="K28" i="4"/>
  <c r="G28" i="4"/>
  <c r="K27" i="4"/>
  <c r="K26" i="4"/>
  <c r="K25" i="4"/>
  <c r="K24" i="4"/>
  <c r="K23" i="4"/>
  <c r="G23" i="4"/>
  <c r="K22" i="4"/>
  <c r="G22" i="4"/>
  <c r="K21" i="4"/>
  <c r="K20" i="4"/>
  <c r="K19" i="4"/>
  <c r="K18" i="4"/>
  <c r="K17" i="4"/>
  <c r="K16" i="4"/>
  <c r="K15" i="4"/>
  <c r="K14" i="4"/>
  <c r="K13" i="4"/>
  <c r="K11" i="4"/>
  <c r="H11" i="4"/>
  <c r="H131" i="4" s="1"/>
  <c r="K9" i="4"/>
  <c r="G8" i="4"/>
  <c r="K8" i="4" s="1"/>
  <c r="H47" i="5" l="1"/>
  <c r="J49" i="5"/>
  <c r="AF49" i="5"/>
  <c r="H73" i="5"/>
  <c r="AF74" i="5"/>
  <c r="J74" i="5"/>
  <c r="F22" i="7"/>
  <c r="J96" i="5"/>
  <c r="F13" i="7"/>
  <c r="J25" i="5"/>
  <c r="F20" i="7"/>
  <c r="J69" i="5"/>
  <c r="AH37" i="5"/>
  <c r="AH23" i="5"/>
  <c r="AF18" i="5"/>
  <c r="AH18" i="5" s="1"/>
  <c r="AF51" i="5"/>
  <c r="AH51" i="5" s="1"/>
  <c r="J51" i="5"/>
  <c r="J50" i="5"/>
  <c r="AF50" i="5"/>
  <c r="AH50" i="5" s="1"/>
  <c r="F24" i="7"/>
  <c r="J32" i="5"/>
  <c r="F15" i="7"/>
  <c r="J54" i="5"/>
  <c r="F19" i="7"/>
  <c r="J18" i="5"/>
  <c r="AH7" i="5"/>
  <c r="AH89" i="5"/>
  <c r="AH15" i="5"/>
  <c r="AH98" i="5"/>
  <c r="AH83" i="5"/>
  <c r="AH62" i="5"/>
  <c r="AH32" i="5"/>
  <c r="AH93" i="5"/>
  <c r="AH80" i="5"/>
  <c r="AH100" i="5"/>
  <c r="AH95" i="5"/>
  <c r="AH90" i="5"/>
  <c r="AH85" i="5"/>
  <c r="AH79" i="5"/>
  <c r="AH75" i="5"/>
  <c r="AH70" i="5"/>
  <c r="AH65" i="5"/>
  <c r="AH60" i="5"/>
  <c r="AH56" i="5"/>
  <c r="AH46" i="5"/>
  <c r="AH42" i="5"/>
  <c r="AH38" i="5"/>
  <c r="AH33" i="5"/>
  <c r="AH28" i="5"/>
  <c r="AH19" i="5"/>
  <c r="AH13" i="5"/>
  <c r="AH9" i="5"/>
  <c r="AH94" i="5"/>
  <c r="AH88" i="5"/>
  <c r="AH84" i="5"/>
  <c r="AH78" i="5"/>
  <c r="AH68" i="5"/>
  <c r="AH64" i="5"/>
  <c r="AH59" i="5"/>
  <c r="AH55" i="5"/>
  <c r="AH45" i="5"/>
  <c r="AH41" i="5"/>
  <c r="AH36" i="5"/>
  <c r="AH31" i="5"/>
  <c r="AH27" i="5"/>
  <c r="AH22" i="5"/>
  <c r="AH17" i="5"/>
  <c r="AH12" i="5"/>
  <c r="AH8" i="5"/>
  <c r="AH96" i="5"/>
  <c r="AH99" i="5"/>
  <c r="AH92" i="5"/>
  <c r="AH87" i="5"/>
  <c r="AH82" i="5"/>
  <c r="AH77" i="5"/>
  <c r="AH72" i="5"/>
  <c r="AH67" i="5"/>
  <c r="AH63" i="5"/>
  <c r="AH58" i="5"/>
  <c r="AH53" i="5"/>
  <c r="AH44" i="5"/>
  <c r="AH40" i="5"/>
  <c r="AH35" i="5"/>
  <c r="AH30" i="5"/>
  <c r="AH26" i="5"/>
  <c r="AH21" i="5"/>
  <c r="AH16" i="5"/>
  <c r="AH11" i="5"/>
  <c r="AH97" i="5"/>
  <c r="AH91" i="5"/>
  <c r="AH86" i="5"/>
  <c r="AH81" i="5"/>
  <c r="AH76" i="5"/>
  <c r="AH71" i="5"/>
  <c r="AH66" i="5"/>
  <c r="AH61" i="5"/>
  <c r="AH57" i="5"/>
  <c r="AH52" i="5"/>
  <c r="AH48" i="5"/>
  <c r="AH43" i="5"/>
  <c r="AH39" i="5"/>
  <c r="AH34" i="5"/>
  <c r="AH29" i="5"/>
  <c r="AH24" i="5"/>
  <c r="AH20" i="5"/>
  <c r="AH14" i="5"/>
  <c r="AH10" i="5"/>
  <c r="U96" i="7"/>
  <c r="W96" i="7" s="1"/>
  <c r="AH54" i="5"/>
  <c r="F25" i="7"/>
  <c r="J62" i="5"/>
  <c r="F23" i="7"/>
  <c r="J37" i="5"/>
  <c r="AE33" i="6"/>
  <c r="AG33" i="6" s="1"/>
  <c r="F29" i="6"/>
  <c r="F26" i="7"/>
  <c r="F32" i="6"/>
  <c r="F29" i="7"/>
  <c r="F30" i="6"/>
  <c r="F27" i="7"/>
  <c r="AD101" i="5"/>
  <c r="AB105" i="5"/>
  <c r="F27" i="6"/>
  <c r="O27" i="6" s="1"/>
  <c r="Q27" i="6" s="1"/>
  <c r="F25" i="6"/>
  <c r="O25" i="6" s="1"/>
  <c r="Q25" i="6" s="1"/>
  <c r="F21" i="6"/>
  <c r="O21" i="6" s="1"/>
  <c r="Q21" i="6" s="1"/>
  <c r="F22" i="6"/>
  <c r="O22" i="6" s="1"/>
  <c r="Q22" i="6" s="1"/>
  <c r="F19" i="6"/>
  <c r="AA19" i="6" s="1"/>
  <c r="AC19" i="6" s="1"/>
  <c r="F17" i="6"/>
  <c r="AA17" i="6" s="1"/>
  <c r="AC17" i="6" s="1"/>
  <c r="F15" i="6"/>
  <c r="AA15" i="6" s="1"/>
  <c r="AC15" i="6" s="1"/>
  <c r="F28" i="6"/>
  <c r="O28" i="6" s="1"/>
  <c r="Q28" i="6" s="1"/>
  <c r="F26" i="6"/>
  <c r="O26" i="6" s="1"/>
  <c r="Q26" i="6" s="1"/>
  <c r="F24" i="6"/>
  <c r="AA24" i="6" s="1"/>
  <c r="AC24" i="6" s="1"/>
  <c r="F23" i="6"/>
  <c r="O23" i="6" s="1"/>
  <c r="Q23" i="6" s="1"/>
  <c r="F20" i="6"/>
  <c r="O20" i="6" s="1"/>
  <c r="Q20" i="6" s="1"/>
  <c r="F18" i="6"/>
  <c r="O18" i="6" s="1"/>
  <c r="Q18" i="6" s="1"/>
  <c r="F16" i="6"/>
  <c r="O16" i="6" s="1"/>
  <c r="Q16" i="6" s="1"/>
  <c r="AA26" i="6"/>
  <c r="AC26" i="6" s="1"/>
  <c r="AA21" i="6"/>
  <c r="AC21" i="6" s="1"/>
  <c r="AA28" i="6"/>
  <c r="AC28" i="6" s="1"/>
  <c r="AA27" i="6"/>
  <c r="AC27" i="6" s="1"/>
  <c r="AA22" i="6"/>
  <c r="AC22" i="6" s="1"/>
  <c r="AA25" i="6"/>
  <c r="AC25" i="6" s="1"/>
  <c r="O15" i="6"/>
  <c r="Q15" i="6" s="1"/>
  <c r="W15" i="6"/>
  <c r="Y15" i="6" s="1"/>
  <c r="O24" i="6"/>
  <c r="Q24" i="6" s="1"/>
  <c r="W24" i="6"/>
  <c r="Y24" i="6" s="1"/>
  <c r="S24" i="6"/>
  <c r="U24" i="6" s="1"/>
  <c r="S26" i="6"/>
  <c r="U26" i="6" s="1"/>
  <c r="S23" i="6"/>
  <c r="U23" i="6" s="1"/>
  <c r="S27" i="6"/>
  <c r="U27" i="6" s="1"/>
  <c r="S18" i="6"/>
  <c r="U18" i="6" s="1"/>
  <c r="S21" i="6"/>
  <c r="U21" i="6" s="1"/>
  <c r="S15" i="6"/>
  <c r="U15" i="6" s="1"/>
  <c r="S16" i="6"/>
  <c r="U16" i="6" s="1"/>
  <c r="S28" i="6"/>
  <c r="U28" i="6" s="1"/>
  <c r="S20" i="6"/>
  <c r="U20" i="6" s="1"/>
  <c r="W23" i="6"/>
  <c r="Y23" i="6" s="1"/>
  <c r="W26" i="6"/>
  <c r="Y26" i="6" s="1"/>
  <c r="W27" i="6"/>
  <c r="Y27" i="6" s="1"/>
  <c r="W28" i="6"/>
  <c r="Y28" i="6" s="1"/>
  <c r="W22" i="6"/>
  <c r="Y22" i="6" s="1"/>
  <c r="O19" i="6"/>
  <c r="Q19" i="6" s="1"/>
  <c r="W19" i="6"/>
  <c r="Y19" i="6" s="1"/>
  <c r="S19" i="6"/>
  <c r="U19" i="6" s="1"/>
  <c r="O17" i="6"/>
  <c r="Q17" i="6" s="1"/>
  <c r="W17" i="6"/>
  <c r="Y17" i="6" s="1"/>
  <c r="S17" i="6"/>
  <c r="U17" i="6" s="1"/>
  <c r="S22" i="6"/>
  <c r="U22" i="6" s="1"/>
  <c r="S25" i="6"/>
  <c r="U25" i="6" s="1"/>
  <c r="W25" i="6"/>
  <c r="Y25" i="6" s="1"/>
  <c r="W18" i="6"/>
  <c r="Y18" i="6" s="1"/>
  <c r="W16" i="6"/>
  <c r="Y16" i="6" s="1"/>
  <c r="W21" i="6"/>
  <c r="Y21" i="6" s="1"/>
  <c r="W20" i="6"/>
  <c r="Y20" i="6" s="1"/>
  <c r="Z101" i="5"/>
  <c r="N83" i="5"/>
  <c r="L101" i="5"/>
  <c r="L105" i="5" s="1"/>
  <c r="H101" i="5"/>
  <c r="K15" i="6"/>
  <c r="M15" i="6" s="1"/>
  <c r="G15" i="6"/>
  <c r="I15" i="6" s="1"/>
  <c r="K28" i="6"/>
  <c r="M28" i="6" s="1"/>
  <c r="G28" i="6"/>
  <c r="I28" i="6" s="1"/>
  <c r="K26" i="6"/>
  <c r="M26" i="6" s="1"/>
  <c r="G26" i="6"/>
  <c r="I26" i="6" s="1"/>
  <c r="K24" i="6"/>
  <c r="M24" i="6" s="1"/>
  <c r="G24" i="6"/>
  <c r="I24" i="6" s="1"/>
  <c r="K23" i="6"/>
  <c r="M23" i="6" s="1"/>
  <c r="G23" i="6"/>
  <c r="I23" i="6" s="1"/>
  <c r="K20" i="6"/>
  <c r="M20" i="6" s="1"/>
  <c r="G20" i="6"/>
  <c r="I20" i="6" s="1"/>
  <c r="K18" i="6"/>
  <c r="M18" i="6" s="1"/>
  <c r="G18" i="6"/>
  <c r="I18" i="6" s="1"/>
  <c r="K16" i="6"/>
  <c r="M16" i="6" s="1"/>
  <c r="G16" i="6"/>
  <c r="I16" i="6" s="1"/>
  <c r="K27" i="6"/>
  <c r="M27" i="6" s="1"/>
  <c r="G27" i="6"/>
  <c r="I27" i="6" s="1"/>
  <c r="K25" i="6"/>
  <c r="M25" i="6" s="1"/>
  <c r="G25" i="6"/>
  <c r="I25" i="6" s="1"/>
  <c r="K21" i="6"/>
  <c r="M21" i="6" s="1"/>
  <c r="G21" i="6"/>
  <c r="I21" i="6" s="1"/>
  <c r="K22" i="6"/>
  <c r="M22" i="6" s="1"/>
  <c r="G22" i="6"/>
  <c r="I22" i="6" s="1"/>
  <c r="K19" i="6"/>
  <c r="G19" i="6"/>
  <c r="I19" i="6" s="1"/>
  <c r="K17" i="6"/>
  <c r="M17" i="6" s="1"/>
  <c r="G17" i="6"/>
  <c r="I17" i="6" s="1"/>
  <c r="N101" i="5"/>
  <c r="K131" i="4"/>
  <c r="H126" i="4"/>
  <c r="K126" i="4" s="1"/>
  <c r="K7" i="4"/>
  <c r="F18" i="7" l="1"/>
  <c r="J73" i="5"/>
  <c r="AF73" i="5"/>
  <c r="AH74" i="5"/>
  <c r="AF47" i="5"/>
  <c r="AH47" i="5" s="1"/>
  <c r="AH49" i="5"/>
  <c r="F17" i="7"/>
  <c r="J47" i="5"/>
  <c r="AA20" i="6"/>
  <c r="AC20" i="6" s="1"/>
  <c r="H105" i="5"/>
  <c r="J101" i="5"/>
  <c r="AA18" i="6"/>
  <c r="AC18" i="6" s="1"/>
  <c r="AA23" i="6"/>
  <c r="AC23" i="6" s="1"/>
  <c r="AE17" i="6"/>
  <c r="AG17" i="6" s="1"/>
  <c r="AE15" i="6"/>
  <c r="AG15" i="6" s="1"/>
  <c r="M19" i="6"/>
  <c r="AE19" i="6"/>
  <c r="AG19" i="6" s="1"/>
  <c r="AE22" i="6"/>
  <c r="AG22" i="6" s="1"/>
  <c r="AE21" i="6"/>
  <c r="AG21" i="6" s="1"/>
  <c r="AE25" i="6"/>
  <c r="AG25" i="6" s="1"/>
  <c r="AE27" i="6"/>
  <c r="AG27" i="6" s="1"/>
  <c r="AE24" i="6"/>
  <c r="AG24" i="6" s="1"/>
  <c r="AE26" i="6"/>
  <c r="AG26" i="6" s="1"/>
  <c r="AE28" i="6"/>
  <c r="AG28" i="6" s="1"/>
  <c r="AA16" i="6"/>
  <c r="AC16" i="6" s="1"/>
  <c r="F31" i="6"/>
  <c r="F28" i="7"/>
  <c r="G30" i="6"/>
  <c r="I30" i="6" s="1"/>
  <c r="W30" i="6"/>
  <c r="Y30" i="6" s="1"/>
  <c r="S30" i="6"/>
  <c r="U30" i="6" s="1"/>
  <c r="K30" i="6"/>
  <c r="M30" i="6" s="1"/>
  <c r="O30" i="6"/>
  <c r="Q30" i="6" s="1"/>
  <c r="AA30" i="6"/>
  <c r="AC30" i="6" s="1"/>
  <c r="G32" i="6"/>
  <c r="I32" i="6" s="1"/>
  <c r="O32" i="6"/>
  <c r="Q32" i="6" s="1"/>
  <c r="W32" i="6"/>
  <c r="Y32" i="6" s="1"/>
  <c r="S32" i="6"/>
  <c r="U32" i="6" s="1"/>
  <c r="AA32" i="6"/>
  <c r="AC32" i="6" s="1"/>
  <c r="K32" i="6"/>
  <c r="M32" i="6" s="1"/>
  <c r="G29" i="6"/>
  <c r="I29" i="6" s="1"/>
  <c r="O29" i="6"/>
  <c r="Q29" i="6" s="1"/>
  <c r="W29" i="6"/>
  <c r="Y29" i="6" s="1"/>
  <c r="AA29" i="6"/>
  <c r="AC29" i="6" s="1"/>
  <c r="S29" i="6"/>
  <c r="U29" i="6" s="1"/>
  <c r="K29" i="6"/>
  <c r="M29" i="6" s="1"/>
  <c r="AH73" i="5" l="1"/>
  <c r="AF101" i="5"/>
  <c r="AH101" i="5" s="1"/>
  <c r="AE23" i="6"/>
  <c r="AG23" i="6" s="1"/>
  <c r="AE20" i="6"/>
  <c r="AG20" i="6" s="1"/>
  <c r="AE18" i="6"/>
  <c r="AG18" i="6" s="1"/>
  <c r="AE16" i="6"/>
  <c r="AG16" i="6" s="1"/>
  <c r="AE29" i="6"/>
  <c r="AG29" i="6" s="1"/>
  <c r="AE32" i="6"/>
  <c r="AG32" i="6" s="1"/>
  <c r="AE30" i="6"/>
  <c r="AG30" i="6" s="1"/>
  <c r="W31" i="6"/>
  <c r="Y31" i="6" s="1"/>
  <c r="O31" i="6"/>
  <c r="Q31" i="6" s="1"/>
  <c r="AA31" i="6"/>
  <c r="AC31" i="6" s="1"/>
  <c r="S31" i="6"/>
  <c r="U31" i="6" s="1"/>
  <c r="K31" i="6"/>
  <c r="M31" i="6" s="1"/>
  <c r="G31" i="6"/>
  <c r="I31" i="6" s="1"/>
  <c r="AE31" i="6" l="1"/>
  <c r="AG31" i="6" s="1"/>
  <c r="K14" i="6"/>
  <c r="W14" i="6"/>
  <c r="G14" i="6"/>
  <c r="S14" i="6"/>
  <c r="AA14" i="6"/>
  <c r="O14" i="6"/>
  <c r="AC14" i="6" l="1"/>
  <c r="I14" i="6"/>
  <c r="M14" i="6"/>
  <c r="Q14" i="6"/>
  <c r="U14" i="6"/>
  <c r="Y14" i="6"/>
  <c r="AE14" i="6"/>
  <c r="AE40" i="6" s="1"/>
  <c r="Q36" i="6"/>
  <c r="U36" i="6"/>
  <c r="AC36" i="6"/>
  <c r="Y36" i="6"/>
  <c r="AF104" i="5" l="1"/>
  <c r="AF105" i="5" s="1"/>
  <c r="AG14" i="6"/>
  <c r="AG36" i="6"/>
  <c r="W40" i="6"/>
  <c r="Y40" i="6" s="1"/>
  <c r="O40" i="6"/>
  <c r="Q40" i="6" s="1"/>
  <c r="K40" i="6"/>
  <c r="M40" i="6" s="1"/>
  <c r="G40" i="6"/>
  <c r="I40" i="6" s="1"/>
  <c r="AA40" i="6"/>
  <c r="AC40" i="6" s="1"/>
  <c r="S40" i="6"/>
  <c r="U40" i="6" s="1"/>
  <c r="AG40" i="6" l="1"/>
</calcChain>
</file>

<file path=xl/sharedStrings.xml><?xml version="1.0" encoding="utf-8"?>
<sst xmlns="http://schemas.openxmlformats.org/spreadsheetml/2006/main" count="459" uniqueCount="188">
  <si>
    <t>GENERATION'S SCHOOL (PVT) LTD.(2011-12)</t>
  </si>
  <si>
    <t>Income Statement</t>
  </si>
  <si>
    <t>For the month of December 2012</t>
  </si>
  <si>
    <t>Revenue</t>
  </si>
  <si>
    <t>Late Fee</t>
  </si>
  <si>
    <t>Tuition Fee</t>
  </si>
  <si>
    <t xml:space="preserve">    17. -- Operating Expenses</t>
  </si>
  <si>
    <t xml:space="preserve">        17.01 -- Animal Foode Expense</t>
  </si>
  <si>
    <t xml:space="preserve">        17.02. -- Depreciation Expense</t>
  </si>
  <si>
    <t xml:space="preserve">            17.02.14 -- Vehicles</t>
  </si>
  <si>
    <t xml:space="preserve">        17.03 -- Electricity Expense - Utilities</t>
  </si>
  <si>
    <t xml:space="preserve">        17.04 -- Entertainment</t>
  </si>
  <si>
    <t>Refreshment</t>
  </si>
  <si>
    <t>Tea</t>
  </si>
  <si>
    <t xml:space="preserve">        17.06 -- Gardening Expense</t>
  </si>
  <si>
    <t xml:space="preserve">        17.07 -- General Supplies Expense</t>
  </si>
  <si>
    <t>Tools &amp; Other Material</t>
  </si>
  <si>
    <t>Kitchen Items</t>
  </si>
  <si>
    <t xml:space="preserve">        17.10 -- Mobile Expense - Utilities</t>
  </si>
  <si>
    <t xml:space="preserve">        17.11. -- Printing, Stationery &amp; Copying</t>
  </si>
  <si>
    <t xml:space="preserve">            17.11.02 -- Printing</t>
  </si>
  <si>
    <t>Report Cards, Bouchers &amp; News Letters</t>
  </si>
  <si>
    <t>Photocopy</t>
  </si>
  <si>
    <t xml:space="preserve">            17.11.03 -- Stationary</t>
  </si>
  <si>
    <t xml:space="preserve">            17.11.04. -- Students Extra Curricular Activities Expense</t>
  </si>
  <si>
    <t xml:space="preserve">                17.11.04.03 -- Sports Day</t>
  </si>
  <si>
    <t xml:space="preserve">                17.11.04.04 -- Sports Equipment Expense</t>
  </si>
  <si>
    <t xml:space="preserve">                17.11.04.05 -- Sports &amp; Other Activities</t>
  </si>
  <si>
    <t>Registration Fee (Kangaroo &amp; IBA)</t>
  </si>
  <si>
    <t>Other</t>
  </si>
  <si>
    <t>17.12 - Rent Expense</t>
  </si>
  <si>
    <t xml:space="preserve">        17.13 -- Repair &amp; Maintenance</t>
  </si>
  <si>
    <t>Land &amp; Building</t>
  </si>
  <si>
    <t>General</t>
  </si>
  <si>
    <t>Machine</t>
  </si>
  <si>
    <t xml:space="preserve">        17.14 -- Salaries Allowances &amp; Other Benefits</t>
  </si>
  <si>
    <t xml:space="preserve">        17.15 -- Science Lab Supplies</t>
  </si>
  <si>
    <t xml:space="preserve">        17.16 -- Security Expense</t>
  </si>
  <si>
    <t xml:space="preserve">        17.17 -- Telephone Expense - Utilities</t>
  </si>
  <si>
    <t xml:space="preserve">        17.18. -- Training</t>
  </si>
  <si>
    <t xml:space="preserve">            17.18.01 -- Training Event Wise</t>
  </si>
  <si>
    <t xml:space="preserve">        17.19 -- Fuel</t>
  </si>
  <si>
    <t>Generator</t>
  </si>
  <si>
    <t>Suzuki Bolan</t>
  </si>
  <si>
    <t>Conveyance</t>
  </si>
  <si>
    <t xml:space="preserve">        17.20 -- Conveyance</t>
  </si>
  <si>
    <t xml:space="preserve">        17.21 -- Gas Expense - Utilities</t>
  </si>
  <si>
    <t xml:space="preserve">        17.22 -- News Paper Expense</t>
  </si>
  <si>
    <t xml:space="preserve">        17.23 -- Water Expense</t>
  </si>
  <si>
    <t xml:space="preserve">    18. -- Administration Expense</t>
  </si>
  <si>
    <t xml:space="preserve">        18.01 -- Advertising</t>
  </si>
  <si>
    <t xml:space="preserve">        18.03 -- Computer Supplies Expense</t>
  </si>
  <si>
    <t xml:space="preserve">        18.08 -- Internet Charges</t>
  </si>
  <si>
    <t xml:space="preserve">        18.09. -- Legal &amp; Professional Charges</t>
  </si>
  <si>
    <t xml:space="preserve">            18.09.02 -- Audit</t>
  </si>
  <si>
    <t xml:space="preserve">        18.11 -- Miscellaneous Expenses</t>
  </si>
  <si>
    <t xml:space="preserve">        18.13 -- Postage &amp; Stamp</t>
  </si>
  <si>
    <t xml:space="preserve">        18.15 -- Rent Rate &amp; Taxes</t>
  </si>
  <si>
    <t xml:space="preserve">        18.16. -- AE Salaries Allowances &amp; Other Benefits</t>
  </si>
  <si>
    <t xml:space="preserve">            18.16.07 -- EOBI</t>
  </si>
  <si>
    <t xml:space="preserve">            18.16.09 -- Medical Expenses</t>
  </si>
  <si>
    <t xml:space="preserve">            18.16.10 -- Overtime Expense</t>
  </si>
  <si>
    <t xml:space="preserve">            18.16.11 -- PF Contribution</t>
  </si>
  <si>
    <t xml:space="preserve">            18.16.12 -- Salaries Expense</t>
  </si>
  <si>
    <t xml:space="preserve">            18.16.13 -- SESSI Contributions</t>
  </si>
  <si>
    <t xml:space="preserve">            18.16.14 -- Staff Welfare</t>
  </si>
  <si>
    <t>Fee Reimbursement</t>
  </si>
  <si>
    <t>Uniform</t>
  </si>
  <si>
    <t>Ration</t>
  </si>
  <si>
    <t>Miscellaneous</t>
  </si>
  <si>
    <t xml:space="preserve">        18.18 -- Transpotation Expenses</t>
  </si>
  <si>
    <t xml:space="preserve">        18.19 -- Travelling &amp; Conveyance</t>
  </si>
  <si>
    <t>Profit before Financial Charges</t>
  </si>
  <si>
    <t>09.01.25 - Financial Charges</t>
  </si>
  <si>
    <t>NET PROFIT</t>
  </si>
  <si>
    <t>Payroll</t>
  </si>
  <si>
    <t>Salaries Expense</t>
  </si>
  <si>
    <t>SESSI Contribution</t>
  </si>
  <si>
    <t>PF Contribution</t>
  </si>
  <si>
    <t>EOBI Contribution</t>
  </si>
  <si>
    <t>Overtime</t>
  </si>
  <si>
    <t>Salaries &amp; Other Benefits</t>
  </si>
  <si>
    <t>Utilities</t>
  </si>
  <si>
    <t>Electricity</t>
  </si>
  <si>
    <t>Water</t>
  </si>
  <si>
    <t xml:space="preserve">Gas </t>
  </si>
  <si>
    <t>Telephone</t>
  </si>
  <si>
    <t>Fuel - Generator</t>
  </si>
  <si>
    <t>Supplies</t>
  </si>
  <si>
    <t>Science Lab</t>
  </si>
  <si>
    <t>Computer</t>
  </si>
  <si>
    <t>Security</t>
  </si>
  <si>
    <t>Repair &amp; Maintenance</t>
  </si>
  <si>
    <t>Vehicle</t>
  </si>
  <si>
    <t>Gardening</t>
  </si>
  <si>
    <t>Fuel - Suzuki Bolan</t>
  </si>
  <si>
    <t>Transport &amp; Conveyance</t>
  </si>
  <si>
    <t>Al-Makkah Transport</t>
  </si>
  <si>
    <t>Other Transport</t>
  </si>
  <si>
    <t>Printing &amp; Stationery</t>
  </si>
  <si>
    <t>Stationery</t>
  </si>
  <si>
    <t>Communication</t>
  </si>
  <si>
    <t>Internet</t>
  </si>
  <si>
    <t>Mobile</t>
  </si>
  <si>
    <t>Dec 2011</t>
  </si>
  <si>
    <t>Advertising</t>
  </si>
  <si>
    <t>Staff Welfare</t>
  </si>
  <si>
    <t>Entertainment</t>
  </si>
  <si>
    <t>Sports Equipment</t>
  </si>
  <si>
    <t>Student Activities</t>
  </si>
  <si>
    <t>Rent Expense</t>
  </si>
  <si>
    <t>workshop - British Council</t>
  </si>
  <si>
    <t>Miscelaneous Expenses</t>
  </si>
  <si>
    <t>Subscription</t>
  </si>
  <si>
    <t>News Papers &amp; Periodicals</t>
  </si>
  <si>
    <t>Legal &amp; Professional Charges</t>
  </si>
  <si>
    <t>Audit Fee</t>
  </si>
  <si>
    <t>Taxes</t>
  </si>
  <si>
    <t>Rent, Rate &amp; Taxes</t>
  </si>
  <si>
    <t>Animal Food</t>
  </si>
  <si>
    <t>Postage &amp; Stamp</t>
  </si>
  <si>
    <t>Medical</t>
  </si>
  <si>
    <t>PIA Fare</t>
  </si>
  <si>
    <t>Total Expenses</t>
  </si>
  <si>
    <t>Expenses</t>
  </si>
  <si>
    <t>Net Profit</t>
  </si>
  <si>
    <t>Financial Charges (Bank Alfalah)</t>
  </si>
  <si>
    <t>GENERATION'S SCHOOL (PVT) LTD</t>
  </si>
  <si>
    <t>Expenses Summary</t>
  </si>
  <si>
    <t>For the month of December 2011</t>
  </si>
  <si>
    <t>Students Activities</t>
  </si>
  <si>
    <t>Sports Activity</t>
  </si>
  <si>
    <t>Director's Travelling</t>
  </si>
  <si>
    <t>Publications</t>
  </si>
  <si>
    <t>Training</t>
  </si>
  <si>
    <t>-</t>
  </si>
  <si>
    <t>For the period ended December 2011</t>
  </si>
  <si>
    <t>Furniture &amp; Fixture</t>
  </si>
  <si>
    <t>Other Printing</t>
  </si>
  <si>
    <t>Sanitary</t>
  </si>
  <si>
    <t>Donation</t>
  </si>
  <si>
    <t>SECP Charges</t>
  </si>
  <si>
    <t>Bank Charges</t>
  </si>
  <si>
    <t>Gifts &amp; Presentation</t>
  </si>
  <si>
    <t>CONSOLIDATE</t>
  </si>
  <si>
    <t>Other Income</t>
  </si>
  <si>
    <t>ABC COMPANY</t>
  </si>
  <si>
    <t>From Jul to Dec 20XX</t>
  </si>
  <si>
    <t>Dec 20XX</t>
  </si>
  <si>
    <t>Nov 20XX</t>
  </si>
  <si>
    <t>Oct 20XX</t>
  </si>
  <si>
    <t>Sep 20XX</t>
  </si>
  <si>
    <t>Aug 20XX</t>
  </si>
  <si>
    <t>Jul 20XX</t>
  </si>
  <si>
    <t>Jul to Dec 20XX</t>
  </si>
  <si>
    <t>xxxxx</t>
  </si>
  <si>
    <t>yyyyy</t>
  </si>
  <si>
    <t>zzzzz</t>
  </si>
  <si>
    <t>xyz</t>
  </si>
  <si>
    <t>Name</t>
  </si>
  <si>
    <t>Units</t>
  </si>
  <si>
    <t>Rate</t>
  </si>
  <si>
    <t>Total Rs. From</t>
  </si>
  <si>
    <t>Total Rs. To</t>
  </si>
  <si>
    <t>C O M I S S I O N    R A T E S</t>
  </si>
  <si>
    <t>Commision for the month of Dec 20XX</t>
  </si>
  <si>
    <t>Price</t>
  </si>
  <si>
    <t>Total</t>
  </si>
  <si>
    <t>Commission</t>
  </si>
  <si>
    <t>A</t>
  </si>
  <si>
    <t>B</t>
  </si>
  <si>
    <t>C</t>
  </si>
  <si>
    <t>D</t>
  </si>
  <si>
    <t>E</t>
  </si>
  <si>
    <t>F</t>
  </si>
  <si>
    <t>Commission earned by</t>
  </si>
  <si>
    <t>Average</t>
  </si>
  <si>
    <t>Jan</t>
  </si>
  <si>
    <t>Feb</t>
  </si>
  <si>
    <t>Mar</t>
  </si>
  <si>
    <t>Apr</t>
  </si>
  <si>
    <t>Commission earned by Employees</t>
  </si>
  <si>
    <t>May</t>
  </si>
  <si>
    <t>Jun</t>
  </si>
  <si>
    <t>Rs. In Thousand</t>
  </si>
  <si>
    <t>Month</t>
  </si>
  <si>
    <t>Hours</t>
  </si>
  <si>
    <t>Check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</si>
</sst>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m\ dd\,\ yyyy"/>
    <numFmt numFmtId="165" formatCode="0.0%"/>
    <numFmt numFmtId="166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4.05"/>
      <color indexed="8"/>
      <name val="Cooper Black"/>
      <family val="1"/>
    </font>
    <font>
      <b/>
      <sz val="12"/>
      <color indexed="8"/>
      <name val="Book Antiqua"/>
      <family val="1"/>
    </font>
    <font>
      <b/>
      <sz val="16"/>
      <color indexed="8"/>
      <name val="Book Antiqua"/>
      <family val="1"/>
    </font>
    <font>
      <b/>
      <sz val="10"/>
      <color indexed="8"/>
      <name val="MS Sans Serif"/>
      <family val="2"/>
    </font>
    <font>
      <b/>
      <sz val="10"/>
      <color indexed="8"/>
      <name val="Book Antiqua"/>
      <family val="1"/>
    </font>
    <font>
      <b/>
      <sz val="12"/>
      <color indexed="8"/>
      <name val="Book Antiqua"/>
      <family val="1"/>
    </font>
    <font>
      <b/>
      <sz val="9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8"/>
      <name val="Book Antiqua"/>
      <family val="1"/>
    </font>
    <font>
      <b/>
      <sz val="7.9"/>
      <color indexed="12"/>
      <name val="Calibri"/>
      <family val="2"/>
      <scheme val="minor"/>
    </font>
    <font>
      <b/>
      <sz val="10"/>
      <color theme="0"/>
      <name val="MS Sans Serif"/>
      <family val="2"/>
    </font>
    <font>
      <b/>
      <sz val="7.9"/>
      <color indexed="8"/>
      <name val="Calibri"/>
      <family val="2"/>
      <scheme val="minor"/>
    </font>
    <font>
      <u/>
      <sz val="10"/>
      <color theme="10"/>
      <name val="MS Sans Serif"/>
      <family val="2"/>
    </font>
    <font>
      <b/>
      <sz val="10"/>
      <color indexed="8"/>
      <name val="Calibri"/>
      <family val="2"/>
      <scheme val="minor"/>
    </font>
    <font>
      <b/>
      <sz val="12"/>
      <color indexed="8"/>
      <name val="MS Sans Serif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ooper Black"/>
      <family val="1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89999084444715716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6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1" applyFont="1" applyAlignment="1">
      <alignment horizontal="center" vertical="center"/>
    </xf>
    <xf numFmtId="0" fontId="2" fillId="0" borderId="0" xfId="1" applyNumberFormat="1" applyFill="1" applyBorder="1" applyAlignment="1" applyProtection="1"/>
    <xf numFmtId="0" fontId="4" fillId="0" borderId="0" xfId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2" fillId="2" borderId="0" xfId="1" applyNumberFormat="1" applyFill="1" applyBorder="1" applyAlignment="1" applyProtection="1"/>
    <xf numFmtId="0" fontId="4" fillId="2" borderId="0" xfId="1" applyFont="1" applyFill="1" applyAlignment="1">
      <alignment horizontal="center" vertical="center"/>
    </xf>
    <xf numFmtId="4" fontId="6" fillId="2" borderId="0" xfId="1" applyNumberFormat="1" applyFont="1" applyFill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39" fontId="10" fillId="0" borderId="3" xfId="1" applyNumberFormat="1" applyFont="1" applyFill="1" applyBorder="1" applyAlignment="1" applyProtection="1"/>
    <xf numFmtId="10" fontId="11" fillId="0" borderId="4" xfId="1" applyNumberFormat="1" applyFont="1" applyBorder="1" applyAlignment="1">
      <alignment horizontal="center" vertical="center"/>
    </xf>
    <xf numFmtId="0" fontId="10" fillId="0" borderId="0" xfId="1" applyNumberFormat="1" applyFont="1" applyFill="1" applyBorder="1" applyAlignment="1" applyProtection="1"/>
    <xf numFmtId="0" fontId="9" fillId="0" borderId="5" xfId="1" applyFont="1" applyBorder="1" applyAlignment="1">
      <alignment vertical="center"/>
    </xf>
    <xf numFmtId="0" fontId="10" fillId="0" borderId="6" xfId="1" applyNumberFormat="1" applyFont="1" applyFill="1" applyBorder="1" applyAlignment="1" applyProtection="1"/>
    <xf numFmtId="4" fontId="10" fillId="0" borderId="7" xfId="1" applyNumberFormat="1" applyFont="1" applyFill="1" applyBorder="1" applyAlignment="1" applyProtection="1"/>
    <xf numFmtId="10" fontId="11" fillId="0" borderId="8" xfId="1" applyNumberFormat="1" applyFont="1" applyBorder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39" fontId="14" fillId="3" borderId="0" xfId="1" applyNumberFormat="1" applyFont="1" applyFill="1" applyBorder="1" applyAlignment="1" applyProtection="1"/>
    <xf numFmtId="39" fontId="2" fillId="0" borderId="0" xfId="1" applyNumberFormat="1" applyFill="1" applyBorder="1" applyAlignment="1" applyProtection="1"/>
    <xf numFmtId="0" fontId="15" fillId="0" borderId="0" xfId="1" applyFont="1" applyAlignment="1">
      <alignment vertical="center"/>
    </xf>
    <xf numFmtId="39" fontId="10" fillId="0" borderId="4" xfId="1" applyNumberFormat="1" applyFont="1" applyBorder="1" applyAlignment="1">
      <alignment horizontal="right" vertical="center"/>
    </xf>
    <xf numFmtId="0" fontId="10" fillId="0" borderId="9" xfId="1" applyNumberFormat="1" applyFont="1" applyFill="1" applyBorder="1" applyAlignment="1" applyProtection="1"/>
    <xf numFmtId="10" fontId="11" fillId="0" borderId="9" xfId="1" applyNumberFormat="1" applyFont="1" applyBorder="1" applyAlignment="1">
      <alignment horizontal="center" vertical="center"/>
    </xf>
    <xf numFmtId="39" fontId="10" fillId="0" borderId="9" xfId="1" applyNumberFormat="1" applyFont="1" applyBorder="1" applyAlignment="1">
      <alignment horizontal="right" vertical="center"/>
    </xf>
    <xf numFmtId="0" fontId="16" fillId="0" borderId="0" xfId="2" applyAlignment="1" applyProtection="1">
      <alignment vertical="center"/>
    </xf>
    <xf numFmtId="0" fontId="16" fillId="0" borderId="0" xfId="2" applyNumberFormat="1" applyFill="1" applyBorder="1" applyAlignment="1" applyProtection="1"/>
    <xf numFmtId="0" fontId="16" fillId="0" borderId="2" xfId="2" applyNumberFormat="1" applyFill="1" applyBorder="1" applyAlignment="1" applyProtection="1"/>
    <xf numFmtId="0" fontId="10" fillId="0" borderId="2" xfId="1" applyNumberFormat="1" applyFont="1" applyFill="1" applyBorder="1" applyAlignment="1" applyProtection="1"/>
    <xf numFmtId="39" fontId="10" fillId="0" borderId="2" xfId="1" applyNumberFormat="1" applyFont="1" applyFill="1" applyBorder="1" applyAlignment="1" applyProtection="1"/>
    <xf numFmtId="0" fontId="16" fillId="0" borderId="6" xfId="2" applyNumberFormat="1" applyFill="1" applyBorder="1" applyAlignment="1" applyProtection="1"/>
    <xf numFmtId="39" fontId="10" fillId="0" borderId="6" xfId="1" applyNumberFormat="1" applyFont="1" applyFill="1" applyBorder="1" applyAlignment="1" applyProtection="1"/>
    <xf numFmtId="0" fontId="2" fillId="0" borderId="0" xfId="1"/>
    <xf numFmtId="39" fontId="10" fillId="0" borderId="8" xfId="1" applyNumberFormat="1" applyFont="1" applyBorder="1" applyAlignment="1">
      <alignment horizontal="right" vertical="center"/>
    </xf>
    <xf numFmtId="0" fontId="9" fillId="0" borderId="10" xfId="1" applyFont="1" applyBorder="1" applyAlignment="1">
      <alignment vertical="center"/>
    </xf>
    <xf numFmtId="39" fontId="10" fillId="0" borderId="0" xfId="1" applyNumberFormat="1" applyFont="1" applyFill="1" applyBorder="1" applyAlignment="1" applyProtection="1"/>
    <xf numFmtId="10" fontId="2" fillId="0" borderId="0" xfId="1" applyNumberFormat="1" applyFill="1" applyBorder="1" applyAlignment="1" applyProtection="1"/>
    <xf numFmtId="0" fontId="10" fillId="0" borderId="8" xfId="1" applyNumberFormat="1" applyFont="1" applyFill="1" applyBorder="1" applyAlignment="1" applyProtection="1"/>
    <xf numFmtId="0" fontId="17" fillId="0" borderId="0" xfId="1" applyNumberFormat="1" applyFont="1" applyFill="1" applyBorder="1" applyAlignment="1" applyProtection="1"/>
    <xf numFmtId="4" fontId="17" fillId="0" borderId="0" xfId="1" applyNumberFormat="1" applyFont="1" applyFill="1" applyBorder="1" applyAlignment="1" applyProtection="1"/>
    <xf numFmtId="4" fontId="18" fillId="0" borderId="11" xfId="1" applyNumberFormat="1" applyFont="1" applyFill="1" applyBorder="1" applyAlignment="1" applyProtection="1"/>
    <xf numFmtId="4" fontId="10" fillId="0" borderId="0" xfId="1" applyNumberFormat="1" applyFont="1" applyFill="1" applyBorder="1" applyAlignment="1" applyProtection="1"/>
    <xf numFmtId="3" fontId="0" fillId="0" borderId="0" xfId="0" applyNumberFormat="1"/>
    <xf numFmtId="3" fontId="1" fillId="0" borderId="0" xfId="0" applyNumberFormat="1" applyFont="1"/>
    <xf numFmtId="3" fontId="10" fillId="0" borderId="4" xfId="1" applyNumberFormat="1" applyFont="1" applyBorder="1" applyAlignment="1">
      <alignment horizontal="right" vertical="center"/>
    </xf>
    <xf numFmtId="3" fontId="10" fillId="0" borderId="9" xfId="1" applyNumberFormat="1" applyFont="1" applyBorder="1" applyAlignment="1">
      <alignment horizontal="right" vertical="center"/>
    </xf>
    <xf numFmtId="3" fontId="10" fillId="0" borderId="8" xfId="1" applyNumberFormat="1" applyFont="1" applyBorder="1" applyAlignment="1">
      <alignment horizontal="right" vertical="center"/>
    </xf>
    <xf numFmtId="0" fontId="1" fillId="0" borderId="0" xfId="0" applyFont="1"/>
    <xf numFmtId="3" fontId="10" fillId="0" borderId="8" xfId="1" applyNumberFormat="1" applyFont="1" applyFill="1" applyBorder="1" applyAlignment="1">
      <alignment horizontal="right" vertical="center"/>
    </xf>
    <xf numFmtId="3" fontId="10" fillId="0" borderId="0" xfId="1" applyNumberFormat="1" applyFont="1" applyFill="1" applyBorder="1" applyAlignment="1">
      <alignment horizontal="right" vertical="center"/>
    </xf>
    <xf numFmtId="3" fontId="10" fillId="0" borderId="4" xfId="1" applyNumberFormat="1" applyFont="1" applyFill="1" applyBorder="1" applyAlignment="1">
      <alignment horizontal="right" vertical="center"/>
    </xf>
    <xf numFmtId="3" fontId="10" fillId="0" borderId="9" xfId="1" applyNumberFormat="1" applyFont="1" applyFill="1" applyBorder="1" applyAlignment="1">
      <alignment horizontal="right" vertical="center"/>
    </xf>
    <xf numFmtId="3" fontId="17" fillId="0" borderId="0" xfId="1" applyNumberFormat="1" applyFont="1" applyFill="1" applyBorder="1" applyAlignment="1">
      <alignment horizontal="right" vertical="center"/>
    </xf>
    <xf numFmtId="3" fontId="0" fillId="0" borderId="4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2" xfId="0" applyNumberFormat="1" applyBorder="1"/>
    <xf numFmtId="0" fontId="0" fillId="0" borderId="0" xfId="0" applyFont="1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3" fontId="0" fillId="0" borderId="4" xfId="0" applyNumberFormat="1" applyFont="1" applyBorder="1"/>
    <xf numFmtId="3" fontId="0" fillId="0" borderId="8" xfId="0" applyNumberFormat="1" applyFont="1" applyBorder="1"/>
    <xf numFmtId="3" fontId="1" fillId="2" borderId="11" xfId="0" applyNumberFormat="1" applyFont="1" applyFill="1" applyBorder="1"/>
    <xf numFmtId="3" fontId="1" fillId="0" borderId="2" xfId="0" applyNumberFormat="1" applyFont="1" applyFill="1" applyBorder="1"/>
    <xf numFmtId="10" fontId="0" fillId="0" borderId="0" xfId="0" applyNumberFormat="1" applyAlignment="1">
      <alignment horizontal="center"/>
    </xf>
    <xf numFmtId="10" fontId="20" fillId="0" borderId="4" xfId="0" applyNumberFormat="1" applyFont="1" applyBorder="1" applyAlignment="1">
      <alignment horizontal="center"/>
    </xf>
    <xf numFmtId="10" fontId="20" fillId="0" borderId="8" xfId="0" applyNumberFormat="1" applyFont="1" applyBorder="1" applyAlignment="1">
      <alignment horizontal="center"/>
    </xf>
    <xf numFmtId="10" fontId="20" fillId="0" borderId="9" xfId="0" applyNumberFormat="1" applyFont="1" applyBorder="1" applyAlignment="1">
      <alignment horizontal="center"/>
    </xf>
    <xf numFmtId="10" fontId="19" fillId="0" borderId="0" xfId="0" applyNumberFormat="1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21" fillId="2" borderId="11" xfId="0" applyNumberFormat="1" applyFont="1" applyFill="1" applyBorder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1" applyNumberFormat="1" applyFont="1" applyAlignment="1">
      <alignment horizontal="center" vertical="center"/>
    </xf>
    <xf numFmtId="10" fontId="19" fillId="0" borderId="12" xfId="0" applyNumberFormat="1" applyFont="1" applyBorder="1" applyAlignment="1">
      <alignment horizontal="center"/>
    </xf>
    <xf numFmtId="10" fontId="19" fillId="0" borderId="4" xfId="0" applyNumberFormat="1" applyFont="1" applyBorder="1" applyAlignment="1">
      <alignment horizontal="center"/>
    </xf>
    <xf numFmtId="10" fontId="19" fillId="0" borderId="9" xfId="0" applyNumberFormat="1" applyFont="1" applyBorder="1" applyAlignment="1">
      <alignment horizontal="center"/>
    </xf>
    <xf numFmtId="10" fontId="19" fillId="0" borderId="8" xfId="0" applyNumberFormat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4" fontId="0" fillId="0" borderId="0" xfId="0" applyNumberFormat="1"/>
    <xf numFmtId="3" fontId="23" fillId="0" borderId="0" xfId="0" applyNumberFormat="1" applyFont="1"/>
    <xf numFmtId="3" fontId="25" fillId="0" borderId="0" xfId="0" applyNumberFormat="1" applyFont="1"/>
    <xf numFmtId="10" fontId="20" fillId="0" borderId="0" xfId="0" applyNumberFormat="1" applyFont="1" applyBorder="1" applyAlignment="1">
      <alignment horizontal="center"/>
    </xf>
    <xf numFmtId="41" fontId="3" fillId="0" borderId="0" xfId="1" applyNumberFormat="1" applyFont="1" applyAlignment="1">
      <alignment vertical="center"/>
    </xf>
    <xf numFmtId="41" fontId="4" fillId="0" borderId="0" xfId="1" applyNumberFormat="1" applyFont="1" applyAlignment="1">
      <alignment vertical="center"/>
    </xf>
    <xf numFmtId="41" fontId="0" fillId="0" borderId="0" xfId="0" applyNumberFormat="1"/>
    <xf numFmtId="41" fontId="1" fillId="0" borderId="0" xfId="0" applyNumberFormat="1" applyFont="1"/>
    <xf numFmtId="41" fontId="10" fillId="0" borderId="4" xfId="1" applyNumberFormat="1" applyFont="1" applyBorder="1" applyAlignment="1">
      <alignment horizontal="right" vertical="center"/>
    </xf>
    <xf numFmtId="41" fontId="10" fillId="0" borderId="9" xfId="1" applyNumberFormat="1" applyFont="1" applyBorder="1" applyAlignment="1">
      <alignment horizontal="right" vertical="center"/>
    </xf>
    <xf numFmtId="41" fontId="10" fillId="0" borderId="8" xfId="1" applyNumberFormat="1" applyFont="1" applyBorder="1" applyAlignment="1">
      <alignment horizontal="right" vertical="center"/>
    </xf>
    <xf numFmtId="41" fontId="0" fillId="0" borderId="12" xfId="0" applyNumberFormat="1" applyBorder="1"/>
    <xf numFmtId="41" fontId="0" fillId="0" borderId="4" xfId="0" applyNumberFormat="1" applyBorder="1"/>
    <xf numFmtId="41" fontId="0" fillId="0" borderId="9" xfId="0" applyNumberFormat="1" applyBorder="1"/>
    <xf numFmtId="41" fontId="0" fillId="0" borderId="8" xfId="0" applyNumberFormat="1" applyBorder="1"/>
    <xf numFmtId="41" fontId="10" fillId="0" borderId="8" xfId="1" applyNumberFormat="1" applyFont="1" applyFill="1" applyBorder="1" applyAlignment="1">
      <alignment horizontal="right" vertical="center"/>
    </xf>
    <xf numFmtId="41" fontId="17" fillId="0" borderId="0" xfId="1" applyNumberFormat="1" applyFont="1" applyFill="1" applyBorder="1" applyAlignment="1">
      <alignment horizontal="right" vertical="center"/>
    </xf>
    <xf numFmtId="41" fontId="10" fillId="0" borderId="4" xfId="1" applyNumberFormat="1" applyFont="1" applyFill="1" applyBorder="1" applyAlignment="1">
      <alignment horizontal="right" vertical="center"/>
    </xf>
    <xf numFmtId="41" fontId="10" fillId="0" borderId="9" xfId="1" applyNumberFormat="1" applyFont="1" applyFill="1" applyBorder="1" applyAlignment="1">
      <alignment horizontal="right" vertical="center"/>
    </xf>
    <xf numFmtId="41" fontId="0" fillId="0" borderId="4" xfId="0" applyNumberFormat="1" applyFont="1" applyBorder="1"/>
    <xf numFmtId="41" fontId="0" fillId="0" borderId="9" xfId="0" applyNumberFormat="1" applyFont="1" applyBorder="1"/>
    <xf numFmtId="41" fontId="0" fillId="0" borderId="8" xfId="0" applyNumberFormat="1" applyFont="1" applyBorder="1"/>
    <xf numFmtId="41" fontId="1" fillId="2" borderId="11" xfId="0" applyNumberFormat="1" applyFont="1" applyFill="1" applyBorder="1"/>
    <xf numFmtId="41" fontId="1" fillId="0" borderId="0" xfId="0" applyNumberFormat="1" applyFont="1" applyFill="1"/>
    <xf numFmtId="41" fontId="0" fillId="0" borderId="12" xfId="0" applyNumberFormat="1" applyFill="1" applyBorder="1"/>
    <xf numFmtId="41" fontId="0" fillId="0" borderId="4" xfId="0" applyNumberFormat="1" applyFill="1" applyBorder="1"/>
    <xf numFmtId="41" fontId="0" fillId="0" borderId="9" xfId="0" applyNumberFormat="1" applyFill="1" applyBorder="1"/>
    <xf numFmtId="41" fontId="0" fillId="0" borderId="8" xfId="0" applyNumberFormat="1" applyFill="1" applyBorder="1"/>
    <xf numFmtId="41" fontId="0" fillId="0" borderId="4" xfId="0" applyNumberFormat="1" applyFont="1" applyFill="1" applyBorder="1"/>
    <xf numFmtId="41" fontId="0" fillId="0" borderId="9" xfId="0" applyNumberFormat="1" applyFont="1" applyFill="1" applyBorder="1"/>
    <xf numFmtId="41" fontId="0" fillId="0" borderId="8" xfId="0" applyNumberFormat="1" applyFont="1" applyFill="1" applyBorder="1"/>
    <xf numFmtId="41" fontId="1" fillId="0" borderId="2" xfId="0" applyNumberFormat="1" applyFont="1" applyFill="1" applyBorder="1"/>
    <xf numFmtId="0" fontId="23" fillId="0" borderId="0" xfId="0" applyFont="1"/>
    <xf numFmtId="0" fontId="25" fillId="0" borderId="0" xfId="0" applyFont="1" applyAlignment="1">
      <alignment horizontal="center"/>
    </xf>
    <xf numFmtId="41" fontId="23" fillId="0" borderId="0" xfId="0" applyNumberFormat="1" applyFont="1"/>
    <xf numFmtId="10" fontId="23" fillId="0" borderId="0" xfId="0" applyNumberFormat="1" applyFont="1" applyAlignment="1">
      <alignment horizontal="center"/>
    </xf>
    <xf numFmtId="10" fontId="23" fillId="0" borderId="13" xfId="0" applyNumberFormat="1" applyFont="1" applyBorder="1" applyAlignment="1">
      <alignment horizontal="center"/>
    </xf>
    <xf numFmtId="10" fontId="27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41" fontId="23" fillId="0" borderId="0" xfId="0" applyNumberFormat="1" applyFont="1" applyFill="1"/>
    <xf numFmtId="41" fontId="27" fillId="0" borderId="0" xfId="1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41" fontId="29" fillId="0" borderId="0" xfId="0" applyNumberFormat="1" applyFont="1"/>
    <xf numFmtId="10" fontId="30" fillId="0" borderId="0" xfId="0" applyNumberFormat="1" applyFont="1" applyAlignment="1">
      <alignment horizontal="center"/>
    </xf>
    <xf numFmtId="0" fontId="19" fillId="0" borderId="4" xfId="0" applyNumberFormat="1" applyFont="1" applyBorder="1" applyAlignment="1">
      <alignment horizontal="center"/>
    </xf>
    <xf numFmtId="10" fontId="29" fillId="0" borderId="0" xfId="0" applyNumberFormat="1" applyFont="1" applyAlignment="1">
      <alignment horizontal="center"/>
    </xf>
    <xf numFmtId="41" fontId="17" fillId="0" borderId="9" xfId="1" applyNumberFormat="1" applyFont="1" applyBorder="1" applyAlignment="1">
      <alignment horizontal="right" vertical="center"/>
    </xf>
    <xf numFmtId="41" fontId="1" fillId="0" borderId="9" xfId="0" applyNumberFormat="1" applyFont="1" applyFill="1" applyBorder="1"/>
    <xf numFmtId="41" fontId="1" fillId="0" borderId="9" xfId="0" applyNumberFormat="1" applyFont="1" applyBorder="1"/>
    <xf numFmtId="41" fontId="17" fillId="0" borderId="4" xfId="1" applyNumberFormat="1" applyFont="1" applyBorder="1" applyAlignment="1">
      <alignment horizontal="right" vertical="center"/>
    </xf>
    <xf numFmtId="41" fontId="17" fillId="0" borderId="9" xfId="1" applyNumberFormat="1" applyFont="1" applyFill="1" applyBorder="1" applyAlignment="1">
      <alignment horizontal="right" vertical="center"/>
    </xf>
    <xf numFmtId="41" fontId="1" fillId="0" borderId="8" xfId="0" applyNumberFormat="1" applyFont="1" applyFill="1" applyBorder="1"/>
    <xf numFmtId="41" fontId="1" fillId="0" borderId="8" xfId="0" applyNumberFormat="1" applyFont="1" applyBorder="1"/>
    <xf numFmtId="3" fontId="1" fillId="2" borderId="0" xfId="0" quotePrefix="1" applyNumberFormat="1" applyFont="1" applyFill="1" applyAlignment="1">
      <alignment horizontal="center"/>
    </xf>
    <xf numFmtId="0" fontId="19" fillId="0" borderId="0" xfId="0" applyFont="1"/>
    <xf numFmtId="3" fontId="30" fillId="0" borderId="0" xfId="3" applyNumberFormat="1" applyFont="1" applyAlignment="1">
      <alignment horizontal="center"/>
    </xf>
    <xf numFmtId="165" fontId="30" fillId="0" borderId="0" xfId="4" applyNumberFormat="1" applyFont="1" applyAlignment="1">
      <alignment horizontal="center"/>
    </xf>
    <xf numFmtId="3" fontId="30" fillId="5" borderId="0" xfId="3" applyNumberFormat="1" applyFont="1" applyFill="1" applyAlignment="1">
      <alignment horizontal="center"/>
    </xf>
    <xf numFmtId="165" fontId="30" fillId="5" borderId="0" xfId="4" applyNumberFormat="1" applyFont="1" applyFill="1" applyAlignment="1">
      <alignment horizontal="center"/>
    </xf>
    <xf numFmtId="165" fontId="32" fillId="4" borderId="6" xfId="4" applyNumberFormat="1" applyFont="1" applyFill="1" applyBorder="1" applyAlignment="1">
      <alignment horizontal="center"/>
    </xf>
    <xf numFmtId="0" fontId="19" fillId="0" borderId="14" xfId="0" applyFont="1" applyBorder="1"/>
    <xf numFmtId="43" fontId="19" fillId="0" borderId="0" xfId="3" applyFont="1"/>
    <xf numFmtId="43" fontId="19" fillId="0" borderId="0" xfId="0" applyNumberFormat="1" applyFont="1"/>
    <xf numFmtId="43" fontId="19" fillId="0" borderId="11" xfId="0" applyNumberFormat="1" applyFont="1" applyBorder="1"/>
    <xf numFmtId="0" fontId="19" fillId="0" borderId="6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166" fontId="30" fillId="0" borderId="0" xfId="3" applyNumberFormat="1" applyFont="1"/>
    <xf numFmtId="43" fontId="30" fillId="0" borderId="0" xfId="0" applyNumberFormat="1" applyFont="1"/>
    <xf numFmtId="0" fontId="21" fillId="0" borderId="15" xfId="0" applyFont="1" applyBorder="1"/>
    <xf numFmtId="0" fontId="21" fillId="0" borderId="6" xfId="0" applyFont="1" applyBorder="1"/>
    <xf numFmtId="0" fontId="21" fillId="0" borderId="7" xfId="0" applyFont="1" applyBorder="1"/>
    <xf numFmtId="0" fontId="30" fillId="6" borderId="0" xfId="0" applyFont="1" applyFill="1"/>
    <xf numFmtId="0" fontId="30" fillId="6" borderId="0" xfId="0" applyFont="1" applyFill="1" applyAlignment="1">
      <alignment horizontal="center"/>
    </xf>
    <xf numFmtId="166" fontId="30" fillId="6" borderId="0" xfId="3" applyNumberFormat="1" applyFont="1" applyFill="1"/>
    <xf numFmtId="43" fontId="30" fillId="6" borderId="0" xfId="0" applyNumberFormat="1" applyFont="1" applyFill="1"/>
    <xf numFmtId="0" fontId="30" fillId="0" borderId="17" xfId="0" applyFont="1" applyBorder="1"/>
    <xf numFmtId="0" fontId="30" fillId="0" borderId="17" xfId="0" applyFont="1" applyBorder="1" applyAlignment="1">
      <alignment horizontal="center"/>
    </xf>
    <xf numFmtId="166" fontId="30" fillId="0" borderId="17" xfId="3" applyNumberFormat="1" applyFont="1" applyBorder="1"/>
    <xf numFmtId="43" fontId="30" fillId="0" borderId="17" xfId="0" applyNumberFormat="1" applyFont="1" applyBorder="1"/>
    <xf numFmtId="0" fontId="33" fillId="0" borderId="14" xfId="0" applyFont="1" applyBorder="1"/>
    <xf numFmtId="0" fontId="30" fillId="0" borderId="0" xfId="0" applyFont="1" applyBorder="1" applyAlignment="1">
      <alignment horizontal="center"/>
    </xf>
    <xf numFmtId="0" fontId="32" fillId="0" borderId="16" xfId="0" applyFont="1" applyBorder="1"/>
    <xf numFmtId="0" fontId="32" fillId="0" borderId="16" xfId="0" applyFont="1" applyBorder="1" applyAlignment="1">
      <alignment horizontal="center"/>
    </xf>
    <xf numFmtId="0" fontId="30" fillId="6" borderId="2" xfId="0" applyFont="1" applyFill="1" applyBorder="1"/>
    <xf numFmtId="0" fontId="30" fillId="6" borderId="2" xfId="0" applyFont="1" applyFill="1" applyBorder="1" applyAlignment="1">
      <alignment horizontal="center"/>
    </xf>
    <xf numFmtId="166" fontId="30" fillId="6" borderId="2" xfId="3" applyNumberFormat="1" applyFont="1" applyFill="1" applyBorder="1"/>
    <xf numFmtId="43" fontId="30" fillId="6" borderId="2" xfId="0" applyNumberFormat="1" applyFont="1" applyFill="1" applyBorder="1"/>
    <xf numFmtId="165" fontId="30" fillId="6" borderId="2" xfId="4" applyNumberFormat="1" applyFont="1" applyFill="1" applyBorder="1"/>
    <xf numFmtId="165" fontId="30" fillId="0" borderId="0" xfId="4" applyNumberFormat="1" applyFont="1"/>
    <xf numFmtId="165" fontId="30" fillId="6" borderId="0" xfId="4" applyNumberFormat="1" applyFont="1" applyFill="1"/>
    <xf numFmtId="165" fontId="30" fillId="0" borderId="17" xfId="4" applyNumberFormat="1" applyFont="1" applyBorder="1"/>
    <xf numFmtId="0" fontId="19" fillId="0" borderId="0" xfId="0" applyFont="1" applyFill="1"/>
    <xf numFmtId="3" fontId="30" fillId="0" borderId="0" xfId="3" applyNumberFormat="1" applyFont="1" applyFill="1" applyAlignment="1">
      <alignment horizontal="center"/>
    </xf>
    <xf numFmtId="165" fontId="30" fillId="0" borderId="0" xfId="4" applyNumberFormat="1" applyFont="1" applyFill="1" applyAlignment="1">
      <alignment horizontal="center"/>
    </xf>
    <xf numFmtId="3" fontId="30" fillId="0" borderId="6" xfId="3" applyNumberFormat="1" applyFont="1" applyFill="1" applyBorder="1" applyAlignment="1">
      <alignment horizontal="center"/>
    </xf>
    <xf numFmtId="165" fontId="32" fillId="0" borderId="18" xfId="4" applyNumberFormat="1" applyFont="1" applyFill="1" applyBorder="1" applyAlignment="1">
      <alignment horizontal="center"/>
    </xf>
    <xf numFmtId="165" fontId="32" fillId="0" borderId="15" xfId="4" applyNumberFormat="1" applyFont="1" applyFill="1" applyBorder="1" applyAlignment="1">
      <alignment horizontal="center"/>
    </xf>
    <xf numFmtId="3" fontId="30" fillId="0" borderId="15" xfId="3" applyNumberFormat="1" applyFont="1" applyFill="1" applyBorder="1" applyAlignment="1">
      <alignment horizontal="center"/>
    </xf>
    <xf numFmtId="165" fontId="30" fillId="6" borderId="0" xfId="4" applyNumberFormat="1" applyFont="1" applyFill="1" applyAlignment="1">
      <alignment horizontal="center"/>
    </xf>
    <xf numFmtId="165" fontId="30" fillId="0" borderId="17" xfId="4" applyNumberFormat="1" applyFont="1" applyBorder="1" applyAlignment="1">
      <alignment horizontal="center"/>
    </xf>
    <xf numFmtId="165" fontId="30" fillId="6" borderId="2" xfId="4" applyNumberFormat="1" applyFont="1" applyFill="1" applyBorder="1" applyAlignment="1">
      <alignment horizontal="center"/>
    </xf>
    <xf numFmtId="0" fontId="21" fillId="5" borderId="18" xfId="0" applyNumberFormat="1" applyFont="1" applyFill="1" applyBorder="1" applyAlignment="1" applyProtection="1">
      <alignment horizontal="center" vertical="center"/>
      <protection hidden="1"/>
    </xf>
    <xf numFmtId="0" fontId="21" fillId="4" borderId="15" xfId="0" applyNumberFormat="1" applyFont="1" applyFill="1" applyBorder="1" applyAlignment="1" applyProtection="1">
      <alignment horizontal="center" vertical="center"/>
      <protection hidden="1"/>
    </xf>
    <xf numFmtId="0" fontId="21" fillId="5" borderId="15" xfId="0" applyNumberFormat="1" applyFont="1" applyFill="1" applyBorder="1" applyAlignment="1" applyProtection="1">
      <alignment horizontal="center" vertical="center"/>
      <protection hidden="1"/>
    </xf>
    <xf numFmtId="0" fontId="21" fillId="0" borderId="21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/>
    <xf numFmtId="0" fontId="32" fillId="0" borderId="19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NumberFormat="1" applyFont="1" applyFill="1" applyBorder="1" applyAlignment="1" applyProtection="1">
      <alignment horizontal="center" vertical="center"/>
      <protection hidden="1"/>
    </xf>
    <xf numFmtId="0" fontId="21" fillId="0" borderId="7" xfId="0" applyNumberFormat="1" applyFont="1" applyFill="1" applyBorder="1" applyAlignment="1" applyProtection="1">
      <alignment horizontal="center" vertical="center"/>
      <protection hidden="1"/>
    </xf>
    <xf numFmtId="0" fontId="21" fillId="0" borderId="6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3" fontId="19" fillId="5" borderId="0" xfId="3" applyNumberFormat="1" applyFont="1" applyFill="1" applyBorder="1" applyAlignment="1" applyProtection="1">
      <alignment horizontal="center" vertical="center"/>
      <protection hidden="1"/>
    </xf>
    <xf numFmtId="3" fontId="19" fillId="5" borderId="15" xfId="3" applyNumberFormat="1" applyFont="1" applyFill="1" applyBorder="1" applyAlignment="1" applyProtection="1">
      <alignment horizontal="center" vertical="center"/>
      <protection hidden="1"/>
    </xf>
    <xf numFmtId="3" fontId="19" fillId="0" borderId="0" xfId="3" applyNumberFormat="1" applyFont="1" applyFill="1" applyBorder="1" applyAlignment="1" applyProtection="1">
      <alignment horizontal="center" vertical="center"/>
      <protection hidden="1"/>
    </xf>
    <xf numFmtId="3" fontId="19" fillId="0" borderId="15" xfId="3" applyNumberFormat="1" applyFont="1" applyFill="1" applyBorder="1" applyAlignment="1" applyProtection="1">
      <alignment horizontal="center" vertical="center"/>
      <protection hidden="1"/>
    </xf>
    <xf numFmtId="3" fontId="19" fillId="0" borderId="0" xfId="0" applyNumberFormat="1" applyFont="1" applyAlignment="1">
      <alignment horizontal="center"/>
    </xf>
    <xf numFmtId="3" fontId="19" fillId="0" borderId="11" xfId="0" applyNumberFormat="1" applyFont="1" applyBorder="1" applyAlignment="1">
      <alignment horizontal="center"/>
    </xf>
    <xf numFmtId="3" fontId="19" fillId="0" borderId="20" xfId="0" applyNumberFormat="1" applyFont="1" applyBorder="1" applyAlignment="1">
      <alignment horizontal="center"/>
    </xf>
    <xf numFmtId="0" fontId="19" fillId="0" borderId="15" xfId="0" quotePrefix="1" applyNumberFormat="1" applyFont="1" applyFill="1" applyBorder="1" applyAlignment="1" applyProtection="1">
      <alignment horizontal="center" vertical="center"/>
      <protection hidden="1"/>
    </xf>
    <xf numFmtId="0" fontId="21" fillId="0" borderId="14" xfId="0" quotePrefix="1" applyNumberFormat="1" applyFont="1" applyFill="1" applyBorder="1" applyAlignment="1" applyProtection="1">
      <alignment horizontal="center" vertical="center"/>
      <protection hidden="1"/>
    </xf>
    <xf numFmtId="0" fontId="21" fillId="0" borderId="19" xfId="0" quotePrefix="1" applyNumberFormat="1" applyFont="1" applyFill="1" applyBorder="1" applyAlignment="1" applyProtection="1">
      <alignment horizontal="center" vertical="center"/>
      <protection hidden="1"/>
    </xf>
    <xf numFmtId="3" fontId="1" fillId="2" borderId="0" xfId="0" quotePrefix="1" applyNumberFormat="1" applyFont="1" applyFill="1" applyAlignment="1">
      <alignment horizontal="center"/>
    </xf>
    <xf numFmtId="3" fontId="1" fillId="2" borderId="0" xfId="0" quotePrefix="1" applyNumberFormat="1" applyFont="1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34" fillId="0" borderId="6" xfId="0" applyNumberFormat="1" applyFont="1" applyBorder="1" applyAlignment="1" applyProtection="1">
      <alignment horizontal="left"/>
      <protection hidden="1"/>
    </xf>
    <xf numFmtId="0" fontId="20" fillId="0" borderId="6" xfId="0" applyFont="1" applyBorder="1" applyAlignment="1">
      <alignment horizontal="right"/>
    </xf>
    <xf numFmtId="0" fontId="33" fillId="0" borderId="14" xfId="0" applyFont="1" applyBorder="1" applyAlignment="1">
      <alignment horizontal="left"/>
    </xf>
  </cellXfs>
  <cellStyles count="5">
    <cellStyle name="Comma" xfId="3" builtinId="3"/>
    <cellStyle name="Hyperlink" xfId="2" builtinId="8"/>
    <cellStyle name="Normal" xfId="0" builtinId="0"/>
    <cellStyle name="Normal 2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TIF/Reporting/IncomeStatement/IncomeStatement-Dec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 (Dec 2011)"/>
      <sheetName val="Income"/>
      <sheetName val="Expenses"/>
      <sheetName val="IncomeSummary"/>
      <sheetName val="Entertainment"/>
      <sheetName val="GeneralSupplies"/>
      <sheetName val="Printing"/>
      <sheetName val="Repair&amp;Maintenance"/>
      <sheetName val="Fuel"/>
      <sheetName val="StaffWelfare"/>
    </sheetNames>
    <sheetDataSet>
      <sheetData sheetId="0"/>
      <sheetData sheetId="1"/>
      <sheetData sheetId="2"/>
      <sheetData sheetId="3"/>
      <sheetData sheetId="4">
        <row r="72">
          <cell r="I72">
            <v>144792</v>
          </cell>
        </row>
        <row r="84">
          <cell r="I84">
            <v>75500</v>
          </cell>
        </row>
      </sheetData>
      <sheetData sheetId="5">
        <row r="49">
          <cell r="I49">
            <v>42228</v>
          </cell>
        </row>
        <row r="58">
          <cell r="I58">
            <v>6950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IncomeStatement-Dec2011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opLeftCell="D76" workbookViewId="0">
      <selection activeCell="U100" sqref="U100"/>
    </sheetView>
  </sheetViews>
  <sheetFormatPr defaultRowHeight="15" x14ac:dyDescent="0.25"/>
  <cols>
    <col min="1" max="2" width="2.85546875" customWidth="1"/>
    <col min="6" max="6" width="4.140625" bestFit="1" customWidth="1"/>
    <col min="7" max="7" width="12.85546875" customWidth="1"/>
    <col min="8" max="8" width="1.42578125" customWidth="1"/>
    <col min="9" max="9" width="7.7109375" bestFit="1" customWidth="1"/>
    <col min="10" max="10" width="2.85546875" customWidth="1"/>
    <col min="14" max="17" width="2.85546875" customWidth="1"/>
    <col min="21" max="21" width="12.85546875" customWidth="1"/>
    <col min="22" max="22" width="1.42578125" customWidth="1"/>
    <col min="23" max="23" width="7.140625" customWidth="1"/>
    <col min="24" max="24" width="2.85546875" customWidth="1"/>
  </cols>
  <sheetData>
    <row r="1" spans="1:24" ht="18" x14ac:dyDescent="0.25">
      <c r="A1" s="61" t="s">
        <v>127</v>
      </c>
      <c r="F1" s="84"/>
      <c r="G1" s="45"/>
      <c r="I1" s="67"/>
      <c r="N1" s="61" t="s">
        <v>0</v>
      </c>
      <c r="O1" s="80"/>
      <c r="P1" s="80"/>
      <c r="Q1" s="61"/>
      <c r="R1" s="61"/>
      <c r="S1" s="61"/>
      <c r="T1" s="61"/>
      <c r="U1" s="61"/>
      <c r="V1" s="61"/>
      <c r="W1" s="75"/>
      <c r="X1" s="61"/>
    </row>
    <row r="2" spans="1:24" ht="16.5" x14ac:dyDescent="0.25">
      <c r="A2" s="62" t="s">
        <v>1</v>
      </c>
      <c r="F2" s="84"/>
      <c r="G2" s="45"/>
      <c r="I2" s="67"/>
      <c r="N2" s="62" t="s">
        <v>128</v>
      </c>
      <c r="O2" s="81"/>
      <c r="P2" s="81"/>
      <c r="Q2" s="62"/>
      <c r="R2" s="62"/>
      <c r="S2" s="62"/>
      <c r="T2" s="62"/>
      <c r="U2" s="62"/>
      <c r="V2" s="62"/>
      <c r="W2" s="8"/>
      <c r="X2" s="62"/>
    </row>
    <row r="3" spans="1:24" ht="16.5" x14ac:dyDescent="0.25">
      <c r="A3" s="62" t="s">
        <v>136</v>
      </c>
      <c r="F3" s="84"/>
      <c r="G3" s="45"/>
      <c r="I3" s="67"/>
      <c r="N3" s="62" t="s">
        <v>129</v>
      </c>
      <c r="O3" s="81"/>
      <c r="P3" s="81"/>
      <c r="Q3" s="62"/>
      <c r="R3" s="62"/>
      <c r="S3" s="62"/>
      <c r="T3" s="62"/>
      <c r="U3" s="62"/>
      <c r="V3" s="62"/>
      <c r="W3" s="8"/>
      <c r="X3" s="62"/>
    </row>
    <row r="4" spans="1:24" x14ac:dyDescent="0.25">
      <c r="F4" s="84"/>
      <c r="G4" s="45"/>
      <c r="I4" s="67"/>
      <c r="O4" s="82"/>
      <c r="P4" s="82"/>
      <c r="U4" s="45"/>
      <c r="W4" s="71"/>
    </row>
    <row r="5" spans="1:24" x14ac:dyDescent="0.25">
      <c r="F5" s="84"/>
      <c r="G5" s="211" t="s">
        <v>104</v>
      </c>
      <c r="H5" s="211"/>
      <c r="I5" s="211"/>
      <c r="O5" s="82"/>
      <c r="P5" s="82"/>
      <c r="U5" s="211" t="s">
        <v>104</v>
      </c>
      <c r="V5" s="211"/>
      <c r="W5" s="211"/>
    </row>
    <row r="6" spans="1:24" x14ac:dyDescent="0.25">
      <c r="F6" s="84"/>
      <c r="G6" s="45"/>
      <c r="I6" s="67"/>
      <c r="O6" s="82"/>
      <c r="P6" s="82"/>
      <c r="U6" s="45"/>
      <c r="W6" s="71"/>
    </row>
    <row r="7" spans="1:24" x14ac:dyDescent="0.25">
      <c r="B7" s="50" t="s">
        <v>3</v>
      </c>
      <c r="C7" s="50"/>
      <c r="D7" s="50"/>
      <c r="E7" s="50"/>
      <c r="F7" s="85"/>
      <c r="G7" s="46">
        <f>SUM(G8:G9)</f>
        <v>17953870</v>
      </c>
      <c r="I7" s="74">
        <f>G7/$G$9</f>
        <v>1.0027982933203454</v>
      </c>
      <c r="O7" s="82">
        <v>1</v>
      </c>
      <c r="P7" s="82" t="s">
        <v>135</v>
      </c>
      <c r="Q7" s="50" t="s">
        <v>75</v>
      </c>
      <c r="U7" s="46">
        <f>SUM(U8:U13)</f>
        <v>8658442</v>
      </c>
      <c r="W7" s="74" t="e">
        <f>U7/'2011-2012--&gt;IS Jul-Dec'!$G$12</f>
        <v>#DIV/0!</v>
      </c>
      <c r="X7" s="83">
        <v>1</v>
      </c>
    </row>
    <row r="8" spans="1:24" x14ac:dyDescent="0.25">
      <c r="C8" s="60" t="s">
        <v>4</v>
      </c>
      <c r="D8" s="60"/>
      <c r="E8" s="60"/>
      <c r="F8" s="84"/>
      <c r="G8" s="63">
        <v>50100</v>
      </c>
      <c r="I8" s="68">
        <f>G8/$G$9</f>
        <v>2.7982933203453799E-3</v>
      </c>
      <c r="O8" s="82"/>
      <c r="P8" s="82"/>
      <c r="R8" t="s">
        <v>76</v>
      </c>
      <c r="U8" s="47">
        <v>7621747</v>
      </c>
      <c r="W8" s="77" t="e">
        <f>U8/'2011-2012--&gt;IS Jul-Dec'!$G$12</f>
        <v>#DIV/0!</v>
      </c>
      <c r="X8" s="83"/>
    </row>
    <row r="9" spans="1:24" x14ac:dyDescent="0.25">
      <c r="C9" s="60" t="s">
        <v>5</v>
      </c>
      <c r="D9" s="60"/>
      <c r="E9" s="60"/>
      <c r="F9" s="84"/>
      <c r="G9" s="64">
        <v>17903770</v>
      </c>
      <c r="I9" s="69">
        <f>G9/$G$9</f>
        <v>1</v>
      </c>
      <c r="O9" s="82"/>
      <c r="P9" s="82"/>
      <c r="R9" t="s">
        <v>77</v>
      </c>
      <c r="U9" s="48">
        <v>422214</v>
      </c>
      <c r="W9" s="78" t="e">
        <f>U9/'2011-2012--&gt;IS Jul-Dec'!$G$12</f>
        <v>#DIV/0!</v>
      </c>
      <c r="X9" s="83"/>
    </row>
    <row r="10" spans="1:24" x14ac:dyDescent="0.25">
      <c r="F10" s="84"/>
      <c r="G10" s="45"/>
      <c r="I10" s="67"/>
      <c r="O10" s="82"/>
      <c r="P10" s="82"/>
      <c r="R10" t="s">
        <v>78</v>
      </c>
      <c r="U10" s="48">
        <v>282154</v>
      </c>
      <c r="W10" s="78" t="e">
        <f>U10/'2011-2012--&gt;IS Jul-Dec'!$G$12</f>
        <v>#DIV/0!</v>
      </c>
      <c r="X10" s="83"/>
    </row>
    <row r="11" spans="1:24" x14ac:dyDescent="0.25">
      <c r="B11" s="50" t="s">
        <v>124</v>
      </c>
      <c r="C11" s="50"/>
      <c r="D11" s="50"/>
      <c r="E11" s="50"/>
      <c r="F11" s="85"/>
      <c r="G11" s="46">
        <f>SUM(G12:G30)</f>
        <v>12127003</v>
      </c>
      <c r="I11" s="74">
        <f t="shared" ref="I11:I30" si="0">G11/$G$9</f>
        <v>0.67734354272871022</v>
      </c>
      <c r="O11" s="82"/>
      <c r="P11" s="82"/>
      <c r="R11" t="s">
        <v>79</v>
      </c>
      <c r="U11" s="48">
        <v>138250</v>
      </c>
      <c r="W11" s="78" t="e">
        <f>U11/'2011-2012--&gt;IS Jul-Dec'!$G$12</f>
        <v>#DIV/0!</v>
      </c>
      <c r="X11" s="83"/>
    </row>
    <row r="12" spans="1:24" x14ac:dyDescent="0.25">
      <c r="C12" t="s">
        <v>75</v>
      </c>
      <c r="F12" s="84">
        <f>VLOOKUP(C12,'N Jul-Dec'!D7:L102,8,FALSE)</f>
        <v>1</v>
      </c>
      <c r="G12" s="56">
        <v>8658442</v>
      </c>
      <c r="I12" s="68">
        <f t="shared" si="0"/>
        <v>0.48360998828738305</v>
      </c>
      <c r="O12" s="82"/>
      <c r="P12" s="82"/>
      <c r="R12" t="s">
        <v>80</v>
      </c>
      <c r="U12" s="48">
        <v>38922</v>
      </c>
      <c r="W12" s="78" t="e">
        <f>U12/'2011-2012--&gt;IS Jul-Dec'!$G$12</f>
        <v>#DIV/0!</v>
      </c>
      <c r="X12" s="83"/>
    </row>
    <row r="13" spans="1:24" x14ac:dyDescent="0.25">
      <c r="C13" t="s">
        <v>82</v>
      </c>
      <c r="F13" s="84">
        <f>VLOOKUP(C13,'N Jul-Dec'!D8:L103,8,FALSE)</f>
        <v>4</v>
      </c>
      <c r="G13" s="58">
        <v>729035</v>
      </c>
      <c r="I13" s="70">
        <f t="shared" si="0"/>
        <v>4.0719636143672536E-2</v>
      </c>
      <c r="O13" s="82"/>
      <c r="P13" s="82"/>
      <c r="R13" t="s">
        <v>81</v>
      </c>
      <c r="U13" s="49">
        <v>155155</v>
      </c>
      <c r="W13" s="79" t="e">
        <f>U13/'2011-2012--&gt;IS Jul-Dec'!$G$12</f>
        <v>#DIV/0!</v>
      </c>
      <c r="X13" s="83"/>
    </row>
    <row r="14" spans="1:24" x14ac:dyDescent="0.25">
      <c r="C14" t="s">
        <v>110</v>
      </c>
      <c r="F14" s="84">
        <f>VLOOKUP(C14,'N Jul-Dec'!D9:L104,8,FALSE)</f>
        <v>14</v>
      </c>
      <c r="G14" s="58">
        <v>412500</v>
      </c>
      <c r="I14" s="70">
        <f t="shared" si="0"/>
        <v>2.3039840212424535E-2</v>
      </c>
      <c r="O14" s="82"/>
      <c r="P14" s="82"/>
      <c r="U14" s="45"/>
      <c r="W14" s="71"/>
      <c r="X14" s="83"/>
    </row>
    <row r="15" spans="1:24" x14ac:dyDescent="0.25">
      <c r="C15" t="s">
        <v>99</v>
      </c>
      <c r="F15" s="84">
        <f>VLOOKUP(C15,'N Jul-Dec'!D10:L105,8,FALSE)</f>
        <v>8</v>
      </c>
      <c r="G15" s="58">
        <v>367334</v>
      </c>
      <c r="I15" s="70">
        <f t="shared" si="0"/>
        <v>2.0517131308098797E-2</v>
      </c>
      <c r="O15" s="82">
        <v>2</v>
      </c>
      <c r="P15" s="82" t="s">
        <v>135</v>
      </c>
      <c r="Q15" s="50" t="s">
        <v>134</v>
      </c>
      <c r="U15" s="46">
        <v>5000</v>
      </c>
      <c r="W15" s="74" t="e">
        <f>U15/'2011-2012--&gt;IS Jul-Dec'!$G$12</f>
        <v>#DIV/0!</v>
      </c>
      <c r="X15" s="83">
        <v>2</v>
      </c>
    </row>
    <row r="16" spans="1:24" x14ac:dyDescent="0.25">
      <c r="C16" t="s">
        <v>133</v>
      </c>
      <c r="F16" s="84">
        <f>VLOOKUP(C16,'N Jul-Dec'!D11:L106,8,FALSE)</f>
        <v>9</v>
      </c>
      <c r="G16" s="58">
        <v>305910</v>
      </c>
      <c r="I16" s="70">
        <f t="shared" si="0"/>
        <v>1.7086345501534036E-2</v>
      </c>
      <c r="O16" s="82"/>
      <c r="P16" s="82"/>
      <c r="R16" t="s">
        <v>111</v>
      </c>
      <c r="U16" s="59">
        <v>5000</v>
      </c>
      <c r="W16" s="76" t="e">
        <f>U16/'2011-2012--&gt;IS Jul-Dec'!$G$12</f>
        <v>#DIV/0!</v>
      </c>
      <c r="X16" s="83"/>
    </row>
    <row r="17" spans="2:24" x14ac:dyDescent="0.25">
      <c r="C17" t="s">
        <v>96</v>
      </c>
      <c r="F17" s="84">
        <f>VLOOKUP(C17,'N Jul-Dec'!D12:L107,8,FALSE)</f>
        <v>7</v>
      </c>
      <c r="G17" s="58">
        <v>302954</v>
      </c>
      <c r="I17" s="70">
        <f t="shared" si="0"/>
        <v>1.6921240610217849E-2</v>
      </c>
      <c r="O17" s="82"/>
      <c r="P17" s="82"/>
      <c r="U17" s="45"/>
      <c r="W17" s="71"/>
      <c r="X17" s="83"/>
    </row>
    <row r="18" spans="2:24" x14ac:dyDescent="0.25">
      <c r="C18" t="s">
        <v>130</v>
      </c>
      <c r="F18" s="84">
        <f>VLOOKUP(C18,'N Jul-Dec'!D15:L110,8,FALSE)</f>
        <v>13</v>
      </c>
      <c r="G18" s="58">
        <v>299456</v>
      </c>
      <c r="I18" s="70">
        <f t="shared" si="0"/>
        <v>1.6725862765216488E-2</v>
      </c>
      <c r="O18" s="82">
        <v>3</v>
      </c>
      <c r="P18" s="82" t="s">
        <v>135</v>
      </c>
      <c r="Q18" s="50" t="s">
        <v>106</v>
      </c>
      <c r="U18" s="46">
        <f>SUM(U19:U23)</f>
        <v>237181</v>
      </c>
      <c r="W18" s="74" t="e">
        <f>U18/'2011-2012--&gt;IS Jul-Dec'!$G$12</f>
        <v>#DIV/0!</v>
      </c>
      <c r="X18" s="83">
        <v>3</v>
      </c>
    </row>
    <row r="19" spans="2:24" x14ac:dyDescent="0.25">
      <c r="C19" t="s">
        <v>106</v>
      </c>
      <c r="F19" s="84">
        <f>VLOOKUP(C19,'N Jul-Dec'!D13:L108,8,FALSE)</f>
        <v>3</v>
      </c>
      <c r="G19" s="58">
        <v>237181</v>
      </c>
      <c r="I19" s="70">
        <f t="shared" si="0"/>
        <v>1.3247545070116518E-2</v>
      </c>
      <c r="O19" s="82"/>
      <c r="P19" s="82"/>
      <c r="R19" t="s">
        <v>66</v>
      </c>
      <c r="U19" s="56">
        <v>16815</v>
      </c>
      <c r="W19" s="77" t="e">
        <f>U19/'2011-2012--&gt;IS Jul-Dec'!$G$12</f>
        <v>#DIV/0!</v>
      </c>
      <c r="X19" s="83"/>
    </row>
    <row r="20" spans="2:24" x14ac:dyDescent="0.25">
      <c r="C20" t="s">
        <v>107</v>
      </c>
      <c r="F20" s="84">
        <f>VLOOKUP(C20,'N Jul-Dec'!D14:L109,8,FALSE)</f>
        <v>12</v>
      </c>
      <c r="G20" s="58">
        <v>220292</v>
      </c>
      <c r="I20" s="70">
        <f t="shared" si="0"/>
        <v>1.2304224194122243E-2</v>
      </c>
      <c r="O20" s="82"/>
      <c r="P20" s="82"/>
      <c r="R20" t="s">
        <v>67</v>
      </c>
      <c r="U20" s="58">
        <v>79590</v>
      </c>
      <c r="W20" s="78" t="e">
        <f>U20/'2011-2012--&gt;IS Jul-Dec'!$G$12</f>
        <v>#DIV/0!</v>
      </c>
      <c r="X20" s="83"/>
    </row>
    <row r="21" spans="2:24" x14ac:dyDescent="0.25">
      <c r="C21" t="s">
        <v>105</v>
      </c>
      <c r="F21" s="84">
        <f>VLOOKUP(C21,'N Jul-Dec'!D16:L111,8,FALSE)</f>
        <v>11</v>
      </c>
      <c r="G21" s="58">
        <v>139300</v>
      </c>
      <c r="I21" s="70">
        <f t="shared" si="0"/>
        <v>7.7804842220381516E-3</v>
      </c>
      <c r="O21" s="82"/>
      <c r="P21" s="82"/>
      <c r="R21" t="s">
        <v>68</v>
      </c>
      <c r="U21" s="58">
        <v>140238</v>
      </c>
      <c r="W21" s="78" t="e">
        <f>U21/'2011-2012--&gt;IS Jul-Dec'!$G$12</f>
        <v>#DIV/0!</v>
      </c>
      <c r="X21" s="83"/>
    </row>
    <row r="22" spans="2:24" x14ac:dyDescent="0.25">
      <c r="C22" t="s">
        <v>132</v>
      </c>
      <c r="F22" s="84">
        <f>VLOOKUP(C22,'N Jul-Dec'!D18:L113,8,FALSE)</f>
        <v>19</v>
      </c>
      <c r="G22" s="58">
        <v>106240</v>
      </c>
      <c r="I22" s="70">
        <f t="shared" si="0"/>
        <v>5.9339457555587453E-3</v>
      </c>
      <c r="O22" s="82"/>
      <c r="P22" s="82"/>
      <c r="R22" t="s">
        <v>121</v>
      </c>
      <c r="U22" s="58">
        <v>338</v>
      </c>
      <c r="W22" s="78" t="e">
        <f>U22/'2011-2012--&gt;IS Jul-Dec'!$G$12</f>
        <v>#DIV/0!</v>
      </c>
      <c r="X22" s="83"/>
    </row>
    <row r="23" spans="2:24" x14ac:dyDescent="0.25">
      <c r="C23" t="s">
        <v>92</v>
      </c>
      <c r="F23" s="84">
        <f>VLOOKUP(C23,'N Jul-Dec'!D19:L114,8,FALSE)</f>
        <v>6</v>
      </c>
      <c r="G23" s="58">
        <v>97699</v>
      </c>
      <c r="I23" s="70">
        <f t="shared" si="0"/>
        <v>5.4568953913058538E-3</v>
      </c>
      <c r="O23" s="82"/>
      <c r="P23" s="82"/>
      <c r="R23" t="s">
        <v>29</v>
      </c>
      <c r="U23" s="57">
        <v>200</v>
      </c>
      <c r="W23" s="79" t="e">
        <f>U23/'2011-2012--&gt;IS Jul-Dec'!$G$12</f>
        <v>#DIV/0!</v>
      </c>
      <c r="X23" s="83"/>
    </row>
    <row r="24" spans="2:24" x14ac:dyDescent="0.25">
      <c r="C24" t="s">
        <v>88</v>
      </c>
      <c r="F24" s="84">
        <f>VLOOKUP(C24,'N Jul-Dec'!D20:L115,8,FALSE)</f>
        <v>5</v>
      </c>
      <c r="G24" s="58">
        <v>73736</v>
      </c>
      <c r="I24" s="70">
        <f t="shared" si="0"/>
        <v>4.1184622009777828E-3</v>
      </c>
      <c r="O24" s="82"/>
      <c r="P24" s="82"/>
      <c r="U24" s="45"/>
      <c r="W24" s="71"/>
      <c r="X24" s="83"/>
    </row>
    <row r="25" spans="2:24" x14ac:dyDescent="0.25">
      <c r="C25" t="s">
        <v>101</v>
      </c>
      <c r="F25" s="84">
        <f>VLOOKUP(C25,'N Jul-Dec'!D21:L116,8,FALSE)</f>
        <v>10</v>
      </c>
      <c r="G25" s="58">
        <v>62473</v>
      </c>
      <c r="I25" s="70">
        <f t="shared" si="0"/>
        <v>3.4893768184019345E-3</v>
      </c>
      <c r="O25" s="82">
        <v>4</v>
      </c>
      <c r="P25" s="82" t="s">
        <v>135</v>
      </c>
      <c r="Q25" s="50" t="s">
        <v>82</v>
      </c>
      <c r="U25" s="46">
        <f>SUM(U26:U30)</f>
        <v>929204</v>
      </c>
      <c r="W25" s="74" t="e">
        <f>U25/'2011-2012--&gt;IS Jul-Dec'!$G$12</f>
        <v>#DIV/0!</v>
      </c>
      <c r="X25" s="83">
        <v>4</v>
      </c>
    </row>
    <row r="26" spans="2:24" x14ac:dyDescent="0.25">
      <c r="C26" t="s">
        <v>115</v>
      </c>
      <c r="F26" s="84">
        <f>VLOOKUP(C26,'N Jul-Dec'!D22:L117,8,FALSE)</f>
        <v>17</v>
      </c>
      <c r="G26" s="58">
        <v>40000</v>
      </c>
      <c r="I26" s="70">
        <f t="shared" si="0"/>
        <v>2.2341663236290455E-3</v>
      </c>
      <c r="O26" s="82"/>
      <c r="P26" s="82"/>
      <c r="R26" t="s">
        <v>83</v>
      </c>
      <c r="U26" s="47">
        <v>546850</v>
      </c>
      <c r="W26" s="77" t="e">
        <f>U26/'2011-2012--&gt;IS Jul-Dec'!$G$12</f>
        <v>#DIV/0!</v>
      </c>
      <c r="X26" s="83"/>
    </row>
    <row r="27" spans="2:24" x14ac:dyDescent="0.25">
      <c r="C27" t="s">
        <v>117</v>
      </c>
      <c r="F27" s="84">
        <f>VLOOKUP(C27,'N Jul-Dec'!D23:L118,8,FALSE)</f>
        <v>18</v>
      </c>
      <c r="G27" s="58">
        <v>36323</v>
      </c>
      <c r="I27" s="70">
        <f t="shared" si="0"/>
        <v>2.0287905843294459E-3</v>
      </c>
      <c r="O27" s="82"/>
      <c r="P27" s="82"/>
      <c r="R27" t="s">
        <v>84</v>
      </c>
      <c r="U27" s="48">
        <v>50244</v>
      </c>
      <c r="W27" s="78" t="e">
        <f>U27/'2011-2012--&gt;IS Jul-Dec'!$G$12</f>
        <v>#DIV/0!</v>
      </c>
      <c r="X27" s="83"/>
    </row>
    <row r="28" spans="2:24" x14ac:dyDescent="0.25">
      <c r="C28" t="s">
        <v>112</v>
      </c>
      <c r="F28" s="84">
        <f>VLOOKUP(C28,'N Jul-Dec'!D24:L119,8,FALSE)</f>
        <v>16</v>
      </c>
      <c r="G28" s="58">
        <v>24732</v>
      </c>
      <c r="I28" s="70">
        <f t="shared" si="0"/>
        <v>1.381385037899839E-3</v>
      </c>
      <c r="O28" s="82"/>
      <c r="P28" s="82"/>
      <c r="R28" t="s">
        <v>85</v>
      </c>
      <c r="U28" s="48">
        <v>9500</v>
      </c>
      <c r="W28" s="78" t="e">
        <f>U28/'2011-2012--&gt;IS Jul-Dec'!$G$12</f>
        <v>#DIV/0!</v>
      </c>
      <c r="X28" s="83"/>
    </row>
    <row r="29" spans="2:24" x14ac:dyDescent="0.25">
      <c r="C29" t="s">
        <v>113</v>
      </c>
      <c r="F29" s="84">
        <f>VLOOKUP(C29,'N Jul-Dec'!D25:L120,8,FALSE)</f>
        <v>15</v>
      </c>
      <c r="G29" s="58">
        <v>8396</v>
      </c>
      <c r="I29" s="70">
        <f t="shared" si="0"/>
        <v>4.6895151132973669E-4</v>
      </c>
      <c r="O29" s="82"/>
      <c r="P29" s="82"/>
      <c r="R29" t="s">
        <v>91</v>
      </c>
      <c r="U29" s="48">
        <v>51795</v>
      </c>
      <c r="W29" s="78" t="e">
        <f>U29/'2011-2012--&gt;IS Jul-Dec'!$G$12</f>
        <v>#DIV/0!</v>
      </c>
      <c r="X29" s="83"/>
    </row>
    <row r="30" spans="2:24" x14ac:dyDescent="0.25">
      <c r="C30" t="s">
        <v>134</v>
      </c>
      <c r="F30" s="84">
        <v>2</v>
      </c>
      <c r="G30" s="57">
        <v>5000</v>
      </c>
      <c r="I30" s="69">
        <f t="shared" si="0"/>
        <v>2.7927079045363069E-4</v>
      </c>
      <c r="O30" s="82"/>
      <c r="P30" s="82"/>
      <c r="R30" t="s">
        <v>87</v>
      </c>
      <c r="U30" s="51">
        <v>270815</v>
      </c>
      <c r="W30" s="79" t="e">
        <f>U30/'2011-2012--&gt;IS Jul-Dec'!$G$12</f>
        <v>#DIV/0!</v>
      </c>
      <c r="X30" s="83"/>
    </row>
    <row r="31" spans="2:24" x14ac:dyDescent="0.25">
      <c r="F31" s="84"/>
      <c r="G31" s="45"/>
      <c r="I31" s="72"/>
      <c r="O31" s="82"/>
      <c r="P31" s="82"/>
      <c r="U31" s="45"/>
      <c r="W31" s="71"/>
      <c r="X31" s="83"/>
    </row>
    <row r="32" spans="2:24" x14ac:dyDescent="0.25">
      <c r="B32" s="50" t="s">
        <v>72</v>
      </c>
      <c r="F32" s="84"/>
      <c r="G32" s="66">
        <f>G7-G11</f>
        <v>5826867</v>
      </c>
      <c r="I32" s="74">
        <f t="shared" ref="I32:I36" si="1">G32/$G$9</f>
        <v>0.32545475059163514</v>
      </c>
      <c r="O32" s="82">
        <v>5</v>
      </c>
      <c r="P32" s="82" t="s">
        <v>135</v>
      </c>
      <c r="Q32" s="50" t="s">
        <v>88</v>
      </c>
      <c r="U32" s="55">
        <f>SUM(U33:U35)</f>
        <v>73736</v>
      </c>
      <c r="W32" s="74" t="e">
        <f>U32/'2011-2012--&gt;IS Jul-Dec'!$G$12</f>
        <v>#DIV/0!</v>
      </c>
      <c r="X32" s="83">
        <v>5</v>
      </c>
    </row>
    <row r="33" spans="2:24" x14ac:dyDescent="0.25">
      <c r="F33" s="84"/>
      <c r="G33" s="45"/>
      <c r="I33" s="71"/>
      <c r="O33" s="82"/>
      <c r="P33" s="82"/>
      <c r="R33" t="s">
        <v>33</v>
      </c>
      <c r="U33" s="53">
        <v>49178</v>
      </c>
      <c r="W33" s="77" t="e">
        <f>U33/'2011-2012--&gt;IS Jul-Dec'!$G$12</f>
        <v>#DIV/0!</v>
      </c>
      <c r="X33" s="83"/>
    </row>
    <row r="34" spans="2:24" x14ac:dyDescent="0.25">
      <c r="B34" t="s">
        <v>126</v>
      </c>
      <c r="F34" s="84"/>
      <c r="G34" s="45">
        <v>2285274</v>
      </c>
      <c r="I34" s="71">
        <f t="shared" si="1"/>
        <v>0.12764205527662609</v>
      </c>
      <c r="O34" s="82"/>
      <c r="P34" s="82"/>
      <c r="R34" t="s">
        <v>89</v>
      </c>
      <c r="U34" s="54">
        <v>2865</v>
      </c>
      <c r="W34" s="78" t="e">
        <f>U34/'2011-2012--&gt;IS Jul-Dec'!$G$12</f>
        <v>#DIV/0!</v>
      </c>
      <c r="X34" s="83"/>
    </row>
    <row r="35" spans="2:24" x14ac:dyDescent="0.25">
      <c r="F35" s="84"/>
      <c r="G35" s="45"/>
      <c r="I35" s="71"/>
      <c r="O35" s="82"/>
      <c r="P35" s="82"/>
      <c r="R35" t="s">
        <v>90</v>
      </c>
      <c r="U35" s="51">
        <v>21693</v>
      </c>
      <c r="W35" s="79" t="e">
        <f>U35/'2011-2012--&gt;IS Jul-Dec'!$G$12</f>
        <v>#DIV/0!</v>
      </c>
      <c r="X35" s="83"/>
    </row>
    <row r="36" spans="2:24" ht="15.75" thickBot="1" x14ac:dyDescent="0.3">
      <c r="B36" s="50" t="s">
        <v>125</v>
      </c>
      <c r="E36" s="50"/>
      <c r="F36" s="85"/>
      <c r="G36" s="65">
        <f>G32-G34</f>
        <v>3541593</v>
      </c>
      <c r="I36" s="73">
        <f t="shared" si="1"/>
        <v>0.19781269531500908</v>
      </c>
      <c r="O36" s="82"/>
      <c r="P36" s="82"/>
      <c r="U36" s="52"/>
      <c r="W36" s="71"/>
      <c r="X36" s="83"/>
    </row>
    <row r="37" spans="2:24" ht="15.75" thickTop="1" x14ac:dyDescent="0.25">
      <c r="O37" s="82">
        <v>6</v>
      </c>
      <c r="P37" s="82" t="s">
        <v>135</v>
      </c>
      <c r="Q37" s="50" t="s">
        <v>92</v>
      </c>
      <c r="U37" s="55">
        <f>SUM(U38:U42)</f>
        <v>97699</v>
      </c>
      <c r="W37" s="74" t="e">
        <f>U37/'2011-2012--&gt;IS Jul-Dec'!$G$12</f>
        <v>#DIV/0!</v>
      </c>
      <c r="X37" s="83">
        <v>6</v>
      </c>
    </row>
    <row r="38" spans="2:24" x14ac:dyDescent="0.25">
      <c r="O38" s="82"/>
      <c r="P38" s="82"/>
      <c r="R38" t="s">
        <v>93</v>
      </c>
      <c r="U38" s="53">
        <v>2762</v>
      </c>
      <c r="W38" s="77" t="e">
        <f>U38/'2011-2012--&gt;IS Jul-Dec'!$G$12</f>
        <v>#DIV/0!</v>
      </c>
      <c r="X38" s="83"/>
    </row>
    <row r="39" spans="2:24" x14ac:dyDescent="0.25">
      <c r="O39" s="82"/>
      <c r="P39" s="82"/>
      <c r="R39" t="s">
        <v>32</v>
      </c>
      <c r="U39" s="54">
        <v>18575</v>
      </c>
      <c r="W39" s="78" t="e">
        <f>U39/'2011-2012--&gt;IS Jul-Dec'!$G$12</f>
        <v>#DIV/0!</v>
      </c>
      <c r="X39" s="83"/>
    </row>
    <row r="40" spans="2:24" x14ac:dyDescent="0.25">
      <c r="O40" s="82"/>
      <c r="P40" s="82"/>
      <c r="R40" t="s">
        <v>33</v>
      </c>
      <c r="U40" s="54">
        <v>11350</v>
      </c>
      <c r="W40" s="78" t="e">
        <f>U40/'2011-2012--&gt;IS Jul-Dec'!$G$12</f>
        <v>#DIV/0!</v>
      </c>
      <c r="X40" s="83"/>
    </row>
    <row r="41" spans="2:24" x14ac:dyDescent="0.25">
      <c r="O41" s="82"/>
      <c r="P41" s="82"/>
      <c r="R41" t="s">
        <v>94</v>
      </c>
      <c r="U41" s="54">
        <v>57512</v>
      </c>
      <c r="W41" s="78" t="e">
        <f>U41/'2011-2012--&gt;IS Jul-Dec'!$G$12</f>
        <v>#DIV/0!</v>
      </c>
      <c r="X41" s="83"/>
    </row>
    <row r="42" spans="2:24" x14ac:dyDescent="0.25">
      <c r="O42" s="82"/>
      <c r="P42" s="82"/>
      <c r="R42" t="s">
        <v>34</v>
      </c>
      <c r="U42" s="51">
        <v>7500</v>
      </c>
      <c r="W42" s="79" t="e">
        <f>U42/'2011-2012--&gt;IS Jul-Dec'!$G$12</f>
        <v>#DIV/0!</v>
      </c>
      <c r="X42" s="83"/>
    </row>
    <row r="43" spans="2:24" x14ac:dyDescent="0.25">
      <c r="O43" s="82"/>
      <c r="P43" s="82"/>
      <c r="U43" s="52"/>
      <c r="W43" s="71"/>
      <c r="X43" s="83"/>
    </row>
    <row r="44" spans="2:24" x14ac:dyDescent="0.25">
      <c r="O44" s="82">
        <v>7</v>
      </c>
      <c r="P44" s="82" t="s">
        <v>135</v>
      </c>
      <c r="Q44" s="50" t="s">
        <v>96</v>
      </c>
      <c r="U44" s="46">
        <f>SUM(U45:U48)</f>
        <v>302954</v>
      </c>
      <c r="W44" s="74" t="e">
        <f>U44/'2011-2012--&gt;IS Jul-Dec'!$G$12</f>
        <v>#DIV/0!</v>
      </c>
      <c r="X44" s="83">
        <v>7</v>
      </c>
    </row>
    <row r="45" spans="2:24" x14ac:dyDescent="0.25">
      <c r="O45" s="82"/>
      <c r="P45" s="82"/>
      <c r="R45" t="s">
        <v>95</v>
      </c>
      <c r="U45" s="56">
        <v>11227</v>
      </c>
      <c r="W45" s="77" t="e">
        <f>U45/'2011-2012--&gt;IS Jul-Dec'!$G$12</f>
        <v>#DIV/0!</v>
      </c>
      <c r="X45" s="83"/>
    </row>
    <row r="46" spans="2:24" x14ac:dyDescent="0.25">
      <c r="O46" s="82"/>
      <c r="P46" s="82"/>
      <c r="R46" t="s">
        <v>97</v>
      </c>
      <c r="U46" s="58">
        <f>39796+195000</f>
        <v>234796</v>
      </c>
      <c r="W46" s="78" t="e">
        <f>U46/'2011-2012--&gt;IS Jul-Dec'!$G$12</f>
        <v>#DIV/0!</v>
      </c>
      <c r="X46" s="83"/>
    </row>
    <row r="47" spans="2:24" x14ac:dyDescent="0.25">
      <c r="O47" s="82"/>
      <c r="P47" s="82"/>
      <c r="R47" t="s">
        <v>98</v>
      </c>
      <c r="U47" s="58">
        <f>264636-234796</f>
        <v>29840</v>
      </c>
      <c r="W47" s="78" t="e">
        <f>U47/'2011-2012--&gt;IS Jul-Dec'!$G$12</f>
        <v>#DIV/0!</v>
      </c>
      <c r="X47" s="83"/>
    </row>
    <row r="48" spans="2:24" x14ac:dyDescent="0.25">
      <c r="O48" s="82"/>
      <c r="P48" s="82"/>
      <c r="R48" t="s">
        <v>44</v>
      </c>
      <c r="U48" s="57">
        <f>1850+25241</f>
        <v>27091</v>
      </c>
      <c r="W48" s="79" t="e">
        <f>U48/'2011-2012--&gt;IS Jul-Dec'!$G$12</f>
        <v>#DIV/0!</v>
      </c>
      <c r="X48" s="83"/>
    </row>
    <row r="49" spans="14:24" ht="18" x14ac:dyDescent="0.25">
      <c r="N49" s="61" t="s">
        <v>0</v>
      </c>
      <c r="O49" s="80"/>
      <c r="P49" s="80"/>
      <c r="Q49" s="61"/>
      <c r="R49" s="61"/>
      <c r="S49" s="61"/>
      <c r="T49" s="61"/>
      <c r="U49" s="61"/>
      <c r="V49" s="61"/>
      <c r="W49" s="75"/>
      <c r="X49" s="83"/>
    </row>
    <row r="50" spans="14:24" ht="16.5" x14ac:dyDescent="0.25">
      <c r="N50" s="62" t="s">
        <v>128</v>
      </c>
      <c r="O50" s="81"/>
      <c r="P50" s="81"/>
      <c r="Q50" s="62"/>
      <c r="R50" s="62"/>
      <c r="S50" s="62"/>
      <c r="T50" s="62"/>
      <c r="U50" s="62"/>
      <c r="V50" s="62"/>
      <c r="W50" s="8"/>
      <c r="X50" s="83"/>
    </row>
    <row r="51" spans="14:24" ht="16.5" x14ac:dyDescent="0.25">
      <c r="N51" s="62" t="s">
        <v>129</v>
      </c>
      <c r="O51" s="81"/>
      <c r="P51" s="81"/>
      <c r="Q51" s="62"/>
      <c r="R51" s="62"/>
      <c r="S51" s="62"/>
      <c r="T51" s="62"/>
      <c r="U51" s="62"/>
      <c r="V51" s="62"/>
      <c r="W51" s="8"/>
      <c r="X51" s="83"/>
    </row>
    <row r="52" spans="14:24" x14ac:dyDescent="0.25">
      <c r="O52" s="82"/>
      <c r="P52" s="82"/>
      <c r="U52" s="45"/>
      <c r="W52" s="71"/>
      <c r="X52" s="83"/>
    </row>
    <row r="53" spans="14:24" x14ac:dyDescent="0.25">
      <c r="O53" s="82"/>
      <c r="P53" s="82"/>
      <c r="U53" s="211" t="s">
        <v>104</v>
      </c>
      <c r="V53" s="211"/>
      <c r="W53" s="211"/>
      <c r="X53" s="83"/>
    </row>
    <row r="54" spans="14:24" x14ac:dyDescent="0.25">
      <c r="O54" s="82"/>
      <c r="P54" s="82"/>
      <c r="U54" s="45"/>
      <c r="W54" s="71"/>
      <c r="X54" s="83"/>
    </row>
    <row r="55" spans="14:24" x14ac:dyDescent="0.25">
      <c r="O55" s="82">
        <v>8</v>
      </c>
      <c r="P55" s="82" t="s">
        <v>135</v>
      </c>
      <c r="Q55" s="50" t="s">
        <v>99</v>
      </c>
      <c r="U55" s="46">
        <f>SUM(U56:U58)</f>
        <v>367334</v>
      </c>
      <c r="W55" s="74" t="e">
        <f>U55/'2011-2012--&gt;IS Jul-Dec'!$G$12</f>
        <v>#DIV/0!</v>
      </c>
      <c r="X55" s="83">
        <v>8</v>
      </c>
    </row>
    <row r="56" spans="14:24" x14ac:dyDescent="0.25">
      <c r="O56" s="82"/>
      <c r="P56" s="82"/>
      <c r="R56" t="s">
        <v>22</v>
      </c>
      <c r="U56" s="56">
        <v>228271</v>
      </c>
      <c r="W56" s="77" t="e">
        <f>U56/'2011-2012--&gt;IS Jul-Dec'!$G$12</f>
        <v>#DIV/0!</v>
      </c>
      <c r="X56" s="83"/>
    </row>
    <row r="57" spans="14:24" x14ac:dyDescent="0.25">
      <c r="O57" s="82"/>
      <c r="P57" s="82"/>
      <c r="R57" t="s">
        <v>100</v>
      </c>
      <c r="U57" s="58">
        <v>138303</v>
      </c>
      <c r="W57" s="78" t="e">
        <f>U57/'2011-2012--&gt;IS Jul-Dec'!$G$12</f>
        <v>#DIV/0!</v>
      </c>
      <c r="X57" s="83"/>
    </row>
    <row r="58" spans="14:24" x14ac:dyDescent="0.25">
      <c r="O58" s="82"/>
      <c r="P58" s="82"/>
      <c r="R58" t="s">
        <v>120</v>
      </c>
      <c r="U58" s="57">
        <v>760</v>
      </c>
      <c r="W58" s="79" t="e">
        <f>U58/'2011-2012--&gt;IS Jul-Dec'!$G$12</f>
        <v>#DIV/0!</v>
      </c>
      <c r="X58" s="83"/>
    </row>
    <row r="59" spans="14:24" x14ac:dyDescent="0.25">
      <c r="O59" s="82"/>
      <c r="P59" s="82"/>
      <c r="U59" s="45"/>
      <c r="W59" s="71"/>
      <c r="X59" s="83"/>
    </row>
    <row r="60" spans="14:24" x14ac:dyDescent="0.25">
      <c r="O60" s="82">
        <v>9</v>
      </c>
      <c r="P60" s="82" t="s">
        <v>135</v>
      </c>
      <c r="Q60" s="50" t="s">
        <v>133</v>
      </c>
      <c r="U60" s="46">
        <v>305910</v>
      </c>
      <c r="W60" s="74" t="e">
        <f>U60/'2011-2012--&gt;IS Jul-Dec'!$G$12</f>
        <v>#DIV/0!</v>
      </c>
      <c r="X60" s="83">
        <v>9</v>
      </c>
    </row>
    <row r="61" spans="14:24" x14ac:dyDescent="0.25">
      <c r="O61" s="82"/>
      <c r="P61" s="82"/>
      <c r="U61" s="45"/>
      <c r="W61" s="71"/>
      <c r="X61" s="83"/>
    </row>
    <row r="62" spans="14:24" x14ac:dyDescent="0.25">
      <c r="O62" s="82">
        <v>10</v>
      </c>
      <c r="P62" s="82" t="s">
        <v>135</v>
      </c>
      <c r="Q62" s="50" t="s">
        <v>101</v>
      </c>
      <c r="U62" s="46">
        <f>SUM(U63:U65)</f>
        <v>62473</v>
      </c>
      <c r="W62" s="74" t="e">
        <f>U62/'2011-2012--&gt;IS Jul-Dec'!$G$12</f>
        <v>#DIV/0!</v>
      </c>
      <c r="X62" s="83">
        <v>10</v>
      </c>
    </row>
    <row r="63" spans="14:24" x14ac:dyDescent="0.25">
      <c r="O63" s="82"/>
      <c r="P63" s="82"/>
      <c r="R63" t="s">
        <v>102</v>
      </c>
      <c r="U63" s="56">
        <v>2000</v>
      </c>
      <c r="W63" s="77" t="e">
        <f>U63/'2011-2012--&gt;IS Jul-Dec'!$G$12</f>
        <v>#DIV/0!</v>
      </c>
      <c r="X63" s="83"/>
    </row>
    <row r="64" spans="14:24" x14ac:dyDescent="0.25">
      <c r="O64" s="82"/>
      <c r="P64" s="82"/>
      <c r="R64" t="s">
        <v>103</v>
      </c>
      <c r="U64" s="58">
        <v>2900</v>
      </c>
      <c r="W64" s="78" t="e">
        <f>U64/'2011-2012--&gt;IS Jul-Dec'!$G$12</f>
        <v>#DIV/0!</v>
      </c>
      <c r="X64" s="83"/>
    </row>
    <row r="65" spans="15:24" x14ac:dyDescent="0.25">
      <c r="O65" s="82"/>
      <c r="P65" s="82"/>
      <c r="R65" t="s">
        <v>86</v>
      </c>
      <c r="U65" s="57">
        <v>57573</v>
      </c>
      <c r="W65" s="79" t="e">
        <f>U65/'2011-2012--&gt;IS Jul-Dec'!$G$12</f>
        <v>#DIV/0!</v>
      </c>
      <c r="X65" s="83"/>
    </row>
    <row r="66" spans="15:24" x14ac:dyDescent="0.25">
      <c r="O66" s="82"/>
      <c r="P66" s="82"/>
      <c r="U66" s="45"/>
      <c r="W66" s="71"/>
      <c r="X66" s="83"/>
    </row>
    <row r="67" spans="15:24" x14ac:dyDescent="0.25">
      <c r="O67" s="82">
        <v>11</v>
      </c>
      <c r="P67" s="82" t="s">
        <v>135</v>
      </c>
      <c r="Q67" s="50" t="s">
        <v>105</v>
      </c>
      <c r="U67" s="46">
        <v>139300</v>
      </c>
      <c r="W67" s="74" t="e">
        <f>U67/'2011-2012--&gt;IS Jul-Dec'!$G$12</f>
        <v>#DIV/0!</v>
      </c>
      <c r="X67" s="83">
        <v>11</v>
      </c>
    </row>
    <row r="68" spans="15:24" x14ac:dyDescent="0.25">
      <c r="O68" s="82"/>
      <c r="P68" s="82"/>
      <c r="U68" s="45"/>
      <c r="W68" s="71"/>
      <c r="X68" s="83"/>
    </row>
    <row r="69" spans="15:24" x14ac:dyDescent="0.25">
      <c r="O69" s="82">
        <v>12</v>
      </c>
      <c r="P69" s="82" t="s">
        <v>135</v>
      </c>
      <c r="Q69" s="50" t="s">
        <v>107</v>
      </c>
      <c r="R69" s="50"/>
      <c r="S69" s="50"/>
      <c r="T69" s="50"/>
      <c r="U69" s="46">
        <f>SUM(U70:U71)</f>
        <v>220292</v>
      </c>
      <c r="W69" s="74" t="e">
        <f>U69/'2011-2012--&gt;IS Jul-Dec'!$G$12</f>
        <v>#DIV/0!</v>
      </c>
      <c r="X69" s="83">
        <v>12</v>
      </c>
    </row>
    <row r="70" spans="15:24" x14ac:dyDescent="0.25">
      <c r="O70" s="82"/>
      <c r="P70" s="82"/>
      <c r="R70" t="s">
        <v>12</v>
      </c>
      <c r="U70" s="56">
        <v>144792</v>
      </c>
      <c r="W70" s="77" t="e">
        <f>U70/'2011-2012--&gt;IS Jul-Dec'!$G$12</f>
        <v>#DIV/0!</v>
      </c>
      <c r="X70" s="83"/>
    </row>
    <row r="71" spans="15:24" x14ac:dyDescent="0.25">
      <c r="O71" s="82"/>
      <c r="P71" s="82"/>
      <c r="R71" t="s">
        <v>13</v>
      </c>
      <c r="U71" s="57">
        <v>75500</v>
      </c>
      <c r="W71" s="79" t="e">
        <f>U71/'2011-2012--&gt;IS Jul-Dec'!$G$12</f>
        <v>#DIV/0!</v>
      </c>
      <c r="X71" s="83"/>
    </row>
    <row r="72" spans="15:24" x14ac:dyDescent="0.25">
      <c r="O72" s="82"/>
      <c r="P72" s="82"/>
      <c r="U72" s="45"/>
      <c r="W72" s="71"/>
      <c r="X72" s="83"/>
    </row>
    <row r="73" spans="15:24" x14ac:dyDescent="0.25">
      <c r="O73" s="82">
        <v>13</v>
      </c>
      <c r="P73" s="82" t="s">
        <v>135</v>
      </c>
      <c r="Q73" s="50" t="s">
        <v>130</v>
      </c>
      <c r="R73" s="50"/>
      <c r="S73" s="50"/>
      <c r="T73" s="50"/>
      <c r="U73" s="46">
        <f>SUM(U74:U76)</f>
        <v>299456</v>
      </c>
      <c r="W73" s="74" t="e">
        <f>U73/'2011-2012--&gt;IS Jul-Dec'!$G$12</f>
        <v>#DIV/0!</v>
      </c>
      <c r="X73" s="83">
        <v>13</v>
      </c>
    </row>
    <row r="74" spans="15:24" x14ac:dyDescent="0.25">
      <c r="O74" s="82"/>
      <c r="P74" s="82"/>
      <c r="R74" t="s">
        <v>108</v>
      </c>
      <c r="U74" s="56">
        <f>74746+1300</f>
        <v>76046</v>
      </c>
      <c r="W74" s="77" t="e">
        <f>U74/'2011-2012--&gt;IS Jul-Dec'!$G$12</f>
        <v>#DIV/0!</v>
      </c>
      <c r="X74" s="83"/>
    </row>
    <row r="75" spans="15:24" x14ac:dyDescent="0.25">
      <c r="O75" s="82"/>
      <c r="P75" s="82"/>
      <c r="R75" t="s">
        <v>131</v>
      </c>
      <c r="U75" s="58">
        <v>34810</v>
      </c>
      <c r="W75" s="78" t="e">
        <f>U75/'2011-2012--&gt;IS Jul-Dec'!$G$12</f>
        <v>#DIV/0!</v>
      </c>
      <c r="X75" s="83"/>
    </row>
    <row r="76" spans="15:24" x14ac:dyDescent="0.25">
      <c r="O76" s="82"/>
      <c r="P76" s="82"/>
      <c r="R76" t="s">
        <v>109</v>
      </c>
      <c r="U76" s="57">
        <v>188600</v>
      </c>
      <c r="W76" s="79" t="e">
        <f>U76/'2011-2012--&gt;IS Jul-Dec'!$G$12</f>
        <v>#DIV/0!</v>
      </c>
      <c r="X76" s="83"/>
    </row>
    <row r="77" spans="15:24" x14ac:dyDescent="0.25">
      <c r="O77" s="82"/>
      <c r="P77" s="82"/>
      <c r="U77" s="45"/>
      <c r="W77" s="71"/>
      <c r="X77" s="83"/>
    </row>
    <row r="78" spans="15:24" x14ac:dyDescent="0.25">
      <c r="O78" s="82">
        <v>14</v>
      </c>
      <c r="P78" s="82" t="s">
        <v>135</v>
      </c>
      <c r="Q78" s="50" t="s">
        <v>110</v>
      </c>
      <c r="R78" s="50"/>
      <c r="S78" s="50"/>
      <c r="T78" s="50"/>
      <c r="U78" s="46">
        <v>412500</v>
      </c>
      <c r="W78" s="74" t="e">
        <f>U78/'2011-2012--&gt;IS Jul-Dec'!$G$12</f>
        <v>#DIV/0!</v>
      </c>
      <c r="X78" s="83">
        <v>14</v>
      </c>
    </row>
    <row r="79" spans="15:24" x14ac:dyDescent="0.25">
      <c r="O79" s="82"/>
      <c r="P79" s="82"/>
      <c r="U79" s="45"/>
      <c r="W79" s="71"/>
      <c r="X79" s="83"/>
    </row>
    <row r="80" spans="15:24" x14ac:dyDescent="0.25">
      <c r="O80" s="82">
        <v>15</v>
      </c>
      <c r="P80" s="82" t="s">
        <v>135</v>
      </c>
      <c r="Q80" s="50" t="s">
        <v>113</v>
      </c>
      <c r="R80" s="50"/>
      <c r="S80" s="50"/>
      <c r="T80" s="50"/>
      <c r="U80" s="46">
        <f>SUM(U81)</f>
        <v>8396</v>
      </c>
      <c r="W80" s="74" t="e">
        <f>U80/'2011-2012--&gt;IS Jul-Dec'!$G$12</f>
        <v>#DIV/0!</v>
      </c>
      <c r="X80" s="83">
        <v>15</v>
      </c>
    </row>
    <row r="81" spans="15:24" x14ac:dyDescent="0.25">
      <c r="O81" s="82"/>
      <c r="P81" s="82"/>
      <c r="Q81" s="60"/>
      <c r="R81" t="s">
        <v>114</v>
      </c>
      <c r="U81" s="59">
        <v>8396</v>
      </c>
      <c r="W81" s="76" t="e">
        <f>U81/'2011-2012--&gt;IS Jul-Dec'!$G$12</f>
        <v>#DIV/0!</v>
      </c>
      <c r="X81" s="83"/>
    </row>
    <row r="82" spans="15:24" x14ac:dyDescent="0.25">
      <c r="O82" s="82"/>
      <c r="P82" s="82"/>
      <c r="U82" s="45"/>
      <c r="W82" s="71"/>
      <c r="X82" s="83"/>
    </row>
    <row r="83" spans="15:24" x14ac:dyDescent="0.25">
      <c r="O83" s="82">
        <v>16</v>
      </c>
      <c r="P83" s="82" t="s">
        <v>135</v>
      </c>
      <c r="Q83" s="50" t="s">
        <v>112</v>
      </c>
      <c r="R83" s="50"/>
      <c r="S83" s="50"/>
      <c r="T83" s="50"/>
      <c r="U83" s="46">
        <f>SUM(U84:U85)</f>
        <v>24732</v>
      </c>
      <c r="W83" s="74" t="e">
        <f>U83/'2011-2012--&gt;IS Jul-Dec'!$G$12</f>
        <v>#DIV/0!</v>
      </c>
      <c r="X83" s="83">
        <v>15</v>
      </c>
    </row>
    <row r="84" spans="15:24" x14ac:dyDescent="0.25">
      <c r="O84" s="82"/>
      <c r="P84" s="82"/>
      <c r="Q84" s="50"/>
      <c r="R84" s="60" t="s">
        <v>119</v>
      </c>
      <c r="S84" s="50"/>
      <c r="T84" s="50"/>
      <c r="U84" s="63">
        <v>90</v>
      </c>
      <c r="W84" s="77" t="e">
        <f>U84/'2011-2012--&gt;IS Jul-Dec'!$G$12</f>
        <v>#DIV/0!</v>
      </c>
      <c r="X84" s="83"/>
    </row>
    <row r="85" spans="15:24" x14ac:dyDescent="0.25">
      <c r="O85" s="82"/>
      <c r="P85" s="82"/>
      <c r="Q85" s="50"/>
      <c r="R85" t="s">
        <v>29</v>
      </c>
      <c r="S85" s="50"/>
      <c r="T85" s="50"/>
      <c r="U85" s="64">
        <v>24642</v>
      </c>
      <c r="W85" s="79" t="e">
        <f>U85/'2011-2012--&gt;IS Jul-Dec'!$G$12</f>
        <v>#DIV/0!</v>
      </c>
      <c r="X85" s="83"/>
    </row>
    <row r="86" spans="15:24" x14ac:dyDescent="0.25">
      <c r="O86" s="82"/>
      <c r="P86" s="82"/>
      <c r="U86" s="45"/>
      <c r="W86" s="71"/>
      <c r="X86" s="83"/>
    </row>
    <row r="87" spans="15:24" x14ac:dyDescent="0.25">
      <c r="O87" s="82">
        <v>17</v>
      </c>
      <c r="P87" s="82" t="s">
        <v>135</v>
      </c>
      <c r="Q87" s="50" t="s">
        <v>115</v>
      </c>
      <c r="U87" s="46">
        <f>SUM(U88)</f>
        <v>40000</v>
      </c>
      <c r="W87" s="74" t="e">
        <f>U87/'2011-2012--&gt;IS Jul-Dec'!$G$12</f>
        <v>#DIV/0!</v>
      </c>
      <c r="X87" s="83">
        <v>16</v>
      </c>
    </row>
    <row r="88" spans="15:24" x14ac:dyDescent="0.25">
      <c r="O88" s="82"/>
      <c r="P88" s="82"/>
      <c r="R88" t="s">
        <v>116</v>
      </c>
      <c r="U88" s="59">
        <v>40000</v>
      </c>
      <c r="W88" s="76" t="e">
        <f>U88/'2011-2012--&gt;IS Jul-Dec'!$G$12</f>
        <v>#DIV/0!</v>
      </c>
      <c r="X88" s="83"/>
    </row>
    <row r="89" spans="15:24" x14ac:dyDescent="0.25">
      <c r="O89" s="82"/>
      <c r="P89" s="82"/>
      <c r="U89" s="45"/>
      <c r="W89" s="71"/>
      <c r="X89" s="83"/>
    </row>
    <row r="90" spans="15:24" x14ac:dyDescent="0.25">
      <c r="O90" s="82">
        <v>18</v>
      </c>
      <c r="P90" s="82" t="s">
        <v>135</v>
      </c>
      <c r="Q90" s="50" t="s">
        <v>117</v>
      </c>
      <c r="U90" s="46">
        <f>SUM(U91)</f>
        <v>36323</v>
      </c>
      <c r="W90" s="74" t="e">
        <f>U90/'2011-2012--&gt;IS Jul-Dec'!$G$12</f>
        <v>#DIV/0!</v>
      </c>
      <c r="X90" s="83">
        <v>17</v>
      </c>
    </row>
    <row r="91" spans="15:24" x14ac:dyDescent="0.25">
      <c r="O91" s="82"/>
      <c r="P91" s="82"/>
      <c r="R91" t="s">
        <v>118</v>
      </c>
      <c r="U91" s="59">
        <v>36323</v>
      </c>
      <c r="W91" s="76" t="e">
        <f>U91/'2011-2012--&gt;IS Jul-Dec'!$G$12</f>
        <v>#DIV/0!</v>
      </c>
      <c r="X91" s="83"/>
    </row>
    <row r="92" spans="15:24" x14ac:dyDescent="0.25">
      <c r="O92" s="82"/>
      <c r="P92" s="82"/>
      <c r="U92" s="45"/>
      <c r="W92" s="71"/>
      <c r="X92" s="83"/>
    </row>
    <row r="93" spans="15:24" x14ac:dyDescent="0.25">
      <c r="O93" s="82">
        <v>19</v>
      </c>
      <c r="P93" s="82" t="s">
        <v>135</v>
      </c>
      <c r="Q93" s="50" t="s">
        <v>132</v>
      </c>
      <c r="U93" s="46">
        <f>SUM(U94)</f>
        <v>106240</v>
      </c>
      <c r="W93" s="74" t="e">
        <f>U93/'2011-2012--&gt;IS Jul-Dec'!$G$12</f>
        <v>#DIV/0!</v>
      </c>
      <c r="X93" s="83">
        <v>18</v>
      </c>
    </row>
    <row r="94" spans="15:24" x14ac:dyDescent="0.25">
      <c r="O94" s="82"/>
      <c r="P94" s="82"/>
      <c r="R94" t="s">
        <v>122</v>
      </c>
      <c r="U94" s="59">
        <v>106240</v>
      </c>
      <c r="W94" s="76" t="e">
        <f>U94/'2011-2012--&gt;IS Jul-Dec'!$G$12</f>
        <v>#DIV/0!</v>
      </c>
      <c r="X94" s="83"/>
    </row>
    <row r="95" spans="15:24" x14ac:dyDescent="0.25">
      <c r="O95" s="82"/>
      <c r="P95" s="82"/>
      <c r="U95" s="45"/>
      <c r="W95" s="71"/>
      <c r="X95" s="83"/>
    </row>
    <row r="96" spans="15:24" ht="15.75" thickBot="1" x14ac:dyDescent="0.3">
      <c r="O96" s="82"/>
      <c r="P96" s="82"/>
      <c r="Q96" s="50" t="s">
        <v>123</v>
      </c>
      <c r="U96" s="65">
        <f>U93+U90+U87+U83+U80+U78+U73+U69+U67+U62+U60+U55+U44+U37+U32+U25+U18+U15+U7</f>
        <v>12327172</v>
      </c>
      <c r="W96" s="73" t="e">
        <f>U96/'2011-2012--&gt;IS Jul-Dec'!$G$12</f>
        <v>#DIV/0!</v>
      </c>
      <c r="X96" s="83"/>
    </row>
    <row r="97" spans="15:24" ht="15.75" thickTop="1" x14ac:dyDescent="0.25">
      <c r="O97" s="82"/>
      <c r="P97" s="82"/>
      <c r="U97" s="45"/>
      <c r="W97" s="71"/>
      <c r="X97" s="83"/>
    </row>
    <row r="98" spans="15:24" x14ac:dyDescent="0.25">
      <c r="O98" s="82"/>
      <c r="P98" s="82"/>
      <c r="U98" s="45"/>
      <c r="W98" s="71"/>
    </row>
  </sheetData>
  <mergeCells count="3">
    <mergeCell ref="G5:I5"/>
    <mergeCell ref="U5:W5"/>
    <mergeCell ref="U53:W53"/>
  </mergeCells>
  <pageMargins left="0.7" right="0.7" top="0.57999999999999996" bottom="0.53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opLeftCell="A115" workbookViewId="0">
      <selection sqref="A1:J4"/>
    </sheetView>
  </sheetViews>
  <sheetFormatPr defaultColWidth="11.42578125" defaultRowHeight="12.75" x14ac:dyDescent="0.2"/>
  <cols>
    <col min="1" max="2" width="3.5703125" style="2" customWidth="1"/>
    <col min="3" max="5" width="11.42578125" style="2"/>
    <col min="6" max="6" width="2.85546875" style="2" customWidth="1"/>
    <col min="7" max="7" width="12.28515625" style="2" bestFit="1" customWidth="1"/>
    <col min="8" max="8" width="17.5703125" style="2" customWidth="1"/>
    <col min="9" max="10" width="0.5703125" style="2" customWidth="1"/>
    <col min="11" max="11" width="8.140625" style="2" bestFit="1" customWidth="1"/>
    <col min="12" max="256" width="11.42578125" style="2"/>
    <col min="257" max="258" width="3.5703125" style="2" customWidth="1"/>
    <col min="259" max="261" width="11.42578125" style="2"/>
    <col min="262" max="262" width="2.85546875" style="2" customWidth="1"/>
    <col min="263" max="263" width="12.28515625" style="2" bestFit="1" customWidth="1"/>
    <col min="264" max="264" width="17.5703125" style="2" customWidth="1"/>
    <col min="265" max="266" width="0.5703125" style="2" customWidth="1"/>
    <col min="267" max="267" width="8.140625" style="2" bestFit="1" customWidth="1"/>
    <col min="268" max="512" width="11.42578125" style="2"/>
    <col min="513" max="514" width="3.5703125" style="2" customWidth="1"/>
    <col min="515" max="517" width="11.42578125" style="2"/>
    <col min="518" max="518" width="2.85546875" style="2" customWidth="1"/>
    <col min="519" max="519" width="12.28515625" style="2" bestFit="1" customWidth="1"/>
    <col min="520" max="520" width="17.5703125" style="2" customWidth="1"/>
    <col min="521" max="522" width="0.5703125" style="2" customWidth="1"/>
    <col min="523" max="523" width="8.140625" style="2" bestFit="1" customWidth="1"/>
    <col min="524" max="768" width="11.42578125" style="2"/>
    <col min="769" max="770" width="3.5703125" style="2" customWidth="1"/>
    <col min="771" max="773" width="11.42578125" style="2"/>
    <col min="774" max="774" width="2.85546875" style="2" customWidth="1"/>
    <col min="775" max="775" width="12.28515625" style="2" bestFit="1" customWidth="1"/>
    <col min="776" max="776" width="17.5703125" style="2" customWidth="1"/>
    <col min="777" max="778" width="0.5703125" style="2" customWidth="1"/>
    <col min="779" max="779" width="8.140625" style="2" bestFit="1" customWidth="1"/>
    <col min="780" max="1024" width="11.42578125" style="2"/>
    <col min="1025" max="1026" width="3.5703125" style="2" customWidth="1"/>
    <col min="1027" max="1029" width="11.42578125" style="2"/>
    <col min="1030" max="1030" width="2.85546875" style="2" customWidth="1"/>
    <col min="1031" max="1031" width="12.28515625" style="2" bestFit="1" customWidth="1"/>
    <col min="1032" max="1032" width="17.5703125" style="2" customWidth="1"/>
    <col min="1033" max="1034" width="0.5703125" style="2" customWidth="1"/>
    <col min="1035" max="1035" width="8.140625" style="2" bestFit="1" customWidth="1"/>
    <col min="1036" max="1280" width="11.42578125" style="2"/>
    <col min="1281" max="1282" width="3.5703125" style="2" customWidth="1"/>
    <col min="1283" max="1285" width="11.42578125" style="2"/>
    <col min="1286" max="1286" width="2.85546875" style="2" customWidth="1"/>
    <col min="1287" max="1287" width="12.28515625" style="2" bestFit="1" customWidth="1"/>
    <col min="1288" max="1288" width="17.5703125" style="2" customWidth="1"/>
    <col min="1289" max="1290" width="0.5703125" style="2" customWidth="1"/>
    <col min="1291" max="1291" width="8.140625" style="2" bestFit="1" customWidth="1"/>
    <col min="1292" max="1536" width="11.42578125" style="2"/>
    <col min="1537" max="1538" width="3.5703125" style="2" customWidth="1"/>
    <col min="1539" max="1541" width="11.42578125" style="2"/>
    <col min="1542" max="1542" width="2.85546875" style="2" customWidth="1"/>
    <col min="1543" max="1543" width="12.28515625" style="2" bestFit="1" customWidth="1"/>
    <col min="1544" max="1544" width="17.5703125" style="2" customWidth="1"/>
    <col min="1545" max="1546" width="0.5703125" style="2" customWidth="1"/>
    <col min="1547" max="1547" width="8.140625" style="2" bestFit="1" customWidth="1"/>
    <col min="1548" max="1792" width="11.42578125" style="2"/>
    <col min="1793" max="1794" width="3.5703125" style="2" customWidth="1"/>
    <col min="1795" max="1797" width="11.42578125" style="2"/>
    <col min="1798" max="1798" width="2.85546875" style="2" customWidth="1"/>
    <col min="1799" max="1799" width="12.28515625" style="2" bestFit="1" customWidth="1"/>
    <col min="1800" max="1800" width="17.5703125" style="2" customWidth="1"/>
    <col min="1801" max="1802" width="0.5703125" style="2" customWidth="1"/>
    <col min="1803" max="1803" width="8.140625" style="2" bestFit="1" customWidth="1"/>
    <col min="1804" max="2048" width="11.42578125" style="2"/>
    <col min="2049" max="2050" width="3.5703125" style="2" customWidth="1"/>
    <col min="2051" max="2053" width="11.42578125" style="2"/>
    <col min="2054" max="2054" width="2.85546875" style="2" customWidth="1"/>
    <col min="2055" max="2055" width="12.28515625" style="2" bestFit="1" customWidth="1"/>
    <col min="2056" max="2056" width="17.5703125" style="2" customWidth="1"/>
    <col min="2057" max="2058" width="0.5703125" style="2" customWidth="1"/>
    <col min="2059" max="2059" width="8.140625" style="2" bestFit="1" customWidth="1"/>
    <col min="2060" max="2304" width="11.42578125" style="2"/>
    <col min="2305" max="2306" width="3.5703125" style="2" customWidth="1"/>
    <col min="2307" max="2309" width="11.42578125" style="2"/>
    <col min="2310" max="2310" width="2.85546875" style="2" customWidth="1"/>
    <col min="2311" max="2311" width="12.28515625" style="2" bestFit="1" customWidth="1"/>
    <col min="2312" max="2312" width="17.5703125" style="2" customWidth="1"/>
    <col min="2313" max="2314" width="0.5703125" style="2" customWidth="1"/>
    <col min="2315" max="2315" width="8.140625" style="2" bestFit="1" customWidth="1"/>
    <col min="2316" max="2560" width="11.42578125" style="2"/>
    <col min="2561" max="2562" width="3.5703125" style="2" customWidth="1"/>
    <col min="2563" max="2565" width="11.42578125" style="2"/>
    <col min="2566" max="2566" width="2.85546875" style="2" customWidth="1"/>
    <col min="2567" max="2567" width="12.28515625" style="2" bestFit="1" customWidth="1"/>
    <col min="2568" max="2568" width="17.5703125" style="2" customWidth="1"/>
    <col min="2569" max="2570" width="0.5703125" style="2" customWidth="1"/>
    <col min="2571" max="2571" width="8.140625" style="2" bestFit="1" customWidth="1"/>
    <col min="2572" max="2816" width="11.42578125" style="2"/>
    <col min="2817" max="2818" width="3.5703125" style="2" customWidth="1"/>
    <col min="2819" max="2821" width="11.42578125" style="2"/>
    <col min="2822" max="2822" width="2.85546875" style="2" customWidth="1"/>
    <col min="2823" max="2823" width="12.28515625" style="2" bestFit="1" customWidth="1"/>
    <col min="2824" max="2824" width="17.5703125" style="2" customWidth="1"/>
    <col min="2825" max="2826" width="0.5703125" style="2" customWidth="1"/>
    <col min="2827" max="2827" width="8.140625" style="2" bestFit="1" customWidth="1"/>
    <col min="2828" max="3072" width="11.42578125" style="2"/>
    <col min="3073" max="3074" width="3.5703125" style="2" customWidth="1"/>
    <col min="3075" max="3077" width="11.42578125" style="2"/>
    <col min="3078" max="3078" width="2.85546875" style="2" customWidth="1"/>
    <col min="3079" max="3079" width="12.28515625" style="2" bestFit="1" customWidth="1"/>
    <col min="3080" max="3080" width="17.5703125" style="2" customWidth="1"/>
    <col min="3081" max="3082" width="0.5703125" style="2" customWidth="1"/>
    <col min="3083" max="3083" width="8.140625" style="2" bestFit="1" customWidth="1"/>
    <col min="3084" max="3328" width="11.42578125" style="2"/>
    <col min="3329" max="3330" width="3.5703125" style="2" customWidth="1"/>
    <col min="3331" max="3333" width="11.42578125" style="2"/>
    <col min="3334" max="3334" width="2.85546875" style="2" customWidth="1"/>
    <col min="3335" max="3335" width="12.28515625" style="2" bestFit="1" customWidth="1"/>
    <col min="3336" max="3336" width="17.5703125" style="2" customWidth="1"/>
    <col min="3337" max="3338" width="0.5703125" style="2" customWidth="1"/>
    <col min="3339" max="3339" width="8.140625" style="2" bestFit="1" customWidth="1"/>
    <col min="3340" max="3584" width="11.42578125" style="2"/>
    <col min="3585" max="3586" width="3.5703125" style="2" customWidth="1"/>
    <col min="3587" max="3589" width="11.42578125" style="2"/>
    <col min="3590" max="3590" width="2.85546875" style="2" customWidth="1"/>
    <col min="3591" max="3591" width="12.28515625" style="2" bestFit="1" customWidth="1"/>
    <col min="3592" max="3592" width="17.5703125" style="2" customWidth="1"/>
    <col min="3593" max="3594" width="0.5703125" style="2" customWidth="1"/>
    <col min="3595" max="3595" width="8.140625" style="2" bestFit="1" customWidth="1"/>
    <col min="3596" max="3840" width="11.42578125" style="2"/>
    <col min="3841" max="3842" width="3.5703125" style="2" customWidth="1"/>
    <col min="3843" max="3845" width="11.42578125" style="2"/>
    <col min="3846" max="3846" width="2.85546875" style="2" customWidth="1"/>
    <col min="3847" max="3847" width="12.28515625" style="2" bestFit="1" customWidth="1"/>
    <col min="3848" max="3848" width="17.5703125" style="2" customWidth="1"/>
    <col min="3849" max="3850" width="0.5703125" style="2" customWidth="1"/>
    <col min="3851" max="3851" width="8.140625" style="2" bestFit="1" customWidth="1"/>
    <col min="3852" max="4096" width="11.42578125" style="2"/>
    <col min="4097" max="4098" width="3.5703125" style="2" customWidth="1"/>
    <col min="4099" max="4101" width="11.42578125" style="2"/>
    <col min="4102" max="4102" width="2.85546875" style="2" customWidth="1"/>
    <col min="4103" max="4103" width="12.28515625" style="2" bestFit="1" customWidth="1"/>
    <col min="4104" max="4104" width="17.5703125" style="2" customWidth="1"/>
    <col min="4105" max="4106" width="0.5703125" style="2" customWidth="1"/>
    <col min="4107" max="4107" width="8.140625" style="2" bestFit="1" customWidth="1"/>
    <col min="4108" max="4352" width="11.42578125" style="2"/>
    <col min="4353" max="4354" width="3.5703125" style="2" customWidth="1"/>
    <col min="4355" max="4357" width="11.42578125" style="2"/>
    <col min="4358" max="4358" width="2.85546875" style="2" customWidth="1"/>
    <col min="4359" max="4359" width="12.28515625" style="2" bestFit="1" customWidth="1"/>
    <col min="4360" max="4360" width="17.5703125" style="2" customWidth="1"/>
    <col min="4361" max="4362" width="0.5703125" style="2" customWidth="1"/>
    <col min="4363" max="4363" width="8.140625" style="2" bestFit="1" customWidth="1"/>
    <col min="4364" max="4608" width="11.42578125" style="2"/>
    <col min="4609" max="4610" width="3.5703125" style="2" customWidth="1"/>
    <col min="4611" max="4613" width="11.42578125" style="2"/>
    <col min="4614" max="4614" width="2.85546875" style="2" customWidth="1"/>
    <col min="4615" max="4615" width="12.28515625" style="2" bestFit="1" customWidth="1"/>
    <col min="4616" max="4616" width="17.5703125" style="2" customWidth="1"/>
    <col min="4617" max="4618" width="0.5703125" style="2" customWidth="1"/>
    <col min="4619" max="4619" width="8.140625" style="2" bestFit="1" customWidth="1"/>
    <col min="4620" max="4864" width="11.42578125" style="2"/>
    <col min="4865" max="4866" width="3.5703125" style="2" customWidth="1"/>
    <col min="4867" max="4869" width="11.42578125" style="2"/>
    <col min="4870" max="4870" width="2.85546875" style="2" customWidth="1"/>
    <col min="4871" max="4871" width="12.28515625" style="2" bestFit="1" customWidth="1"/>
    <col min="4872" max="4872" width="17.5703125" style="2" customWidth="1"/>
    <col min="4873" max="4874" width="0.5703125" style="2" customWidth="1"/>
    <col min="4875" max="4875" width="8.140625" style="2" bestFit="1" customWidth="1"/>
    <col min="4876" max="5120" width="11.42578125" style="2"/>
    <col min="5121" max="5122" width="3.5703125" style="2" customWidth="1"/>
    <col min="5123" max="5125" width="11.42578125" style="2"/>
    <col min="5126" max="5126" width="2.85546875" style="2" customWidth="1"/>
    <col min="5127" max="5127" width="12.28515625" style="2" bestFit="1" customWidth="1"/>
    <col min="5128" max="5128" width="17.5703125" style="2" customWidth="1"/>
    <col min="5129" max="5130" width="0.5703125" style="2" customWidth="1"/>
    <col min="5131" max="5131" width="8.140625" style="2" bestFit="1" customWidth="1"/>
    <col min="5132" max="5376" width="11.42578125" style="2"/>
    <col min="5377" max="5378" width="3.5703125" style="2" customWidth="1"/>
    <col min="5379" max="5381" width="11.42578125" style="2"/>
    <col min="5382" max="5382" width="2.85546875" style="2" customWidth="1"/>
    <col min="5383" max="5383" width="12.28515625" style="2" bestFit="1" customWidth="1"/>
    <col min="5384" max="5384" width="17.5703125" style="2" customWidth="1"/>
    <col min="5385" max="5386" width="0.5703125" style="2" customWidth="1"/>
    <col min="5387" max="5387" width="8.140625" style="2" bestFit="1" customWidth="1"/>
    <col min="5388" max="5632" width="11.42578125" style="2"/>
    <col min="5633" max="5634" width="3.5703125" style="2" customWidth="1"/>
    <col min="5635" max="5637" width="11.42578125" style="2"/>
    <col min="5638" max="5638" width="2.85546875" style="2" customWidth="1"/>
    <col min="5639" max="5639" width="12.28515625" style="2" bestFit="1" customWidth="1"/>
    <col min="5640" max="5640" width="17.5703125" style="2" customWidth="1"/>
    <col min="5641" max="5642" width="0.5703125" style="2" customWidth="1"/>
    <col min="5643" max="5643" width="8.140625" style="2" bestFit="1" customWidth="1"/>
    <col min="5644" max="5888" width="11.42578125" style="2"/>
    <col min="5889" max="5890" width="3.5703125" style="2" customWidth="1"/>
    <col min="5891" max="5893" width="11.42578125" style="2"/>
    <col min="5894" max="5894" width="2.85546875" style="2" customWidth="1"/>
    <col min="5895" max="5895" width="12.28515625" style="2" bestFit="1" customWidth="1"/>
    <col min="5896" max="5896" width="17.5703125" style="2" customWidth="1"/>
    <col min="5897" max="5898" width="0.5703125" style="2" customWidth="1"/>
    <col min="5899" max="5899" width="8.140625" style="2" bestFit="1" customWidth="1"/>
    <col min="5900" max="6144" width="11.42578125" style="2"/>
    <col min="6145" max="6146" width="3.5703125" style="2" customWidth="1"/>
    <col min="6147" max="6149" width="11.42578125" style="2"/>
    <col min="6150" max="6150" width="2.85546875" style="2" customWidth="1"/>
    <col min="6151" max="6151" width="12.28515625" style="2" bestFit="1" customWidth="1"/>
    <col min="6152" max="6152" width="17.5703125" style="2" customWidth="1"/>
    <col min="6153" max="6154" width="0.5703125" style="2" customWidth="1"/>
    <col min="6155" max="6155" width="8.140625" style="2" bestFit="1" customWidth="1"/>
    <col min="6156" max="6400" width="11.42578125" style="2"/>
    <col min="6401" max="6402" width="3.5703125" style="2" customWidth="1"/>
    <col min="6403" max="6405" width="11.42578125" style="2"/>
    <col min="6406" max="6406" width="2.85546875" style="2" customWidth="1"/>
    <col min="6407" max="6407" width="12.28515625" style="2" bestFit="1" customWidth="1"/>
    <col min="6408" max="6408" width="17.5703125" style="2" customWidth="1"/>
    <col min="6409" max="6410" width="0.5703125" style="2" customWidth="1"/>
    <col min="6411" max="6411" width="8.140625" style="2" bestFit="1" customWidth="1"/>
    <col min="6412" max="6656" width="11.42578125" style="2"/>
    <col min="6657" max="6658" width="3.5703125" style="2" customWidth="1"/>
    <col min="6659" max="6661" width="11.42578125" style="2"/>
    <col min="6662" max="6662" width="2.85546875" style="2" customWidth="1"/>
    <col min="6663" max="6663" width="12.28515625" style="2" bestFit="1" customWidth="1"/>
    <col min="6664" max="6664" width="17.5703125" style="2" customWidth="1"/>
    <col min="6665" max="6666" width="0.5703125" style="2" customWidth="1"/>
    <col min="6667" max="6667" width="8.140625" style="2" bestFit="1" customWidth="1"/>
    <col min="6668" max="6912" width="11.42578125" style="2"/>
    <col min="6913" max="6914" width="3.5703125" style="2" customWidth="1"/>
    <col min="6915" max="6917" width="11.42578125" style="2"/>
    <col min="6918" max="6918" width="2.85546875" style="2" customWidth="1"/>
    <col min="6919" max="6919" width="12.28515625" style="2" bestFit="1" customWidth="1"/>
    <col min="6920" max="6920" width="17.5703125" style="2" customWidth="1"/>
    <col min="6921" max="6922" width="0.5703125" style="2" customWidth="1"/>
    <col min="6923" max="6923" width="8.140625" style="2" bestFit="1" customWidth="1"/>
    <col min="6924" max="7168" width="11.42578125" style="2"/>
    <col min="7169" max="7170" width="3.5703125" style="2" customWidth="1"/>
    <col min="7171" max="7173" width="11.42578125" style="2"/>
    <col min="7174" max="7174" width="2.85546875" style="2" customWidth="1"/>
    <col min="7175" max="7175" width="12.28515625" style="2" bestFit="1" customWidth="1"/>
    <col min="7176" max="7176" width="17.5703125" style="2" customWidth="1"/>
    <col min="7177" max="7178" width="0.5703125" style="2" customWidth="1"/>
    <col min="7179" max="7179" width="8.140625" style="2" bestFit="1" customWidth="1"/>
    <col min="7180" max="7424" width="11.42578125" style="2"/>
    <col min="7425" max="7426" width="3.5703125" style="2" customWidth="1"/>
    <col min="7427" max="7429" width="11.42578125" style="2"/>
    <col min="7430" max="7430" width="2.85546875" style="2" customWidth="1"/>
    <col min="7431" max="7431" width="12.28515625" style="2" bestFit="1" customWidth="1"/>
    <col min="7432" max="7432" width="17.5703125" style="2" customWidth="1"/>
    <col min="7433" max="7434" width="0.5703125" style="2" customWidth="1"/>
    <col min="7435" max="7435" width="8.140625" style="2" bestFit="1" customWidth="1"/>
    <col min="7436" max="7680" width="11.42578125" style="2"/>
    <col min="7681" max="7682" width="3.5703125" style="2" customWidth="1"/>
    <col min="7683" max="7685" width="11.42578125" style="2"/>
    <col min="7686" max="7686" width="2.85546875" style="2" customWidth="1"/>
    <col min="7687" max="7687" width="12.28515625" style="2" bestFit="1" customWidth="1"/>
    <col min="7688" max="7688" width="17.5703125" style="2" customWidth="1"/>
    <col min="7689" max="7690" width="0.5703125" style="2" customWidth="1"/>
    <col min="7691" max="7691" width="8.140625" style="2" bestFit="1" customWidth="1"/>
    <col min="7692" max="7936" width="11.42578125" style="2"/>
    <col min="7937" max="7938" width="3.5703125" style="2" customWidth="1"/>
    <col min="7939" max="7941" width="11.42578125" style="2"/>
    <col min="7942" max="7942" width="2.85546875" style="2" customWidth="1"/>
    <col min="7943" max="7943" width="12.28515625" style="2" bestFit="1" customWidth="1"/>
    <col min="7944" max="7944" width="17.5703125" style="2" customWidth="1"/>
    <col min="7945" max="7946" width="0.5703125" style="2" customWidth="1"/>
    <col min="7947" max="7947" width="8.140625" style="2" bestFit="1" customWidth="1"/>
    <col min="7948" max="8192" width="11.42578125" style="2"/>
    <col min="8193" max="8194" width="3.5703125" style="2" customWidth="1"/>
    <col min="8195" max="8197" width="11.42578125" style="2"/>
    <col min="8198" max="8198" width="2.85546875" style="2" customWidth="1"/>
    <col min="8199" max="8199" width="12.28515625" style="2" bestFit="1" customWidth="1"/>
    <col min="8200" max="8200" width="17.5703125" style="2" customWidth="1"/>
    <col min="8201" max="8202" width="0.5703125" style="2" customWidth="1"/>
    <col min="8203" max="8203" width="8.140625" style="2" bestFit="1" customWidth="1"/>
    <col min="8204" max="8448" width="11.42578125" style="2"/>
    <col min="8449" max="8450" width="3.5703125" style="2" customWidth="1"/>
    <col min="8451" max="8453" width="11.42578125" style="2"/>
    <col min="8454" max="8454" width="2.85546875" style="2" customWidth="1"/>
    <col min="8455" max="8455" width="12.28515625" style="2" bestFit="1" customWidth="1"/>
    <col min="8456" max="8456" width="17.5703125" style="2" customWidth="1"/>
    <col min="8457" max="8458" width="0.5703125" style="2" customWidth="1"/>
    <col min="8459" max="8459" width="8.140625" style="2" bestFit="1" customWidth="1"/>
    <col min="8460" max="8704" width="11.42578125" style="2"/>
    <col min="8705" max="8706" width="3.5703125" style="2" customWidth="1"/>
    <col min="8707" max="8709" width="11.42578125" style="2"/>
    <col min="8710" max="8710" width="2.85546875" style="2" customWidth="1"/>
    <col min="8711" max="8711" width="12.28515625" style="2" bestFit="1" customWidth="1"/>
    <col min="8712" max="8712" width="17.5703125" style="2" customWidth="1"/>
    <col min="8713" max="8714" width="0.5703125" style="2" customWidth="1"/>
    <col min="8715" max="8715" width="8.140625" style="2" bestFit="1" customWidth="1"/>
    <col min="8716" max="8960" width="11.42578125" style="2"/>
    <col min="8961" max="8962" width="3.5703125" style="2" customWidth="1"/>
    <col min="8963" max="8965" width="11.42578125" style="2"/>
    <col min="8966" max="8966" width="2.85546875" style="2" customWidth="1"/>
    <col min="8967" max="8967" width="12.28515625" style="2" bestFit="1" customWidth="1"/>
    <col min="8968" max="8968" width="17.5703125" style="2" customWidth="1"/>
    <col min="8969" max="8970" width="0.5703125" style="2" customWidth="1"/>
    <col min="8971" max="8971" width="8.140625" style="2" bestFit="1" customWidth="1"/>
    <col min="8972" max="9216" width="11.42578125" style="2"/>
    <col min="9217" max="9218" width="3.5703125" style="2" customWidth="1"/>
    <col min="9219" max="9221" width="11.42578125" style="2"/>
    <col min="9222" max="9222" width="2.85546875" style="2" customWidth="1"/>
    <col min="9223" max="9223" width="12.28515625" style="2" bestFit="1" customWidth="1"/>
    <col min="9224" max="9224" width="17.5703125" style="2" customWidth="1"/>
    <col min="9225" max="9226" width="0.5703125" style="2" customWidth="1"/>
    <col min="9227" max="9227" width="8.140625" style="2" bestFit="1" customWidth="1"/>
    <col min="9228" max="9472" width="11.42578125" style="2"/>
    <col min="9473" max="9474" width="3.5703125" style="2" customWidth="1"/>
    <col min="9475" max="9477" width="11.42578125" style="2"/>
    <col min="9478" max="9478" width="2.85546875" style="2" customWidth="1"/>
    <col min="9479" max="9479" width="12.28515625" style="2" bestFit="1" customWidth="1"/>
    <col min="9480" max="9480" width="17.5703125" style="2" customWidth="1"/>
    <col min="9481" max="9482" width="0.5703125" style="2" customWidth="1"/>
    <col min="9483" max="9483" width="8.140625" style="2" bestFit="1" customWidth="1"/>
    <col min="9484" max="9728" width="11.42578125" style="2"/>
    <col min="9729" max="9730" width="3.5703125" style="2" customWidth="1"/>
    <col min="9731" max="9733" width="11.42578125" style="2"/>
    <col min="9734" max="9734" width="2.85546875" style="2" customWidth="1"/>
    <col min="9735" max="9735" width="12.28515625" style="2" bestFit="1" customWidth="1"/>
    <col min="9736" max="9736" width="17.5703125" style="2" customWidth="1"/>
    <col min="9737" max="9738" width="0.5703125" style="2" customWidth="1"/>
    <col min="9739" max="9739" width="8.140625" style="2" bestFit="1" customWidth="1"/>
    <col min="9740" max="9984" width="11.42578125" style="2"/>
    <col min="9985" max="9986" width="3.5703125" style="2" customWidth="1"/>
    <col min="9987" max="9989" width="11.42578125" style="2"/>
    <col min="9990" max="9990" width="2.85546875" style="2" customWidth="1"/>
    <col min="9991" max="9991" width="12.28515625" style="2" bestFit="1" customWidth="1"/>
    <col min="9992" max="9992" width="17.5703125" style="2" customWidth="1"/>
    <col min="9993" max="9994" width="0.5703125" style="2" customWidth="1"/>
    <col min="9995" max="9995" width="8.140625" style="2" bestFit="1" customWidth="1"/>
    <col min="9996" max="10240" width="11.42578125" style="2"/>
    <col min="10241" max="10242" width="3.5703125" style="2" customWidth="1"/>
    <col min="10243" max="10245" width="11.42578125" style="2"/>
    <col min="10246" max="10246" width="2.85546875" style="2" customWidth="1"/>
    <col min="10247" max="10247" width="12.28515625" style="2" bestFit="1" customWidth="1"/>
    <col min="10248" max="10248" width="17.5703125" style="2" customWidth="1"/>
    <col min="10249" max="10250" width="0.5703125" style="2" customWidth="1"/>
    <col min="10251" max="10251" width="8.140625" style="2" bestFit="1" customWidth="1"/>
    <col min="10252" max="10496" width="11.42578125" style="2"/>
    <col min="10497" max="10498" width="3.5703125" style="2" customWidth="1"/>
    <col min="10499" max="10501" width="11.42578125" style="2"/>
    <col min="10502" max="10502" width="2.85546875" style="2" customWidth="1"/>
    <col min="10503" max="10503" width="12.28515625" style="2" bestFit="1" customWidth="1"/>
    <col min="10504" max="10504" width="17.5703125" style="2" customWidth="1"/>
    <col min="10505" max="10506" width="0.5703125" style="2" customWidth="1"/>
    <col min="10507" max="10507" width="8.140625" style="2" bestFit="1" customWidth="1"/>
    <col min="10508" max="10752" width="11.42578125" style="2"/>
    <col min="10753" max="10754" width="3.5703125" style="2" customWidth="1"/>
    <col min="10755" max="10757" width="11.42578125" style="2"/>
    <col min="10758" max="10758" width="2.85546875" style="2" customWidth="1"/>
    <col min="10759" max="10759" width="12.28515625" style="2" bestFit="1" customWidth="1"/>
    <col min="10760" max="10760" width="17.5703125" style="2" customWidth="1"/>
    <col min="10761" max="10762" width="0.5703125" style="2" customWidth="1"/>
    <col min="10763" max="10763" width="8.140625" style="2" bestFit="1" customWidth="1"/>
    <col min="10764" max="11008" width="11.42578125" style="2"/>
    <col min="11009" max="11010" width="3.5703125" style="2" customWidth="1"/>
    <col min="11011" max="11013" width="11.42578125" style="2"/>
    <col min="11014" max="11014" width="2.85546875" style="2" customWidth="1"/>
    <col min="11015" max="11015" width="12.28515625" style="2" bestFit="1" customWidth="1"/>
    <col min="11016" max="11016" width="17.5703125" style="2" customWidth="1"/>
    <col min="11017" max="11018" width="0.5703125" style="2" customWidth="1"/>
    <col min="11019" max="11019" width="8.140625" style="2" bestFit="1" customWidth="1"/>
    <col min="11020" max="11264" width="11.42578125" style="2"/>
    <col min="11265" max="11266" width="3.5703125" style="2" customWidth="1"/>
    <col min="11267" max="11269" width="11.42578125" style="2"/>
    <col min="11270" max="11270" width="2.85546875" style="2" customWidth="1"/>
    <col min="11271" max="11271" width="12.28515625" style="2" bestFit="1" customWidth="1"/>
    <col min="11272" max="11272" width="17.5703125" style="2" customWidth="1"/>
    <col min="11273" max="11274" width="0.5703125" style="2" customWidth="1"/>
    <col min="11275" max="11275" width="8.140625" style="2" bestFit="1" customWidth="1"/>
    <col min="11276" max="11520" width="11.42578125" style="2"/>
    <col min="11521" max="11522" width="3.5703125" style="2" customWidth="1"/>
    <col min="11523" max="11525" width="11.42578125" style="2"/>
    <col min="11526" max="11526" width="2.85546875" style="2" customWidth="1"/>
    <col min="11527" max="11527" width="12.28515625" style="2" bestFit="1" customWidth="1"/>
    <col min="11528" max="11528" width="17.5703125" style="2" customWidth="1"/>
    <col min="11529" max="11530" width="0.5703125" style="2" customWidth="1"/>
    <col min="11531" max="11531" width="8.140625" style="2" bestFit="1" customWidth="1"/>
    <col min="11532" max="11776" width="11.42578125" style="2"/>
    <col min="11777" max="11778" width="3.5703125" style="2" customWidth="1"/>
    <col min="11779" max="11781" width="11.42578125" style="2"/>
    <col min="11782" max="11782" width="2.85546875" style="2" customWidth="1"/>
    <col min="11783" max="11783" width="12.28515625" style="2" bestFit="1" customWidth="1"/>
    <col min="11784" max="11784" width="17.5703125" style="2" customWidth="1"/>
    <col min="11785" max="11786" width="0.5703125" style="2" customWidth="1"/>
    <col min="11787" max="11787" width="8.140625" style="2" bestFit="1" customWidth="1"/>
    <col min="11788" max="12032" width="11.42578125" style="2"/>
    <col min="12033" max="12034" width="3.5703125" style="2" customWidth="1"/>
    <col min="12035" max="12037" width="11.42578125" style="2"/>
    <col min="12038" max="12038" width="2.85546875" style="2" customWidth="1"/>
    <col min="12039" max="12039" width="12.28515625" style="2" bestFit="1" customWidth="1"/>
    <col min="12040" max="12040" width="17.5703125" style="2" customWidth="1"/>
    <col min="12041" max="12042" width="0.5703125" style="2" customWidth="1"/>
    <col min="12043" max="12043" width="8.140625" style="2" bestFit="1" customWidth="1"/>
    <col min="12044" max="12288" width="11.42578125" style="2"/>
    <col min="12289" max="12290" width="3.5703125" style="2" customWidth="1"/>
    <col min="12291" max="12293" width="11.42578125" style="2"/>
    <col min="12294" max="12294" width="2.85546875" style="2" customWidth="1"/>
    <col min="12295" max="12295" width="12.28515625" style="2" bestFit="1" customWidth="1"/>
    <col min="12296" max="12296" width="17.5703125" style="2" customWidth="1"/>
    <col min="12297" max="12298" width="0.5703125" style="2" customWidth="1"/>
    <col min="12299" max="12299" width="8.140625" style="2" bestFit="1" customWidth="1"/>
    <col min="12300" max="12544" width="11.42578125" style="2"/>
    <col min="12545" max="12546" width="3.5703125" style="2" customWidth="1"/>
    <col min="12547" max="12549" width="11.42578125" style="2"/>
    <col min="12550" max="12550" width="2.85546875" style="2" customWidth="1"/>
    <col min="12551" max="12551" width="12.28515625" style="2" bestFit="1" customWidth="1"/>
    <col min="12552" max="12552" width="17.5703125" style="2" customWidth="1"/>
    <col min="12553" max="12554" width="0.5703125" style="2" customWidth="1"/>
    <col min="12555" max="12555" width="8.140625" style="2" bestFit="1" customWidth="1"/>
    <col min="12556" max="12800" width="11.42578125" style="2"/>
    <col min="12801" max="12802" width="3.5703125" style="2" customWidth="1"/>
    <col min="12803" max="12805" width="11.42578125" style="2"/>
    <col min="12806" max="12806" width="2.85546875" style="2" customWidth="1"/>
    <col min="12807" max="12807" width="12.28515625" style="2" bestFit="1" customWidth="1"/>
    <col min="12808" max="12808" width="17.5703125" style="2" customWidth="1"/>
    <col min="12809" max="12810" width="0.5703125" style="2" customWidth="1"/>
    <col min="12811" max="12811" width="8.140625" style="2" bestFit="1" customWidth="1"/>
    <col min="12812" max="13056" width="11.42578125" style="2"/>
    <col min="13057" max="13058" width="3.5703125" style="2" customWidth="1"/>
    <col min="13059" max="13061" width="11.42578125" style="2"/>
    <col min="13062" max="13062" width="2.85546875" style="2" customWidth="1"/>
    <col min="13063" max="13063" width="12.28515625" style="2" bestFit="1" customWidth="1"/>
    <col min="13064" max="13064" width="17.5703125" style="2" customWidth="1"/>
    <col min="13065" max="13066" width="0.5703125" style="2" customWidth="1"/>
    <col min="13067" max="13067" width="8.140625" style="2" bestFit="1" customWidth="1"/>
    <col min="13068" max="13312" width="11.42578125" style="2"/>
    <col min="13313" max="13314" width="3.5703125" style="2" customWidth="1"/>
    <col min="13315" max="13317" width="11.42578125" style="2"/>
    <col min="13318" max="13318" width="2.85546875" style="2" customWidth="1"/>
    <col min="13319" max="13319" width="12.28515625" style="2" bestFit="1" customWidth="1"/>
    <col min="13320" max="13320" width="17.5703125" style="2" customWidth="1"/>
    <col min="13321" max="13322" width="0.5703125" style="2" customWidth="1"/>
    <col min="13323" max="13323" width="8.140625" style="2" bestFit="1" customWidth="1"/>
    <col min="13324" max="13568" width="11.42578125" style="2"/>
    <col min="13569" max="13570" width="3.5703125" style="2" customWidth="1"/>
    <col min="13571" max="13573" width="11.42578125" style="2"/>
    <col min="13574" max="13574" width="2.85546875" style="2" customWidth="1"/>
    <col min="13575" max="13575" width="12.28515625" style="2" bestFit="1" customWidth="1"/>
    <col min="13576" max="13576" width="17.5703125" style="2" customWidth="1"/>
    <col min="13577" max="13578" width="0.5703125" style="2" customWidth="1"/>
    <col min="13579" max="13579" width="8.140625" style="2" bestFit="1" customWidth="1"/>
    <col min="13580" max="13824" width="11.42578125" style="2"/>
    <col min="13825" max="13826" width="3.5703125" style="2" customWidth="1"/>
    <col min="13827" max="13829" width="11.42578125" style="2"/>
    <col min="13830" max="13830" width="2.85546875" style="2" customWidth="1"/>
    <col min="13831" max="13831" width="12.28515625" style="2" bestFit="1" customWidth="1"/>
    <col min="13832" max="13832" width="17.5703125" style="2" customWidth="1"/>
    <col min="13833" max="13834" width="0.5703125" style="2" customWidth="1"/>
    <col min="13835" max="13835" width="8.140625" style="2" bestFit="1" customWidth="1"/>
    <col min="13836" max="14080" width="11.42578125" style="2"/>
    <col min="14081" max="14082" width="3.5703125" style="2" customWidth="1"/>
    <col min="14083" max="14085" width="11.42578125" style="2"/>
    <col min="14086" max="14086" width="2.85546875" style="2" customWidth="1"/>
    <col min="14087" max="14087" width="12.28515625" style="2" bestFit="1" customWidth="1"/>
    <col min="14088" max="14088" width="17.5703125" style="2" customWidth="1"/>
    <col min="14089" max="14090" width="0.5703125" style="2" customWidth="1"/>
    <col min="14091" max="14091" width="8.140625" style="2" bestFit="1" customWidth="1"/>
    <col min="14092" max="14336" width="11.42578125" style="2"/>
    <col min="14337" max="14338" width="3.5703125" style="2" customWidth="1"/>
    <col min="14339" max="14341" width="11.42578125" style="2"/>
    <col min="14342" max="14342" width="2.85546875" style="2" customWidth="1"/>
    <col min="14343" max="14343" width="12.28515625" style="2" bestFit="1" customWidth="1"/>
    <col min="14344" max="14344" width="17.5703125" style="2" customWidth="1"/>
    <col min="14345" max="14346" width="0.5703125" style="2" customWidth="1"/>
    <col min="14347" max="14347" width="8.140625" style="2" bestFit="1" customWidth="1"/>
    <col min="14348" max="14592" width="11.42578125" style="2"/>
    <col min="14593" max="14594" width="3.5703125" style="2" customWidth="1"/>
    <col min="14595" max="14597" width="11.42578125" style="2"/>
    <col min="14598" max="14598" width="2.85546875" style="2" customWidth="1"/>
    <col min="14599" max="14599" width="12.28515625" style="2" bestFit="1" customWidth="1"/>
    <col min="14600" max="14600" width="17.5703125" style="2" customWidth="1"/>
    <col min="14601" max="14602" width="0.5703125" style="2" customWidth="1"/>
    <col min="14603" max="14603" width="8.140625" style="2" bestFit="1" customWidth="1"/>
    <col min="14604" max="14848" width="11.42578125" style="2"/>
    <col min="14849" max="14850" width="3.5703125" style="2" customWidth="1"/>
    <col min="14851" max="14853" width="11.42578125" style="2"/>
    <col min="14854" max="14854" width="2.85546875" style="2" customWidth="1"/>
    <col min="14855" max="14855" width="12.28515625" style="2" bestFit="1" customWidth="1"/>
    <col min="14856" max="14856" width="17.5703125" style="2" customWidth="1"/>
    <col min="14857" max="14858" width="0.5703125" style="2" customWidth="1"/>
    <col min="14859" max="14859" width="8.140625" style="2" bestFit="1" customWidth="1"/>
    <col min="14860" max="15104" width="11.42578125" style="2"/>
    <col min="15105" max="15106" width="3.5703125" style="2" customWidth="1"/>
    <col min="15107" max="15109" width="11.42578125" style="2"/>
    <col min="15110" max="15110" width="2.85546875" style="2" customWidth="1"/>
    <col min="15111" max="15111" width="12.28515625" style="2" bestFit="1" customWidth="1"/>
    <col min="15112" max="15112" width="17.5703125" style="2" customWidth="1"/>
    <col min="15113" max="15114" width="0.5703125" style="2" customWidth="1"/>
    <col min="15115" max="15115" width="8.140625" style="2" bestFit="1" customWidth="1"/>
    <col min="15116" max="15360" width="11.42578125" style="2"/>
    <col min="15361" max="15362" width="3.5703125" style="2" customWidth="1"/>
    <col min="15363" max="15365" width="11.42578125" style="2"/>
    <col min="15366" max="15366" width="2.85546875" style="2" customWidth="1"/>
    <col min="15367" max="15367" width="12.28515625" style="2" bestFit="1" customWidth="1"/>
    <col min="15368" max="15368" width="17.5703125" style="2" customWidth="1"/>
    <col min="15369" max="15370" width="0.5703125" style="2" customWidth="1"/>
    <col min="15371" max="15371" width="8.140625" style="2" bestFit="1" customWidth="1"/>
    <col min="15372" max="15616" width="11.42578125" style="2"/>
    <col min="15617" max="15618" width="3.5703125" style="2" customWidth="1"/>
    <col min="15619" max="15621" width="11.42578125" style="2"/>
    <col min="15622" max="15622" width="2.85546875" style="2" customWidth="1"/>
    <col min="15623" max="15623" width="12.28515625" style="2" bestFit="1" customWidth="1"/>
    <col min="15624" max="15624" width="17.5703125" style="2" customWidth="1"/>
    <col min="15625" max="15626" width="0.5703125" style="2" customWidth="1"/>
    <col min="15627" max="15627" width="8.140625" style="2" bestFit="1" customWidth="1"/>
    <col min="15628" max="15872" width="11.42578125" style="2"/>
    <col min="15873" max="15874" width="3.5703125" style="2" customWidth="1"/>
    <col min="15875" max="15877" width="11.42578125" style="2"/>
    <col min="15878" max="15878" width="2.85546875" style="2" customWidth="1"/>
    <col min="15879" max="15879" width="12.28515625" style="2" bestFit="1" customWidth="1"/>
    <col min="15880" max="15880" width="17.5703125" style="2" customWidth="1"/>
    <col min="15881" max="15882" width="0.5703125" style="2" customWidth="1"/>
    <col min="15883" max="15883" width="8.140625" style="2" bestFit="1" customWidth="1"/>
    <col min="15884" max="16128" width="11.42578125" style="2"/>
    <col min="16129" max="16130" width="3.5703125" style="2" customWidth="1"/>
    <col min="16131" max="16133" width="11.42578125" style="2"/>
    <col min="16134" max="16134" width="2.85546875" style="2" customWidth="1"/>
    <col min="16135" max="16135" width="12.28515625" style="2" bestFit="1" customWidth="1"/>
    <col min="16136" max="16136" width="17.5703125" style="2" customWidth="1"/>
    <col min="16137" max="16138" width="0.5703125" style="2" customWidth="1"/>
    <col min="16139" max="16139" width="8.140625" style="2" bestFit="1" customWidth="1"/>
    <col min="16140" max="16384" width="11.42578125" style="2"/>
  </cols>
  <sheetData>
    <row r="1" spans="1:11" ht="18" x14ac:dyDescent="0.2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</row>
    <row r="3" spans="1:11" ht="16.5" x14ac:dyDescent="0.2">
      <c r="A3" s="213" t="s">
        <v>1</v>
      </c>
      <c r="B3" s="213"/>
      <c r="C3" s="213"/>
      <c r="D3" s="213"/>
      <c r="E3" s="213"/>
      <c r="F3" s="213"/>
      <c r="G3" s="213"/>
      <c r="H3" s="213"/>
      <c r="I3" s="213"/>
      <c r="J3" s="213"/>
    </row>
    <row r="4" spans="1:11" ht="16.5" customHeight="1" x14ac:dyDescent="0.2">
      <c r="A4" s="213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3"/>
    </row>
    <row r="5" spans="1:11" ht="16.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6.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6.5" customHeight="1" x14ac:dyDescent="0.2">
      <c r="A7" s="3"/>
      <c r="B7" s="3"/>
      <c r="C7" s="4" t="s">
        <v>3</v>
      </c>
      <c r="D7" s="5"/>
      <c r="E7" s="6"/>
      <c r="F7" s="6"/>
      <c r="G7" s="6"/>
      <c r="H7" s="7">
        <v>17903770</v>
      </c>
      <c r="I7" s="3"/>
      <c r="J7" s="3"/>
      <c r="K7" s="8">
        <f>H7/(H7+G8)</f>
        <v>0.9972095152744227</v>
      </c>
    </row>
    <row r="8" spans="1:11" ht="16.5" customHeight="1" x14ac:dyDescent="0.2">
      <c r="A8" s="3"/>
      <c r="B8" s="3"/>
      <c r="C8" s="9"/>
      <c r="D8" s="10" t="s">
        <v>4</v>
      </c>
      <c r="E8" s="11"/>
      <c r="F8" s="11"/>
      <c r="G8" s="12">
        <f>100200/2</f>
        <v>50100</v>
      </c>
      <c r="H8" s="3"/>
      <c r="I8" s="3"/>
      <c r="J8" s="3"/>
      <c r="K8" s="13">
        <f>IF(G8="","",G8/$H$7)</f>
        <v>2.7982933203453799E-3</v>
      </c>
    </row>
    <row r="9" spans="1:11" ht="16.5" x14ac:dyDescent="0.2">
      <c r="A9" s="14"/>
      <c r="B9" s="14"/>
      <c r="C9" s="9"/>
      <c r="D9" s="15" t="s">
        <v>5</v>
      </c>
      <c r="E9" s="16"/>
      <c r="F9" s="16"/>
      <c r="G9" s="17">
        <v>17903770</v>
      </c>
      <c r="H9" s="14"/>
      <c r="K9" s="18">
        <f>IF(G9="","",G9/$H$7)</f>
        <v>1</v>
      </c>
    </row>
    <row r="10" spans="1:11" ht="13.5" x14ac:dyDescent="0.2">
      <c r="A10" s="14"/>
      <c r="B10" s="14"/>
      <c r="C10" s="14"/>
      <c r="D10" s="14"/>
      <c r="E10" s="14"/>
      <c r="F10" s="14"/>
      <c r="G10" s="14"/>
      <c r="H10" s="14"/>
      <c r="K10" s="19"/>
    </row>
    <row r="11" spans="1:11" ht="15" x14ac:dyDescent="0.2">
      <c r="A11" s="14"/>
      <c r="B11" s="14"/>
      <c r="C11" s="20" t="s">
        <v>6</v>
      </c>
      <c r="D11" s="14"/>
      <c r="E11" s="14"/>
      <c r="F11" s="14"/>
      <c r="G11" s="14"/>
      <c r="H11" s="21">
        <f>SUM(H13:H81)</f>
        <v>3213610</v>
      </c>
      <c r="I11" s="22"/>
      <c r="J11" s="22"/>
      <c r="K11" s="8">
        <f>H11/H7</f>
        <v>0.17949348098193843</v>
      </c>
    </row>
    <row r="12" spans="1:11" ht="13.5" x14ac:dyDescent="0.2">
      <c r="A12" s="14"/>
      <c r="B12" s="14"/>
      <c r="C12" s="14"/>
      <c r="D12" s="14"/>
      <c r="E12" s="14"/>
      <c r="F12" s="14"/>
      <c r="G12" s="14"/>
      <c r="H12" s="14"/>
      <c r="K12" s="19"/>
    </row>
    <row r="13" spans="1:11" x14ac:dyDescent="0.2">
      <c r="A13" s="14"/>
      <c r="B13" s="14"/>
      <c r="C13" s="23" t="s">
        <v>7</v>
      </c>
      <c r="D13" s="14"/>
      <c r="E13" s="14"/>
      <c r="F13" s="14"/>
      <c r="G13" s="14"/>
      <c r="H13" s="24">
        <v>90</v>
      </c>
      <c r="K13" s="13">
        <f>IF(H13="","",H13/$H$7)</f>
        <v>5.0268742281653529E-6</v>
      </c>
    </row>
    <row r="14" spans="1:11" x14ac:dyDescent="0.2">
      <c r="A14" s="14"/>
      <c r="B14" s="14"/>
      <c r="C14" s="14"/>
      <c r="D14" s="14"/>
      <c r="E14" s="14"/>
      <c r="F14" s="14"/>
      <c r="G14" s="14"/>
      <c r="H14" s="25"/>
      <c r="K14" s="26" t="str">
        <f t="shared" ref="K14:K79" si="0">IF(H14="","",H14/$H$7)</f>
        <v/>
      </c>
    </row>
    <row r="15" spans="1:11" x14ac:dyDescent="0.2">
      <c r="A15" s="14"/>
      <c r="B15" s="14"/>
      <c r="C15" s="23" t="s">
        <v>8</v>
      </c>
      <c r="D15" s="14"/>
      <c r="E15" s="14"/>
      <c r="F15" s="14"/>
      <c r="G15" s="14"/>
      <c r="H15" s="27"/>
      <c r="K15" s="26" t="str">
        <f t="shared" si="0"/>
        <v/>
      </c>
    </row>
    <row r="16" spans="1:11" x14ac:dyDescent="0.2">
      <c r="A16" s="14"/>
      <c r="B16" s="14"/>
      <c r="C16" s="14"/>
      <c r="D16" s="14"/>
      <c r="E16" s="14"/>
      <c r="F16" s="14"/>
      <c r="G16" s="14"/>
      <c r="H16" s="25"/>
      <c r="K16" s="26" t="str">
        <f t="shared" si="0"/>
        <v/>
      </c>
    </row>
    <row r="17" spans="1:11" x14ac:dyDescent="0.2">
      <c r="A17" s="14"/>
      <c r="B17" s="14"/>
      <c r="C17" s="23" t="s">
        <v>9</v>
      </c>
      <c r="D17" s="14"/>
      <c r="E17" s="14"/>
      <c r="F17" s="14"/>
      <c r="G17" s="14"/>
      <c r="H17" s="27">
        <v>2762</v>
      </c>
      <c r="K17" s="26">
        <f t="shared" si="0"/>
        <v>1.542691846465856E-4</v>
      </c>
    </row>
    <row r="18" spans="1:11" x14ac:dyDescent="0.2">
      <c r="A18" s="14"/>
      <c r="B18" s="14"/>
      <c r="C18" s="14"/>
      <c r="D18" s="14"/>
      <c r="E18" s="14"/>
      <c r="F18" s="14"/>
      <c r="G18" s="14"/>
      <c r="H18" s="25"/>
      <c r="K18" s="26" t="str">
        <f t="shared" si="0"/>
        <v/>
      </c>
    </row>
    <row r="19" spans="1:11" x14ac:dyDescent="0.2">
      <c r="A19" s="14"/>
      <c r="B19" s="14"/>
      <c r="C19" s="23" t="s">
        <v>10</v>
      </c>
      <c r="D19" s="14"/>
      <c r="E19" s="14"/>
      <c r="F19" s="14"/>
      <c r="G19" s="14"/>
      <c r="H19" s="27">
        <v>546850</v>
      </c>
      <c r="K19" s="26">
        <f t="shared" si="0"/>
        <v>3.0543846351913592E-2</v>
      </c>
    </row>
    <row r="20" spans="1:11" x14ac:dyDescent="0.2">
      <c r="A20" s="14"/>
      <c r="B20" s="14"/>
      <c r="C20" s="14"/>
      <c r="D20" s="14"/>
      <c r="E20" s="14"/>
      <c r="F20" s="14"/>
      <c r="G20" s="14"/>
      <c r="H20" s="25"/>
      <c r="K20" s="26" t="str">
        <f t="shared" si="0"/>
        <v/>
      </c>
    </row>
    <row r="21" spans="1:11" x14ac:dyDescent="0.2">
      <c r="A21" s="14"/>
      <c r="B21" s="14"/>
      <c r="C21" s="28" t="s">
        <v>11</v>
      </c>
      <c r="D21" s="29"/>
      <c r="E21" s="29"/>
      <c r="F21" s="14"/>
      <c r="G21" s="14"/>
      <c r="H21" s="27">
        <v>220292</v>
      </c>
      <c r="K21" s="26">
        <f t="shared" si="0"/>
        <v>1.2304224194122243E-2</v>
      </c>
    </row>
    <row r="22" spans="1:11" x14ac:dyDescent="0.2">
      <c r="A22" s="14"/>
      <c r="B22" s="14"/>
      <c r="C22" s="28"/>
      <c r="D22" s="10" t="s">
        <v>12</v>
      </c>
      <c r="E22" s="30"/>
      <c r="F22" s="31"/>
      <c r="G22" s="32">
        <f>[1]Entertainment!I72</f>
        <v>144792</v>
      </c>
      <c r="H22" s="27"/>
      <c r="K22" s="26" t="str">
        <f t="shared" si="0"/>
        <v/>
      </c>
    </row>
    <row r="23" spans="1:11" x14ac:dyDescent="0.2">
      <c r="A23" s="14"/>
      <c r="B23" s="14"/>
      <c r="C23" s="28"/>
      <c r="D23" s="15" t="s">
        <v>13</v>
      </c>
      <c r="E23" s="33"/>
      <c r="F23" s="16"/>
      <c r="G23" s="34">
        <f>[1]Entertainment!I84</f>
        <v>75500</v>
      </c>
      <c r="H23" s="27"/>
      <c r="K23" s="26" t="str">
        <f t="shared" si="0"/>
        <v/>
      </c>
    </row>
    <row r="24" spans="1:11" x14ac:dyDescent="0.2">
      <c r="A24" s="14"/>
      <c r="B24" s="14"/>
      <c r="C24" s="14"/>
      <c r="D24" s="14"/>
      <c r="E24" s="14"/>
      <c r="F24" s="14"/>
      <c r="G24" s="14"/>
      <c r="H24" s="25"/>
      <c r="K24" s="26" t="str">
        <f t="shared" si="0"/>
        <v/>
      </c>
    </row>
    <row r="25" spans="1:11" x14ac:dyDescent="0.2">
      <c r="A25" s="14"/>
      <c r="B25" s="14"/>
      <c r="C25" s="23" t="s">
        <v>14</v>
      </c>
      <c r="D25" s="14"/>
      <c r="E25" s="14"/>
      <c r="F25" s="14"/>
      <c r="G25" s="14"/>
      <c r="H25" s="27">
        <v>57512</v>
      </c>
      <c r="K25" s="26">
        <f t="shared" si="0"/>
        <v>3.2122843401138418E-3</v>
      </c>
    </row>
    <row r="26" spans="1:11" x14ac:dyDescent="0.2">
      <c r="A26" s="14"/>
      <c r="B26" s="14"/>
      <c r="C26" s="14"/>
      <c r="D26" s="14"/>
      <c r="E26" s="14"/>
      <c r="F26" s="14"/>
      <c r="G26" s="14"/>
      <c r="H26" s="25"/>
      <c r="K26" s="26" t="str">
        <f t="shared" si="0"/>
        <v/>
      </c>
    </row>
    <row r="27" spans="1:11" x14ac:dyDescent="0.2">
      <c r="A27" s="14"/>
      <c r="B27" s="14"/>
      <c r="C27" s="28" t="s">
        <v>15</v>
      </c>
      <c r="D27" s="29"/>
      <c r="E27" s="29"/>
      <c r="F27" s="14"/>
      <c r="G27" s="14"/>
      <c r="H27" s="27">
        <v>49178</v>
      </c>
      <c r="K27" s="26">
        <f t="shared" si="0"/>
        <v>2.7467957865857304E-3</v>
      </c>
    </row>
    <row r="28" spans="1:11" x14ac:dyDescent="0.2">
      <c r="A28" s="14"/>
      <c r="B28" s="14"/>
      <c r="C28" s="28"/>
      <c r="D28" s="10" t="s">
        <v>16</v>
      </c>
      <c r="E28" s="30"/>
      <c r="F28" s="31"/>
      <c r="G28" s="32">
        <f>[1]GeneralSupplies!I49</f>
        <v>42228</v>
      </c>
      <c r="H28" s="27"/>
      <c r="K28" s="26" t="str">
        <f t="shared" si="0"/>
        <v/>
      </c>
    </row>
    <row r="29" spans="1:11" x14ac:dyDescent="0.2">
      <c r="A29" s="14"/>
      <c r="B29" s="14"/>
      <c r="C29" s="28"/>
      <c r="D29" s="15" t="s">
        <v>17</v>
      </c>
      <c r="E29" s="33"/>
      <c r="F29" s="16"/>
      <c r="G29" s="34">
        <f>[1]GeneralSupplies!I58</f>
        <v>6950</v>
      </c>
      <c r="H29" s="27"/>
      <c r="K29" s="26" t="str">
        <f t="shared" si="0"/>
        <v/>
      </c>
    </row>
    <row r="30" spans="1:11" x14ac:dyDescent="0.2">
      <c r="A30" s="14"/>
      <c r="B30" s="14"/>
      <c r="C30" s="14"/>
      <c r="D30" s="14"/>
      <c r="E30" s="14"/>
      <c r="F30" s="14"/>
      <c r="G30" s="14"/>
      <c r="H30" s="25"/>
      <c r="K30" s="26" t="str">
        <f t="shared" si="0"/>
        <v/>
      </c>
    </row>
    <row r="31" spans="1:11" x14ac:dyDescent="0.2">
      <c r="A31" s="14"/>
      <c r="B31" s="14"/>
      <c r="C31" s="23" t="s">
        <v>18</v>
      </c>
      <c r="D31" s="14"/>
      <c r="E31" s="14"/>
      <c r="F31" s="14"/>
      <c r="G31" s="14"/>
      <c r="H31" s="27">
        <v>2900</v>
      </c>
      <c r="K31" s="26">
        <f t="shared" si="0"/>
        <v>1.6197705846310583E-4</v>
      </c>
    </row>
    <row r="32" spans="1:11" x14ac:dyDescent="0.2">
      <c r="A32" s="14"/>
      <c r="B32" s="14"/>
      <c r="C32" s="14"/>
      <c r="D32" s="14"/>
      <c r="E32" s="14"/>
      <c r="F32" s="14"/>
      <c r="G32" s="14"/>
      <c r="H32" s="25"/>
      <c r="K32" s="26" t="str">
        <f t="shared" si="0"/>
        <v/>
      </c>
    </row>
    <row r="33" spans="1:11" x14ac:dyDescent="0.2">
      <c r="A33" s="14"/>
      <c r="B33" s="14"/>
      <c r="C33" s="23" t="s">
        <v>19</v>
      </c>
      <c r="D33" s="14"/>
      <c r="E33" s="14"/>
      <c r="F33" s="14"/>
      <c r="G33" s="14"/>
      <c r="H33" s="27"/>
      <c r="K33" s="26" t="str">
        <f t="shared" si="0"/>
        <v/>
      </c>
    </row>
    <row r="34" spans="1:11" x14ac:dyDescent="0.2">
      <c r="A34" s="14"/>
      <c r="B34" s="14"/>
      <c r="C34" s="14"/>
      <c r="D34" s="14"/>
      <c r="E34" s="14"/>
      <c r="F34" s="14"/>
      <c r="G34" s="14"/>
      <c r="H34" s="25"/>
      <c r="K34" s="26" t="str">
        <f t="shared" si="0"/>
        <v/>
      </c>
    </row>
    <row r="35" spans="1:11" x14ac:dyDescent="0.2">
      <c r="A35" s="14"/>
      <c r="B35" s="14"/>
      <c r="C35" s="28" t="s">
        <v>20</v>
      </c>
      <c r="D35" s="29"/>
      <c r="E35" s="29"/>
      <c r="F35" s="14"/>
      <c r="G35" s="14"/>
      <c r="H35" s="27">
        <v>534181</v>
      </c>
      <c r="K35" s="26">
        <f t="shared" si="0"/>
        <v>2.9836230023062182E-2</v>
      </c>
    </row>
    <row r="36" spans="1:11" x14ac:dyDescent="0.2">
      <c r="A36" s="14"/>
      <c r="B36" s="14"/>
      <c r="C36" s="28"/>
      <c r="D36" s="10" t="s">
        <v>21</v>
      </c>
      <c r="E36" s="30"/>
      <c r="F36" s="31"/>
      <c r="G36" s="32">
        <v>305910</v>
      </c>
      <c r="H36" s="27"/>
      <c r="K36" s="26" t="str">
        <f t="shared" si="0"/>
        <v/>
      </c>
    </row>
    <row r="37" spans="1:11" x14ac:dyDescent="0.2">
      <c r="A37" s="14"/>
      <c r="B37" s="14"/>
      <c r="C37" s="28"/>
      <c r="D37" s="15" t="s">
        <v>22</v>
      </c>
      <c r="E37" s="33"/>
      <c r="F37" s="16"/>
      <c r="G37" s="34">
        <v>228271</v>
      </c>
      <c r="H37" s="27"/>
      <c r="K37" s="26" t="str">
        <f t="shared" si="0"/>
        <v/>
      </c>
    </row>
    <row r="38" spans="1:11" x14ac:dyDescent="0.2">
      <c r="A38" s="14"/>
      <c r="B38" s="14"/>
      <c r="C38" s="14"/>
      <c r="D38" s="14"/>
      <c r="E38" s="14"/>
      <c r="F38" s="14"/>
      <c r="G38" s="14"/>
      <c r="H38" s="25"/>
      <c r="K38" s="26" t="str">
        <f t="shared" si="0"/>
        <v/>
      </c>
    </row>
    <row r="39" spans="1:11" x14ac:dyDescent="0.2">
      <c r="A39" s="14"/>
      <c r="B39" s="14"/>
      <c r="C39" s="23" t="s">
        <v>23</v>
      </c>
      <c r="D39" s="35"/>
      <c r="E39" s="35"/>
      <c r="F39" s="14"/>
      <c r="G39" s="14"/>
      <c r="H39" s="27">
        <v>138303</v>
      </c>
      <c r="K39" s="26">
        <f t="shared" si="0"/>
        <v>7.7247976264216978E-3</v>
      </c>
    </row>
    <row r="40" spans="1:11" x14ac:dyDescent="0.2">
      <c r="A40" s="14"/>
      <c r="B40" s="14"/>
      <c r="C40" s="14"/>
      <c r="D40" s="14"/>
      <c r="E40" s="14"/>
      <c r="F40" s="14"/>
      <c r="G40" s="14"/>
      <c r="H40" s="25"/>
      <c r="K40" s="26" t="str">
        <f t="shared" si="0"/>
        <v/>
      </c>
    </row>
    <row r="41" spans="1:11" x14ac:dyDescent="0.2">
      <c r="A41" s="14"/>
      <c r="B41" s="14"/>
      <c r="C41" s="23" t="s">
        <v>24</v>
      </c>
      <c r="D41" s="14"/>
      <c r="E41" s="14"/>
      <c r="F41" s="14"/>
      <c r="G41" s="14"/>
      <c r="H41" s="27"/>
      <c r="K41" s="26" t="str">
        <f t="shared" si="0"/>
        <v/>
      </c>
    </row>
    <row r="42" spans="1:11" x14ac:dyDescent="0.2">
      <c r="A42" s="14"/>
      <c r="B42" s="14"/>
      <c r="C42" s="14"/>
      <c r="D42" s="14"/>
      <c r="E42" s="14"/>
      <c r="F42" s="14"/>
      <c r="G42" s="14"/>
      <c r="H42" s="25"/>
      <c r="K42" s="26" t="str">
        <f t="shared" si="0"/>
        <v/>
      </c>
    </row>
    <row r="43" spans="1:11" x14ac:dyDescent="0.2">
      <c r="A43" s="14"/>
      <c r="B43" s="14"/>
      <c r="C43" s="23" t="s">
        <v>25</v>
      </c>
      <c r="D43" s="14"/>
      <c r="E43" s="14"/>
      <c r="F43" s="14"/>
      <c r="G43" s="14"/>
      <c r="H43" s="27">
        <v>1300</v>
      </c>
      <c r="K43" s="26">
        <f t="shared" si="0"/>
        <v>7.2610405517943983E-5</v>
      </c>
    </row>
    <row r="44" spans="1:11" x14ac:dyDescent="0.2">
      <c r="A44" s="14"/>
      <c r="B44" s="14"/>
      <c r="C44" s="14"/>
      <c r="D44" s="14"/>
      <c r="E44" s="14"/>
      <c r="F44" s="14"/>
      <c r="G44" s="14"/>
      <c r="H44" s="25"/>
      <c r="K44" s="26" t="str">
        <f t="shared" si="0"/>
        <v/>
      </c>
    </row>
    <row r="45" spans="1:11" x14ac:dyDescent="0.2">
      <c r="A45" s="14"/>
      <c r="B45" s="14"/>
      <c r="C45" s="23" t="s">
        <v>26</v>
      </c>
      <c r="D45" s="14"/>
      <c r="E45" s="14"/>
      <c r="F45" s="14"/>
      <c r="G45" s="14"/>
      <c r="H45" s="27">
        <v>74746</v>
      </c>
      <c r="K45" s="26">
        <f t="shared" si="0"/>
        <v>4.1748749006494165E-3</v>
      </c>
    </row>
    <row r="46" spans="1:11" x14ac:dyDescent="0.2">
      <c r="A46" s="14"/>
      <c r="B46" s="14"/>
      <c r="C46" s="14"/>
      <c r="D46" s="14"/>
      <c r="E46" s="14"/>
      <c r="F46" s="14"/>
      <c r="G46" s="14"/>
      <c r="H46" s="25"/>
      <c r="K46" s="26" t="str">
        <f t="shared" si="0"/>
        <v/>
      </c>
    </row>
    <row r="47" spans="1:11" x14ac:dyDescent="0.2">
      <c r="A47" s="14"/>
      <c r="B47" s="14"/>
      <c r="C47" s="23" t="s">
        <v>27</v>
      </c>
      <c r="D47" s="14"/>
      <c r="E47" s="14"/>
      <c r="F47" s="14"/>
      <c r="G47" s="14"/>
      <c r="H47" s="27">
        <v>223410</v>
      </c>
      <c r="K47" s="26">
        <f t="shared" si="0"/>
        <v>1.2478377459049127E-2</v>
      </c>
    </row>
    <row r="48" spans="1:11" x14ac:dyDescent="0.2">
      <c r="A48" s="14"/>
      <c r="B48" s="14"/>
      <c r="C48" s="23"/>
      <c r="D48" s="10" t="s">
        <v>28</v>
      </c>
      <c r="E48" s="31"/>
      <c r="F48" s="31"/>
      <c r="G48" s="32">
        <f>26000+162600</f>
        <v>188600</v>
      </c>
      <c r="H48" s="27"/>
      <c r="K48" s="26"/>
    </row>
    <row r="49" spans="1:11" x14ac:dyDescent="0.2">
      <c r="A49" s="14"/>
      <c r="B49" s="14"/>
      <c r="C49" s="23"/>
      <c r="D49" s="15" t="s">
        <v>29</v>
      </c>
      <c r="E49" s="16"/>
      <c r="F49" s="16"/>
      <c r="G49" s="34">
        <f>H47-G48</f>
        <v>34810</v>
      </c>
      <c r="H49" s="27"/>
      <c r="K49" s="26"/>
    </row>
    <row r="50" spans="1:11" x14ac:dyDescent="0.2">
      <c r="A50" s="14"/>
      <c r="B50" s="14"/>
      <c r="C50" s="23"/>
      <c r="D50" s="14"/>
      <c r="E50" s="14"/>
      <c r="F50" s="14"/>
      <c r="G50" s="14"/>
      <c r="H50" s="27"/>
      <c r="K50" s="26" t="str">
        <f t="shared" si="0"/>
        <v/>
      </c>
    </row>
    <row r="51" spans="1:11" x14ac:dyDescent="0.2">
      <c r="A51" s="14"/>
      <c r="B51" s="14"/>
      <c r="C51" s="23" t="s">
        <v>30</v>
      </c>
      <c r="D51" s="14"/>
      <c r="E51" s="14"/>
      <c r="F51" s="14"/>
      <c r="G51" s="14"/>
      <c r="H51" s="27">
        <v>675000</v>
      </c>
      <c r="K51" s="26">
        <f t="shared" si="0"/>
        <v>3.7701556711240147E-2</v>
      </c>
    </row>
    <row r="52" spans="1:11" x14ac:dyDescent="0.2">
      <c r="A52" s="14"/>
      <c r="B52" s="14"/>
      <c r="C52" s="14"/>
      <c r="D52" s="14"/>
      <c r="E52" s="14"/>
      <c r="F52" s="14"/>
      <c r="G52" s="14"/>
      <c r="H52" s="25"/>
      <c r="K52" s="26" t="str">
        <f t="shared" si="0"/>
        <v/>
      </c>
    </row>
    <row r="53" spans="1:11" x14ac:dyDescent="0.2">
      <c r="A53" s="14"/>
      <c r="B53" s="14"/>
      <c r="C53" s="28" t="s">
        <v>31</v>
      </c>
      <c r="D53" s="29"/>
      <c r="E53" s="29"/>
      <c r="F53" s="14"/>
      <c r="G53" s="14"/>
      <c r="H53" s="27">
        <v>37425</v>
      </c>
      <c r="K53" s="26">
        <f t="shared" si="0"/>
        <v>2.090341866545426E-3</v>
      </c>
    </row>
    <row r="54" spans="1:11" x14ac:dyDescent="0.2">
      <c r="A54" s="14"/>
      <c r="B54" s="14"/>
      <c r="C54" s="28"/>
      <c r="D54" s="10" t="s">
        <v>32</v>
      </c>
      <c r="E54" s="30"/>
      <c r="F54" s="31"/>
      <c r="G54" s="32">
        <v>18575</v>
      </c>
      <c r="H54" s="36"/>
      <c r="K54" s="18" t="str">
        <f t="shared" si="0"/>
        <v/>
      </c>
    </row>
    <row r="55" spans="1:11" x14ac:dyDescent="0.2">
      <c r="A55" s="14"/>
      <c r="B55" s="14"/>
      <c r="C55" s="28"/>
      <c r="D55" s="37" t="s">
        <v>33</v>
      </c>
      <c r="E55" s="29"/>
      <c r="F55" s="14"/>
      <c r="G55" s="38">
        <v>11350</v>
      </c>
      <c r="H55" s="24"/>
      <c r="K55" s="13" t="str">
        <f t="shared" si="0"/>
        <v/>
      </c>
    </row>
    <row r="56" spans="1:11" x14ac:dyDescent="0.2">
      <c r="A56" s="14"/>
      <c r="B56" s="14"/>
      <c r="C56" s="28"/>
      <c r="D56" s="15" t="s">
        <v>34</v>
      </c>
      <c r="E56" s="33"/>
      <c r="F56" s="16"/>
      <c r="G56" s="34">
        <v>7500</v>
      </c>
      <c r="H56" s="27"/>
      <c r="K56" s="26" t="str">
        <f t="shared" si="0"/>
        <v/>
      </c>
    </row>
    <row r="57" spans="1:11" x14ac:dyDescent="0.2">
      <c r="A57" s="14"/>
      <c r="B57" s="14"/>
      <c r="C57" s="14"/>
      <c r="D57" s="14"/>
      <c r="E57" s="14"/>
      <c r="F57" s="14"/>
      <c r="G57" s="14"/>
      <c r="H57" s="25"/>
      <c r="K57" s="26" t="str">
        <f t="shared" si="0"/>
        <v/>
      </c>
    </row>
    <row r="58" spans="1:11" x14ac:dyDescent="0.2">
      <c r="A58" s="14"/>
      <c r="B58" s="14"/>
      <c r="C58" s="23" t="s">
        <v>35</v>
      </c>
      <c r="D58" s="14"/>
      <c r="E58" s="14"/>
      <c r="F58" s="14"/>
      <c r="G58" s="14"/>
      <c r="H58" s="27">
        <v>155155</v>
      </c>
      <c r="K58" s="26">
        <f t="shared" si="0"/>
        <v>8.6660518985666145E-3</v>
      </c>
    </row>
    <row r="59" spans="1:11" x14ac:dyDescent="0.2">
      <c r="A59" s="14"/>
      <c r="B59" s="14"/>
      <c r="C59" s="14"/>
      <c r="D59" s="14"/>
      <c r="E59" s="14"/>
      <c r="F59" s="14"/>
      <c r="G59" s="14"/>
      <c r="H59" s="25"/>
      <c r="K59" s="26" t="str">
        <f t="shared" si="0"/>
        <v/>
      </c>
    </row>
    <row r="60" spans="1:11" x14ac:dyDescent="0.2">
      <c r="A60" s="14"/>
      <c r="B60" s="14"/>
      <c r="C60" s="23" t="s">
        <v>36</v>
      </c>
      <c r="D60" s="14"/>
      <c r="E60" s="14"/>
      <c r="F60" s="14"/>
      <c r="G60" s="14"/>
      <c r="H60" s="27">
        <v>2865</v>
      </c>
      <c r="K60" s="26">
        <f t="shared" si="0"/>
        <v>1.6002216292993041E-4</v>
      </c>
    </row>
    <row r="61" spans="1:11" x14ac:dyDescent="0.2">
      <c r="A61" s="14"/>
      <c r="B61" s="14"/>
      <c r="C61" s="14"/>
      <c r="D61" s="14"/>
      <c r="E61" s="14"/>
      <c r="F61" s="14"/>
      <c r="G61" s="14"/>
      <c r="H61" s="25"/>
      <c r="K61" s="26" t="str">
        <f t="shared" si="0"/>
        <v/>
      </c>
    </row>
    <row r="62" spans="1:11" x14ac:dyDescent="0.2">
      <c r="A62" s="14"/>
      <c r="B62" s="14"/>
      <c r="C62" s="23" t="s">
        <v>37</v>
      </c>
      <c r="D62" s="14"/>
      <c r="E62" s="14"/>
      <c r="F62" s="14"/>
      <c r="G62" s="14"/>
      <c r="H62" s="27">
        <v>51795</v>
      </c>
      <c r="K62" s="26">
        <f t="shared" si="0"/>
        <v>2.8929661183091605E-3</v>
      </c>
    </row>
    <row r="63" spans="1:11" x14ac:dyDescent="0.2">
      <c r="A63" s="14"/>
      <c r="B63" s="14"/>
      <c r="C63" s="14"/>
      <c r="D63" s="14"/>
      <c r="E63" s="14"/>
      <c r="F63" s="14"/>
      <c r="G63" s="14"/>
      <c r="H63" s="25"/>
      <c r="K63" s="26" t="str">
        <f t="shared" si="0"/>
        <v/>
      </c>
    </row>
    <row r="64" spans="1:11" x14ac:dyDescent="0.2">
      <c r="A64" s="14"/>
      <c r="B64" s="14"/>
      <c r="C64" s="23" t="s">
        <v>38</v>
      </c>
      <c r="D64" s="14"/>
      <c r="E64" s="14"/>
      <c r="F64" s="14"/>
      <c r="G64" s="14"/>
      <c r="H64" s="27">
        <v>57573</v>
      </c>
      <c r="K64" s="26">
        <f t="shared" si="0"/>
        <v>3.2156914437573765E-3</v>
      </c>
    </row>
    <row r="65" spans="1:11" x14ac:dyDescent="0.2">
      <c r="A65" s="14"/>
      <c r="B65" s="14"/>
      <c r="C65" s="14"/>
      <c r="D65" s="14"/>
      <c r="E65" s="14"/>
      <c r="F65" s="14"/>
      <c r="G65" s="14"/>
      <c r="H65" s="25"/>
      <c r="K65" s="26" t="str">
        <f t="shared" si="0"/>
        <v/>
      </c>
    </row>
    <row r="66" spans="1:11" x14ac:dyDescent="0.2">
      <c r="A66" s="14"/>
      <c r="B66" s="14"/>
      <c r="C66" s="23" t="s">
        <v>39</v>
      </c>
      <c r="D66" s="14"/>
      <c r="E66" s="14"/>
      <c r="F66" s="14"/>
      <c r="G66" s="14"/>
      <c r="H66" s="27"/>
      <c r="K66" s="26" t="str">
        <f t="shared" si="0"/>
        <v/>
      </c>
    </row>
    <row r="67" spans="1:11" x14ac:dyDescent="0.2">
      <c r="A67" s="14"/>
      <c r="B67" s="14"/>
      <c r="C67" s="14"/>
      <c r="D67" s="14"/>
      <c r="E67" s="14"/>
      <c r="F67" s="14"/>
      <c r="G67" s="14"/>
      <c r="H67" s="25"/>
      <c r="K67" s="26" t="str">
        <f t="shared" si="0"/>
        <v/>
      </c>
    </row>
    <row r="68" spans="1:11" x14ac:dyDescent="0.2">
      <c r="A68" s="14"/>
      <c r="B68" s="14"/>
      <c r="C68" s="23" t="s">
        <v>40</v>
      </c>
      <c r="D68" s="14"/>
      <c r="E68" s="14"/>
      <c r="F68" s="14"/>
      <c r="G68" s="14"/>
      <c r="H68" s="27">
        <v>5000</v>
      </c>
      <c r="K68" s="26">
        <f t="shared" si="0"/>
        <v>2.7927079045363069E-4</v>
      </c>
    </row>
    <row r="69" spans="1:11" x14ac:dyDescent="0.2">
      <c r="A69" s="14"/>
      <c r="B69" s="14"/>
      <c r="C69" s="14"/>
      <c r="D69" s="14"/>
      <c r="E69" s="14"/>
      <c r="F69" s="14"/>
      <c r="G69" s="14"/>
      <c r="H69" s="25"/>
      <c r="K69" s="26" t="str">
        <f t="shared" si="0"/>
        <v/>
      </c>
    </row>
    <row r="70" spans="1:11" x14ac:dyDescent="0.2">
      <c r="A70" s="14"/>
      <c r="B70" s="14"/>
      <c r="C70" s="28" t="s">
        <v>41</v>
      </c>
      <c r="D70" s="29"/>
      <c r="E70" s="29"/>
      <c r="F70" s="14"/>
      <c r="G70" s="14"/>
      <c r="H70" s="27">
        <v>283892</v>
      </c>
      <c r="K70" s="26">
        <f t="shared" si="0"/>
        <v>1.5856548648692428E-2</v>
      </c>
    </row>
    <row r="71" spans="1:11" x14ac:dyDescent="0.2">
      <c r="A71" s="14"/>
      <c r="B71" s="14"/>
      <c r="C71" s="28"/>
      <c r="D71" s="10" t="s">
        <v>42</v>
      </c>
      <c r="E71" s="30"/>
      <c r="F71" s="31"/>
      <c r="G71" s="32">
        <v>270815</v>
      </c>
      <c r="H71" s="27"/>
      <c r="K71" s="26" t="str">
        <f t="shared" si="0"/>
        <v/>
      </c>
    </row>
    <row r="72" spans="1:11" x14ac:dyDescent="0.2">
      <c r="A72" s="14"/>
      <c r="B72" s="14"/>
      <c r="C72" s="28"/>
      <c r="D72" s="37" t="s">
        <v>43</v>
      </c>
      <c r="E72" s="29"/>
      <c r="F72" s="14"/>
      <c r="G72" s="38">
        <v>11227</v>
      </c>
      <c r="H72" s="27"/>
      <c r="K72" s="26" t="str">
        <f t="shared" si="0"/>
        <v/>
      </c>
    </row>
    <row r="73" spans="1:11" x14ac:dyDescent="0.2">
      <c r="A73" s="14"/>
      <c r="B73" s="14"/>
      <c r="C73" s="28"/>
      <c r="D73" s="15" t="s">
        <v>44</v>
      </c>
      <c r="E73" s="33"/>
      <c r="F73" s="16"/>
      <c r="G73" s="34">
        <v>1850</v>
      </c>
      <c r="H73" s="27"/>
      <c r="K73" s="26" t="str">
        <f t="shared" si="0"/>
        <v/>
      </c>
    </row>
    <row r="74" spans="1:11" x14ac:dyDescent="0.2">
      <c r="A74" s="14"/>
      <c r="B74" s="14"/>
      <c r="C74" s="14"/>
      <c r="D74" s="14"/>
      <c r="E74" s="14"/>
      <c r="F74" s="14"/>
      <c r="G74" s="14"/>
      <c r="H74" s="25"/>
      <c r="K74" s="26" t="str">
        <f t="shared" si="0"/>
        <v/>
      </c>
    </row>
    <row r="75" spans="1:11" x14ac:dyDescent="0.2">
      <c r="A75" s="14"/>
      <c r="B75" s="14"/>
      <c r="C75" s="23" t="s">
        <v>45</v>
      </c>
      <c r="D75" s="14"/>
      <c r="E75" s="14"/>
      <c r="F75" s="14"/>
      <c r="G75" s="14"/>
      <c r="H75" s="27">
        <v>25241</v>
      </c>
      <c r="K75" s="26">
        <f t="shared" si="0"/>
        <v>1.4098148043680185E-3</v>
      </c>
    </row>
    <row r="76" spans="1:11" x14ac:dyDescent="0.2">
      <c r="A76" s="14"/>
      <c r="B76" s="14"/>
      <c r="C76" s="14"/>
      <c r="D76" s="14"/>
      <c r="E76" s="14"/>
      <c r="F76" s="14"/>
      <c r="G76" s="14"/>
      <c r="H76" s="25"/>
      <c r="K76" s="26" t="str">
        <f t="shared" si="0"/>
        <v/>
      </c>
    </row>
    <row r="77" spans="1:11" x14ac:dyDescent="0.2">
      <c r="A77" s="14"/>
      <c r="B77" s="14"/>
      <c r="C77" s="23" t="s">
        <v>46</v>
      </c>
      <c r="D77" s="14"/>
      <c r="E77" s="14"/>
      <c r="F77" s="14"/>
      <c r="G77" s="14"/>
      <c r="H77" s="27">
        <v>9500</v>
      </c>
      <c r="K77" s="26">
        <f t="shared" si="0"/>
        <v>5.3061450186189839E-4</v>
      </c>
    </row>
    <row r="78" spans="1:11" x14ac:dyDescent="0.2">
      <c r="A78" s="14"/>
      <c r="B78" s="14"/>
      <c r="C78" s="14"/>
      <c r="D78" s="14"/>
      <c r="E78" s="14"/>
      <c r="F78" s="14"/>
      <c r="G78" s="14"/>
      <c r="H78" s="25"/>
      <c r="K78" s="26" t="str">
        <f t="shared" si="0"/>
        <v/>
      </c>
    </row>
    <row r="79" spans="1:11" x14ac:dyDescent="0.2">
      <c r="A79" s="14"/>
      <c r="B79" s="14"/>
      <c r="C79" s="23" t="s">
        <v>47</v>
      </c>
      <c r="D79" s="14"/>
      <c r="E79" s="14"/>
      <c r="F79" s="14"/>
      <c r="G79" s="14"/>
      <c r="H79" s="27">
        <v>8396</v>
      </c>
      <c r="K79" s="26">
        <f t="shared" si="0"/>
        <v>4.6895151132973669E-4</v>
      </c>
    </row>
    <row r="80" spans="1:11" x14ac:dyDescent="0.2">
      <c r="A80" s="14"/>
      <c r="B80" s="14"/>
      <c r="C80" s="14"/>
      <c r="D80" s="14"/>
      <c r="E80" s="14"/>
      <c r="F80" s="14"/>
      <c r="G80" s="14"/>
      <c r="H80" s="25"/>
      <c r="K80" s="26" t="str">
        <f>IF(H80="","",H80/$H$7)</f>
        <v/>
      </c>
    </row>
    <row r="81" spans="1:12" x14ac:dyDescent="0.2">
      <c r="A81" s="14"/>
      <c r="B81" s="14"/>
      <c r="C81" s="23" t="s">
        <v>48</v>
      </c>
      <c r="D81" s="14"/>
      <c r="E81" s="14"/>
      <c r="F81" s="14"/>
      <c r="G81" s="14"/>
      <c r="H81" s="36">
        <v>50244</v>
      </c>
      <c r="K81" s="18">
        <f>IF(H81="","",H81/$H$7)</f>
        <v>2.8063363191104442E-3</v>
      </c>
    </row>
    <row r="82" spans="1:12" ht="13.5" x14ac:dyDescent="0.2">
      <c r="A82" s="14"/>
      <c r="B82" s="14"/>
      <c r="C82" s="14"/>
      <c r="D82" s="14"/>
      <c r="E82" s="14"/>
      <c r="F82" s="14"/>
      <c r="G82" s="14"/>
      <c r="H82" s="14"/>
      <c r="K82" s="19"/>
    </row>
    <row r="83" spans="1:12" ht="15" x14ac:dyDescent="0.2">
      <c r="A83" s="14"/>
      <c r="B83" s="14"/>
      <c r="C83" s="20" t="s">
        <v>49</v>
      </c>
      <c r="D83" s="14"/>
      <c r="E83" s="14"/>
      <c r="F83" s="14"/>
      <c r="G83" s="14"/>
      <c r="H83" s="21">
        <f>SUM(H84:H123)</f>
        <v>9331016</v>
      </c>
      <c r="K83" s="8">
        <f>H83/H7</f>
        <v>0.52117604281109509</v>
      </c>
      <c r="L83" s="39"/>
    </row>
    <row r="84" spans="1:12" ht="13.5" x14ac:dyDescent="0.2">
      <c r="A84" s="14"/>
      <c r="B84" s="14"/>
      <c r="C84" s="14"/>
      <c r="D84" s="14"/>
      <c r="E84" s="14"/>
      <c r="F84" s="14"/>
      <c r="G84" s="14"/>
      <c r="H84" s="14"/>
      <c r="K84" s="19"/>
    </row>
    <row r="85" spans="1:12" x14ac:dyDescent="0.2">
      <c r="A85" s="14"/>
      <c r="B85" s="14"/>
      <c r="C85" s="23" t="s">
        <v>50</v>
      </c>
      <c r="D85" s="14"/>
      <c r="E85" s="14"/>
      <c r="F85" s="14"/>
      <c r="G85" s="14"/>
      <c r="H85" s="24">
        <v>139300</v>
      </c>
      <c r="K85" s="13">
        <f t="shared" ref="K85:K123" si="1">IF(H85="","",H85/$H$7)</f>
        <v>7.7804842220381516E-3</v>
      </c>
      <c r="L85" s="39"/>
    </row>
    <row r="86" spans="1:12" x14ac:dyDescent="0.2">
      <c r="A86" s="14"/>
      <c r="B86" s="14"/>
      <c r="C86" s="14"/>
      <c r="D86" s="14"/>
      <c r="E86" s="14"/>
      <c r="F86" s="14"/>
      <c r="G86" s="14"/>
      <c r="H86" s="25"/>
      <c r="K86" s="26" t="str">
        <f t="shared" si="1"/>
        <v/>
      </c>
    </row>
    <row r="87" spans="1:12" x14ac:dyDescent="0.2">
      <c r="A87" s="14"/>
      <c r="B87" s="14"/>
      <c r="C87" s="23" t="s">
        <v>51</v>
      </c>
      <c r="D87" s="14"/>
      <c r="E87" s="14"/>
      <c r="F87" s="14"/>
      <c r="G87" s="14"/>
      <c r="H87" s="27">
        <v>21693</v>
      </c>
      <c r="K87" s="26">
        <f t="shared" si="1"/>
        <v>1.2116442514621222E-3</v>
      </c>
    </row>
    <row r="88" spans="1:12" x14ac:dyDescent="0.2">
      <c r="A88" s="14"/>
      <c r="B88" s="14"/>
      <c r="C88" s="14"/>
      <c r="D88" s="14"/>
      <c r="E88" s="14"/>
      <c r="F88" s="14"/>
      <c r="G88" s="14"/>
      <c r="H88" s="25"/>
      <c r="K88" s="26" t="str">
        <f t="shared" si="1"/>
        <v/>
      </c>
    </row>
    <row r="89" spans="1:12" x14ac:dyDescent="0.2">
      <c r="A89" s="14"/>
      <c r="B89" s="14"/>
      <c r="C89" s="23" t="s">
        <v>52</v>
      </c>
      <c r="D89" s="14"/>
      <c r="E89" s="14"/>
      <c r="F89" s="14"/>
      <c r="G89" s="14"/>
      <c r="H89" s="27">
        <v>2000</v>
      </c>
      <c r="K89" s="26">
        <f t="shared" si="1"/>
        <v>1.1170831618145229E-4</v>
      </c>
    </row>
    <row r="90" spans="1:12" x14ac:dyDescent="0.2">
      <c r="A90" s="14"/>
      <c r="B90" s="14"/>
      <c r="C90" s="14"/>
      <c r="D90" s="14"/>
      <c r="E90" s="14"/>
      <c r="F90" s="14"/>
      <c r="G90" s="14"/>
      <c r="H90" s="25"/>
      <c r="K90" s="26" t="str">
        <f t="shared" si="1"/>
        <v/>
      </c>
    </row>
    <row r="91" spans="1:12" x14ac:dyDescent="0.2">
      <c r="A91" s="14"/>
      <c r="B91" s="14"/>
      <c r="C91" s="23" t="s">
        <v>53</v>
      </c>
      <c r="D91" s="14"/>
      <c r="E91" s="14"/>
      <c r="F91" s="14"/>
      <c r="G91" s="14"/>
      <c r="H91" s="27"/>
      <c r="K91" s="26" t="str">
        <f t="shared" si="1"/>
        <v/>
      </c>
    </row>
    <row r="92" spans="1:12" x14ac:dyDescent="0.2">
      <c r="A92" s="14"/>
      <c r="B92" s="14"/>
      <c r="C92" s="14"/>
      <c r="D92" s="14"/>
      <c r="E92" s="14"/>
      <c r="F92" s="14"/>
      <c r="G92" s="14"/>
      <c r="H92" s="25"/>
      <c r="K92" s="26" t="str">
        <f t="shared" si="1"/>
        <v/>
      </c>
    </row>
    <row r="93" spans="1:12" x14ac:dyDescent="0.2">
      <c r="A93" s="14"/>
      <c r="B93" s="14"/>
      <c r="C93" s="23" t="s">
        <v>54</v>
      </c>
      <c r="D93" s="14"/>
      <c r="E93" s="14"/>
      <c r="F93" s="14"/>
      <c r="G93" s="14"/>
      <c r="H93" s="27">
        <v>40000</v>
      </c>
      <c r="K93" s="26">
        <f t="shared" si="1"/>
        <v>2.2341663236290455E-3</v>
      </c>
    </row>
    <row r="94" spans="1:12" x14ac:dyDescent="0.2">
      <c r="A94" s="14"/>
      <c r="B94" s="14"/>
      <c r="C94" s="14"/>
      <c r="D94" s="14"/>
      <c r="E94" s="14"/>
      <c r="F94" s="14"/>
      <c r="G94" s="14"/>
      <c r="H94" s="25"/>
      <c r="K94" s="26" t="str">
        <f t="shared" si="1"/>
        <v/>
      </c>
    </row>
    <row r="95" spans="1:12" x14ac:dyDescent="0.2">
      <c r="A95" s="14"/>
      <c r="B95" s="14"/>
      <c r="C95" s="23" t="s">
        <v>55</v>
      </c>
      <c r="D95" s="14"/>
      <c r="E95" s="14"/>
      <c r="F95" s="14"/>
      <c r="G95" s="14"/>
      <c r="H95" s="27">
        <v>24642</v>
      </c>
      <c r="K95" s="26">
        <f t="shared" si="1"/>
        <v>1.3763581636716737E-3</v>
      </c>
    </row>
    <row r="96" spans="1:12" x14ac:dyDescent="0.2">
      <c r="A96" s="14"/>
      <c r="B96" s="14"/>
      <c r="C96" s="14"/>
      <c r="D96" s="14"/>
      <c r="E96" s="14"/>
      <c r="F96" s="14"/>
      <c r="G96" s="14"/>
      <c r="H96" s="25"/>
      <c r="K96" s="26" t="str">
        <f t="shared" si="1"/>
        <v/>
      </c>
    </row>
    <row r="97" spans="1:11" x14ac:dyDescent="0.2">
      <c r="A97" s="14"/>
      <c r="B97" s="14"/>
      <c r="C97" s="23" t="s">
        <v>56</v>
      </c>
      <c r="D97" s="14"/>
      <c r="E97" s="14"/>
      <c r="F97" s="14"/>
      <c r="G97" s="14"/>
      <c r="H97" s="27">
        <v>760</v>
      </c>
      <c r="K97" s="26">
        <f t="shared" si="1"/>
        <v>4.2449160148951866E-5</v>
      </c>
    </row>
    <row r="98" spans="1:11" x14ac:dyDescent="0.2">
      <c r="A98" s="14"/>
      <c r="B98" s="14"/>
      <c r="C98" s="14"/>
      <c r="D98" s="14"/>
      <c r="E98" s="14"/>
      <c r="F98" s="14"/>
      <c r="G98" s="14"/>
      <c r="H98" s="25"/>
      <c r="K98" s="26" t="str">
        <f t="shared" si="1"/>
        <v/>
      </c>
    </row>
    <row r="99" spans="1:11" x14ac:dyDescent="0.2">
      <c r="A99" s="14"/>
      <c r="B99" s="14"/>
      <c r="C99" s="23" t="s">
        <v>57</v>
      </c>
      <c r="D99" s="14"/>
      <c r="E99" s="14"/>
      <c r="F99" s="14"/>
      <c r="G99" s="14"/>
      <c r="H99" s="27">
        <v>36323</v>
      </c>
      <c r="K99" s="26">
        <f t="shared" si="1"/>
        <v>2.0287905843294459E-3</v>
      </c>
    </row>
    <row r="100" spans="1:11" x14ac:dyDescent="0.2">
      <c r="A100" s="14"/>
      <c r="B100" s="14"/>
      <c r="C100" s="14"/>
      <c r="D100" s="14"/>
      <c r="E100" s="14"/>
      <c r="F100" s="14"/>
      <c r="G100" s="14"/>
      <c r="H100" s="25"/>
      <c r="K100" s="26" t="str">
        <f t="shared" si="1"/>
        <v/>
      </c>
    </row>
    <row r="101" spans="1:11" x14ac:dyDescent="0.2">
      <c r="A101" s="14"/>
      <c r="B101" s="14"/>
      <c r="C101" s="23" t="s">
        <v>58</v>
      </c>
      <c r="D101" s="14"/>
      <c r="E101" s="14"/>
      <c r="F101" s="14"/>
      <c r="G101" s="14"/>
      <c r="H101" s="27"/>
      <c r="K101" s="26" t="str">
        <f t="shared" si="1"/>
        <v/>
      </c>
    </row>
    <row r="102" spans="1:11" x14ac:dyDescent="0.2">
      <c r="A102" s="14"/>
      <c r="B102" s="14"/>
      <c r="C102" s="14"/>
      <c r="D102" s="14"/>
      <c r="E102" s="14"/>
      <c r="F102" s="14"/>
      <c r="G102" s="14"/>
      <c r="H102" s="25"/>
      <c r="K102" s="26" t="str">
        <f t="shared" si="1"/>
        <v/>
      </c>
    </row>
    <row r="103" spans="1:11" x14ac:dyDescent="0.2">
      <c r="A103" s="14"/>
      <c r="B103" s="14"/>
      <c r="C103" s="23" t="s">
        <v>59</v>
      </c>
      <c r="D103" s="14"/>
      <c r="E103" s="14"/>
      <c r="F103" s="14"/>
      <c r="G103" s="14"/>
      <c r="H103" s="27">
        <v>133000</v>
      </c>
      <c r="K103" s="26">
        <f t="shared" si="1"/>
        <v>7.4286030260665766E-3</v>
      </c>
    </row>
    <row r="104" spans="1:11" x14ac:dyDescent="0.2">
      <c r="A104" s="14"/>
      <c r="B104" s="14"/>
      <c r="C104" s="14"/>
      <c r="D104" s="14"/>
      <c r="E104" s="14"/>
      <c r="F104" s="14"/>
      <c r="G104" s="14"/>
      <c r="H104" s="40"/>
      <c r="K104" s="18" t="str">
        <f t="shared" si="1"/>
        <v/>
      </c>
    </row>
    <row r="105" spans="1:11" x14ac:dyDescent="0.2">
      <c r="A105" s="14"/>
      <c r="B105" s="14"/>
      <c r="C105" s="23" t="s">
        <v>60</v>
      </c>
      <c r="D105" s="14"/>
      <c r="E105" s="14"/>
      <c r="F105" s="14"/>
      <c r="G105" s="14"/>
      <c r="H105" s="24">
        <v>338</v>
      </c>
      <c r="K105" s="13">
        <f t="shared" si="1"/>
        <v>1.8878705434665436E-5</v>
      </c>
    </row>
    <row r="106" spans="1:11" x14ac:dyDescent="0.2">
      <c r="A106" s="14"/>
      <c r="B106" s="14"/>
      <c r="C106" s="14"/>
      <c r="D106" s="14"/>
      <c r="E106" s="14"/>
      <c r="F106" s="14"/>
      <c r="G106" s="14"/>
      <c r="H106" s="25"/>
      <c r="K106" s="26" t="str">
        <f t="shared" si="1"/>
        <v/>
      </c>
    </row>
    <row r="107" spans="1:11" x14ac:dyDescent="0.2">
      <c r="A107" s="14"/>
      <c r="B107" s="14"/>
      <c r="C107" s="23" t="s">
        <v>61</v>
      </c>
      <c r="D107" s="14"/>
      <c r="E107" s="14"/>
      <c r="F107" s="14"/>
      <c r="G107" s="14"/>
      <c r="H107" s="27">
        <v>38922</v>
      </c>
      <c r="K107" s="26">
        <f t="shared" si="1"/>
        <v>2.1739555412072431E-3</v>
      </c>
    </row>
    <row r="108" spans="1:11" x14ac:dyDescent="0.2">
      <c r="A108" s="14"/>
      <c r="B108" s="14"/>
      <c r="C108" s="14"/>
      <c r="D108" s="14"/>
      <c r="E108" s="14"/>
      <c r="F108" s="14"/>
      <c r="G108" s="14"/>
      <c r="H108" s="25"/>
      <c r="K108" s="26" t="str">
        <f t="shared" si="1"/>
        <v/>
      </c>
    </row>
    <row r="109" spans="1:11" x14ac:dyDescent="0.2">
      <c r="A109" s="14"/>
      <c r="B109" s="14"/>
      <c r="C109" s="23" t="s">
        <v>62</v>
      </c>
      <c r="D109" s="14"/>
      <c r="E109" s="14"/>
      <c r="F109" s="14"/>
      <c r="G109" s="14"/>
      <c r="H109" s="27">
        <v>282154</v>
      </c>
      <c r="K109" s="26">
        <f t="shared" si="1"/>
        <v>1.5759474121930746E-2</v>
      </c>
    </row>
    <row r="110" spans="1:11" x14ac:dyDescent="0.2">
      <c r="A110" s="14"/>
      <c r="B110" s="14"/>
      <c r="C110" s="14"/>
      <c r="D110" s="14"/>
      <c r="E110" s="14"/>
      <c r="F110" s="14"/>
      <c r="G110" s="14"/>
      <c r="H110" s="25"/>
      <c r="K110" s="26" t="str">
        <f t="shared" si="1"/>
        <v/>
      </c>
    </row>
    <row r="111" spans="1:11" x14ac:dyDescent="0.2">
      <c r="A111" s="14"/>
      <c r="B111" s="14"/>
      <c r="C111" s="23" t="s">
        <v>63</v>
      </c>
      <c r="D111" s="14"/>
      <c r="E111" s="14"/>
      <c r="F111" s="14"/>
      <c r="G111" s="14"/>
      <c r="H111" s="27">
        <v>7621747</v>
      </c>
      <c r="K111" s="26">
        <f t="shared" si="1"/>
        <v>0.42570626186551769</v>
      </c>
    </row>
    <row r="112" spans="1:11" x14ac:dyDescent="0.2">
      <c r="A112" s="14"/>
      <c r="B112" s="14"/>
      <c r="C112" s="14"/>
      <c r="D112" s="14"/>
      <c r="E112" s="14"/>
      <c r="F112" s="14"/>
      <c r="G112" s="14"/>
      <c r="H112" s="25"/>
      <c r="K112" s="26" t="str">
        <f t="shared" si="1"/>
        <v/>
      </c>
    </row>
    <row r="113" spans="1:11" x14ac:dyDescent="0.2">
      <c r="A113" s="14"/>
      <c r="B113" s="14"/>
      <c r="C113" s="23" t="s">
        <v>64</v>
      </c>
      <c r="D113" s="14"/>
      <c r="E113" s="14"/>
      <c r="F113" s="14"/>
      <c r="G113" s="14"/>
      <c r="H113" s="27">
        <v>422214</v>
      </c>
      <c r="K113" s="26">
        <f t="shared" si="1"/>
        <v>2.3582407504117848E-2</v>
      </c>
    </row>
    <row r="114" spans="1:11" x14ac:dyDescent="0.2">
      <c r="A114" s="14"/>
      <c r="B114" s="14"/>
      <c r="C114" s="14"/>
      <c r="D114" s="14"/>
      <c r="E114" s="14"/>
      <c r="F114" s="14"/>
      <c r="G114" s="14"/>
      <c r="H114" s="25"/>
      <c r="K114" s="26" t="str">
        <f t="shared" si="1"/>
        <v/>
      </c>
    </row>
    <row r="115" spans="1:11" x14ac:dyDescent="0.2">
      <c r="A115" s="14"/>
      <c r="B115" s="14"/>
      <c r="C115" s="28" t="s">
        <v>65</v>
      </c>
      <c r="D115" s="29"/>
      <c r="E115" s="29"/>
      <c r="F115" s="14"/>
      <c r="G115" s="14"/>
      <c r="H115" s="27">
        <v>236843</v>
      </c>
      <c r="K115" s="26">
        <f t="shared" si="1"/>
        <v>1.3228666364681852E-2</v>
      </c>
    </row>
    <row r="116" spans="1:11" x14ac:dyDescent="0.2">
      <c r="A116" s="14"/>
      <c r="B116" s="14"/>
      <c r="C116" s="28"/>
      <c r="D116" s="10" t="s">
        <v>66</v>
      </c>
      <c r="E116" s="30"/>
      <c r="F116" s="31"/>
      <c r="G116" s="32">
        <v>16815</v>
      </c>
      <c r="H116" s="27"/>
      <c r="K116" s="26" t="str">
        <f t="shared" si="1"/>
        <v/>
      </c>
    </row>
    <row r="117" spans="1:11" x14ac:dyDescent="0.2">
      <c r="A117" s="14"/>
      <c r="B117" s="14"/>
      <c r="C117" s="28"/>
      <c r="D117" s="37" t="s">
        <v>67</v>
      </c>
      <c r="E117" s="29"/>
      <c r="F117" s="14"/>
      <c r="G117" s="38">
        <v>79590</v>
      </c>
      <c r="H117" s="27"/>
      <c r="K117" s="26" t="str">
        <f t="shared" si="1"/>
        <v/>
      </c>
    </row>
    <row r="118" spans="1:11" x14ac:dyDescent="0.2">
      <c r="A118" s="14"/>
      <c r="B118" s="14"/>
      <c r="C118" s="28"/>
      <c r="D118" s="37" t="s">
        <v>68</v>
      </c>
      <c r="E118" s="29"/>
      <c r="F118" s="14"/>
      <c r="G118" s="38">
        <v>140238</v>
      </c>
      <c r="H118" s="27"/>
      <c r="K118" s="26" t="str">
        <f t="shared" si="1"/>
        <v/>
      </c>
    </row>
    <row r="119" spans="1:11" x14ac:dyDescent="0.2">
      <c r="A119" s="14"/>
      <c r="B119" s="14"/>
      <c r="C119" s="28"/>
      <c r="D119" s="15" t="s">
        <v>69</v>
      </c>
      <c r="E119" s="33"/>
      <c r="F119" s="16"/>
      <c r="G119" s="34">
        <v>200</v>
      </c>
      <c r="H119" s="27"/>
      <c r="K119" s="26" t="str">
        <f t="shared" si="1"/>
        <v/>
      </c>
    </row>
    <row r="120" spans="1:11" x14ac:dyDescent="0.2">
      <c r="A120" s="14"/>
      <c r="B120" s="14"/>
      <c r="C120" s="14"/>
      <c r="D120" s="14"/>
      <c r="E120" s="14"/>
      <c r="F120" s="14"/>
      <c r="G120" s="14"/>
      <c r="H120" s="25"/>
      <c r="K120" s="26" t="str">
        <f t="shared" si="1"/>
        <v/>
      </c>
    </row>
    <row r="121" spans="1:11" x14ac:dyDescent="0.2">
      <c r="A121" s="14"/>
      <c r="B121" s="14"/>
      <c r="C121" s="23" t="s">
        <v>70</v>
      </c>
      <c r="D121" s="14"/>
      <c r="E121" s="14"/>
      <c r="F121" s="14"/>
      <c r="G121" s="14"/>
      <c r="H121" s="27">
        <v>224840</v>
      </c>
      <c r="K121" s="26">
        <f t="shared" si="1"/>
        <v>1.2558248905118866E-2</v>
      </c>
    </row>
    <row r="122" spans="1:11" x14ac:dyDescent="0.2">
      <c r="A122" s="14"/>
      <c r="B122" s="14"/>
      <c r="C122" s="14"/>
      <c r="D122" s="14"/>
      <c r="E122" s="14"/>
      <c r="F122" s="14"/>
      <c r="G122" s="14"/>
      <c r="H122" s="25"/>
      <c r="K122" s="26" t="str">
        <f t="shared" si="1"/>
        <v/>
      </c>
    </row>
    <row r="123" spans="1:11" x14ac:dyDescent="0.2">
      <c r="A123" s="14"/>
      <c r="B123" s="14"/>
      <c r="C123" s="23" t="s">
        <v>71</v>
      </c>
      <c r="D123" s="14"/>
      <c r="E123" s="14"/>
      <c r="F123" s="14"/>
      <c r="G123" s="14"/>
      <c r="H123" s="36">
        <v>106240</v>
      </c>
      <c r="K123" s="18">
        <f t="shared" si="1"/>
        <v>5.9339457555587453E-3</v>
      </c>
    </row>
    <row r="124" spans="1:11" ht="13.5" x14ac:dyDescent="0.2">
      <c r="A124" s="14"/>
      <c r="B124" s="14"/>
      <c r="C124" s="14"/>
      <c r="D124" s="14"/>
      <c r="E124" s="14"/>
      <c r="F124" s="14"/>
      <c r="G124" s="14"/>
      <c r="H124" s="14"/>
      <c r="K124" s="19"/>
    </row>
    <row r="125" spans="1:11" ht="13.5" x14ac:dyDescent="0.2">
      <c r="A125" s="14"/>
      <c r="B125" s="14"/>
      <c r="C125" s="14"/>
      <c r="D125" s="14"/>
      <c r="E125" s="14"/>
      <c r="F125" s="14"/>
      <c r="G125" s="14"/>
      <c r="H125" s="14"/>
      <c r="K125" s="19"/>
    </row>
    <row r="126" spans="1:11" ht="15" x14ac:dyDescent="0.2">
      <c r="A126" s="14"/>
      <c r="B126" s="14"/>
      <c r="C126" s="41" t="s">
        <v>72</v>
      </c>
      <c r="D126" s="14"/>
      <c r="E126" s="14"/>
      <c r="F126" s="14"/>
      <c r="G126" s="14"/>
      <c r="H126" s="42">
        <f>H131+H128</f>
        <v>5359144</v>
      </c>
      <c r="K126" s="8">
        <f>H126/H7</f>
        <v>0.29933047620696646</v>
      </c>
    </row>
    <row r="127" spans="1:11" ht="15" x14ac:dyDescent="0.2">
      <c r="A127" s="14"/>
      <c r="B127" s="14"/>
      <c r="C127" s="14"/>
      <c r="D127" s="14"/>
      <c r="E127" s="14"/>
      <c r="F127" s="14"/>
      <c r="G127" s="14"/>
      <c r="H127" s="14"/>
      <c r="K127" s="8"/>
    </row>
    <row r="128" spans="1:11" ht="15" x14ac:dyDescent="0.2">
      <c r="A128" s="14"/>
      <c r="B128" s="14"/>
      <c r="C128" s="20" t="s">
        <v>73</v>
      </c>
      <c r="D128" s="14"/>
      <c r="E128" s="14"/>
      <c r="F128" s="14"/>
      <c r="G128" s="14"/>
      <c r="H128" s="21">
        <v>2285274</v>
      </c>
      <c r="K128" s="8">
        <f>H128/H7</f>
        <v>0.12764205527662609</v>
      </c>
    </row>
    <row r="129" spans="1:11" ht="15" x14ac:dyDescent="0.2">
      <c r="A129" s="14"/>
      <c r="B129" s="14"/>
      <c r="C129" s="14"/>
      <c r="D129" s="14"/>
      <c r="E129" s="14"/>
      <c r="F129" s="14"/>
      <c r="G129" s="14"/>
      <c r="H129" s="14"/>
      <c r="K129" s="8"/>
    </row>
    <row r="130" spans="1:11" ht="15" x14ac:dyDescent="0.2">
      <c r="A130" s="14"/>
      <c r="B130" s="14"/>
      <c r="C130" s="14"/>
      <c r="D130" s="14"/>
      <c r="E130" s="14"/>
      <c r="F130" s="14"/>
      <c r="G130" s="14"/>
      <c r="H130" s="14"/>
      <c r="K130" s="8"/>
    </row>
    <row r="131" spans="1:11" ht="16.5" thickBot="1" x14ac:dyDescent="0.3">
      <c r="A131" s="14"/>
      <c r="B131" s="14"/>
      <c r="C131" s="41" t="s">
        <v>74</v>
      </c>
      <c r="D131" s="14"/>
      <c r="E131" s="14"/>
      <c r="F131" s="14"/>
      <c r="G131" s="14"/>
      <c r="H131" s="43">
        <f>H7-H11-H83-H128</f>
        <v>3073870</v>
      </c>
      <c r="K131" s="8">
        <f>H131/H7</f>
        <v>0.17168842093034037</v>
      </c>
    </row>
    <row r="132" spans="1:11" ht="14.25" thickTop="1" x14ac:dyDescent="0.2">
      <c r="A132" s="14"/>
      <c r="B132" s="14"/>
      <c r="C132" s="14"/>
      <c r="D132" s="14"/>
      <c r="E132" s="14"/>
      <c r="F132" s="14"/>
      <c r="G132" s="14"/>
      <c r="H132" s="14"/>
      <c r="K132" s="19"/>
    </row>
    <row r="133" spans="1:11" ht="13.5" x14ac:dyDescent="0.2">
      <c r="A133" s="14"/>
      <c r="B133" s="14"/>
      <c r="C133" s="14"/>
      <c r="D133" s="14"/>
      <c r="E133" s="14"/>
      <c r="F133" s="14"/>
      <c r="G133" s="14"/>
      <c r="H133" s="14"/>
      <c r="K133" s="19"/>
    </row>
    <row r="134" spans="1:11" ht="13.5" x14ac:dyDescent="0.2">
      <c r="A134" s="14"/>
      <c r="B134" s="14"/>
      <c r="C134" s="14"/>
      <c r="D134" s="14"/>
      <c r="E134" s="14"/>
      <c r="F134" s="14"/>
      <c r="G134" s="14"/>
      <c r="H134" s="44"/>
      <c r="K134" s="19"/>
    </row>
    <row r="135" spans="1:11" ht="13.5" x14ac:dyDescent="0.2">
      <c r="A135" s="14"/>
      <c r="B135" s="14"/>
      <c r="C135" s="14"/>
      <c r="D135" s="14"/>
      <c r="E135" s="14"/>
      <c r="F135" s="14"/>
      <c r="G135" s="14"/>
      <c r="H135" s="44"/>
      <c r="K135" s="19"/>
    </row>
    <row r="136" spans="1:11" ht="13.5" x14ac:dyDescent="0.2">
      <c r="A136" s="14"/>
      <c r="B136" s="14"/>
      <c r="C136" s="14"/>
      <c r="D136" s="14"/>
      <c r="E136" s="14"/>
      <c r="F136" s="14"/>
      <c r="G136" s="14"/>
      <c r="H136" s="38"/>
      <c r="K136" s="19"/>
    </row>
    <row r="137" spans="1:11" ht="13.5" x14ac:dyDescent="0.2">
      <c r="A137" s="14"/>
      <c r="B137" s="14"/>
      <c r="C137" s="14"/>
      <c r="D137" s="14"/>
      <c r="E137" s="14"/>
      <c r="F137" s="14"/>
      <c r="G137" s="14"/>
      <c r="H137" s="38"/>
      <c r="K137" s="19"/>
    </row>
    <row r="138" spans="1:11" ht="13.5" x14ac:dyDescent="0.2">
      <c r="A138" s="14"/>
      <c r="B138" s="14"/>
      <c r="C138" s="14"/>
      <c r="D138" s="14"/>
      <c r="E138" s="14"/>
      <c r="F138" s="14"/>
      <c r="G138" s="14"/>
      <c r="H138" s="14"/>
      <c r="K138" s="19"/>
    </row>
    <row r="139" spans="1:11" ht="13.5" x14ac:dyDescent="0.2">
      <c r="A139" s="14"/>
      <c r="B139" s="14"/>
      <c r="C139" s="14"/>
      <c r="D139" s="14"/>
      <c r="E139" s="14"/>
      <c r="F139" s="14"/>
      <c r="G139" s="14"/>
      <c r="H139" s="44"/>
      <c r="K139" s="19"/>
    </row>
    <row r="140" spans="1:11" ht="13.5" x14ac:dyDescent="0.2">
      <c r="A140" s="14"/>
      <c r="B140" s="14"/>
      <c r="C140" s="14"/>
      <c r="D140" s="14"/>
      <c r="E140" s="14"/>
      <c r="F140" s="14"/>
      <c r="G140" s="14"/>
      <c r="H140" s="14"/>
      <c r="K140" s="19"/>
    </row>
    <row r="141" spans="1:11" ht="13.5" x14ac:dyDescent="0.2">
      <c r="A141" s="14"/>
      <c r="B141" s="14"/>
      <c r="C141" s="14"/>
      <c r="D141" s="14"/>
      <c r="E141" s="14"/>
      <c r="F141" s="14"/>
      <c r="G141" s="14"/>
      <c r="H141" s="14"/>
      <c r="K141" s="19"/>
    </row>
    <row r="142" spans="1:11" ht="13.5" x14ac:dyDescent="0.2">
      <c r="A142" s="14"/>
      <c r="B142" s="14"/>
      <c r="C142" s="14"/>
      <c r="D142" s="14"/>
      <c r="E142" s="14"/>
      <c r="F142" s="14"/>
      <c r="G142" s="14"/>
      <c r="H142" s="14"/>
      <c r="K142" s="19"/>
    </row>
    <row r="143" spans="1:11" ht="13.5" x14ac:dyDescent="0.2">
      <c r="A143" s="14"/>
      <c r="B143" s="14"/>
      <c r="C143" s="14"/>
      <c r="D143" s="14"/>
      <c r="E143" s="14"/>
      <c r="F143" s="14"/>
      <c r="G143" s="14"/>
      <c r="H143" s="14"/>
      <c r="K143" s="19"/>
    </row>
    <row r="144" spans="1:11" ht="13.5" x14ac:dyDescent="0.2">
      <c r="A144" s="14"/>
      <c r="B144" s="14"/>
      <c r="C144" s="14"/>
      <c r="D144" s="14"/>
      <c r="E144" s="14"/>
      <c r="F144" s="14"/>
      <c r="G144" s="14"/>
      <c r="H144" s="14"/>
      <c r="K144" s="19"/>
    </row>
    <row r="145" spans="1:11" ht="13.5" x14ac:dyDescent="0.2">
      <c r="A145" s="14"/>
      <c r="B145" s="14"/>
      <c r="C145" s="14"/>
      <c r="D145" s="14"/>
      <c r="E145" s="14"/>
      <c r="F145" s="14"/>
      <c r="G145" s="14"/>
      <c r="H145" s="14"/>
      <c r="K145" s="19"/>
    </row>
    <row r="146" spans="1:11" ht="13.5" x14ac:dyDescent="0.2">
      <c r="A146" s="14"/>
      <c r="B146" s="14"/>
      <c r="C146" s="14"/>
      <c r="D146" s="14"/>
      <c r="E146" s="14"/>
      <c r="F146" s="14"/>
      <c r="G146" s="14"/>
      <c r="H146" s="14"/>
      <c r="K146" s="19"/>
    </row>
    <row r="147" spans="1:11" ht="13.5" x14ac:dyDescent="0.2">
      <c r="A147" s="14"/>
      <c r="B147" s="14"/>
      <c r="C147" s="14"/>
      <c r="D147" s="14"/>
      <c r="E147" s="14"/>
      <c r="F147" s="14"/>
      <c r="G147" s="14"/>
      <c r="H147" s="14"/>
      <c r="K147" s="19"/>
    </row>
    <row r="148" spans="1:11" ht="13.5" x14ac:dyDescent="0.2">
      <c r="A148" s="14"/>
      <c r="B148" s="14"/>
      <c r="C148" s="14"/>
      <c r="D148" s="14"/>
      <c r="E148" s="14"/>
      <c r="F148" s="14"/>
      <c r="G148" s="14"/>
      <c r="H148" s="14"/>
      <c r="K148" s="19"/>
    </row>
    <row r="149" spans="1:11" ht="13.5" x14ac:dyDescent="0.2">
      <c r="A149" s="14"/>
      <c r="B149" s="14"/>
      <c r="C149" s="14"/>
      <c r="D149" s="14"/>
      <c r="E149" s="14"/>
      <c r="F149" s="14"/>
      <c r="G149" s="14"/>
      <c r="H149" s="14"/>
      <c r="K149" s="19"/>
    </row>
    <row r="150" spans="1:11" ht="13.5" x14ac:dyDescent="0.2">
      <c r="A150" s="14"/>
      <c r="B150" s="14"/>
      <c r="C150" s="14"/>
      <c r="D150" s="14"/>
      <c r="E150" s="14"/>
      <c r="F150" s="14"/>
      <c r="G150" s="14"/>
      <c r="H150" s="14"/>
      <c r="K150" s="19"/>
    </row>
    <row r="151" spans="1:11" ht="13.5" x14ac:dyDescent="0.2">
      <c r="A151" s="14"/>
      <c r="B151" s="14"/>
      <c r="C151" s="14"/>
      <c r="D151" s="14"/>
      <c r="E151" s="14"/>
      <c r="F151" s="14"/>
      <c r="G151" s="14"/>
      <c r="H151" s="14"/>
      <c r="K151" s="19"/>
    </row>
    <row r="152" spans="1:11" ht="13.5" x14ac:dyDescent="0.2">
      <c r="A152" s="14"/>
      <c r="B152" s="14"/>
      <c r="C152" s="14"/>
      <c r="D152" s="14"/>
      <c r="E152" s="14"/>
      <c r="F152" s="14"/>
      <c r="G152" s="14"/>
      <c r="H152" s="14"/>
      <c r="K152" s="19"/>
    </row>
    <row r="153" spans="1:11" ht="13.5" x14ac:dyDescent="0.2">
      <c r="A153" s="14"/>
      <c r="B153" s="14"/>
      <c r="C153" s="14"/>
      <c r="D153" s="14"/>
      <c r="E153" s="14"/>
      <c r="F153" s="14"/>
      <c r="G153" s="14"/>
      <c r="H153" s="14"/>
      <c r="K153" s="19"/>
    </row>
    <row r="154" spans="1:11" ht="13.5" x14ac:dyDescent="0.2">
      <c r="A154" s="14"/>
      <c r="B154" s="14"/>
      <c r="C154" s="14"/>
      <c r="D154" s="14"/>
      <c r="E154" s="14"/>
      <c r="F154" s="14"/>
      <c r="G154" s="14"/>
      <c r="H154" s="14"/>
      <c r="K154" s="19"/>
    </row>
    <row r="155" spans="1:11" ht="13.5" x14ac:dyDescent="0.2">
      <c r="A155" s="14"/>
      <c r="B155" s="14"/>
      <c r="C155" s="14"/>
      <c r="D155" s="14"/>
      <c r="E155" s="14"/>
      <c r="F155" s="14"/>
      <c r="G155" s="14"/>
      <c r="H155" s="14"/>
      <c r="K155" s="19"/>
    </row>
    <row r="156" spans="1:11" ht="13.5" x14ac:dyDescent="0.2">
      <c r="A156" s="14"/>
      <c r="B156" s="14"/>
      <c r="C156" s="14"/>
      <c r="D156" s="14"/>
      <c r="E156" s="14"/>
      <c r="F156" s="14"/>
      <c r="G156" s="14"/>
      <c r="H156" s="14"/>
      <c r="K156" s="19"/>
    </row>
    <row r="157" spans="1:11" ht="13.5" x14ac:dyDescent="0.2">
      <c r="A157" s="14"/>
      <c r="B157" s="14"/>
      <c r="C157" s="14"/>
      <c r="D157" s="14"/>
      <c r="E157" s="14"/>
      <c r="F157" s="14"/>
      <c r="G157" s="14"/>
      <c r="H157" s="14"/>
      <c r="K157" s="19"/>
    </row>
    <row r="158" spans="1:11" ht="13.5" x14ac:dyDescent="0.2">
      <c r="A158" s="14"/>
      <c r="B158" s="14"/>
      <c r="C158" s="14"/>
      <c r="D158" s="14"/>
      <c r="E158" s="14"/>
      <c r="F158" s="14"/>
      <c r="G158" s="14"/>
      <c r="H158" s="14"/>
      <c r="K158" s="19"/>
    </row>
    <row r="159" spans="1:11" x14ac:dyDescent="0.2">
      <c r="A159" s="14"/>
      <c r="B159" s="14"/>
      <c r="C159" s="14"/>
      <c r="D159" s="14"/>
      <c r="E159" s="14"/>
      <c r="F159" s="14"/>
      <c r="G159" s="14"/>
      <c r="H159" s="14"/>
    </row>
    <row r="160" spans="1:11" x14ac:dyDescent="0.2">
      <c r="A160" s="14"/>
      <c r="B160" s="14"/>
      <c r="C160" s="14"/>
      <c r="D160" s="14"/>
      <c r="E160" s="14"/>
      <c r="F160" s="14"/>
      <c r="G160" s="14"/>
      <c r="H160" s="14"/>
    </row>
    <row r="161" spans="1:8" x14ac:dyDescent="0.2">
      <c r="A161" s="14"/>
      <c r="B161" s="14"/>
      <c r="C161" s="14"/>
      <c r="D161" s="14"/>
      <c r="E161" s="14"/>
      <c r="F161" s="14"/>
      <c r="G161" s="14"/>
      <c r="H161" s="14"/>
    </row>
    <row r="162" spans="1:8" x14ac:dyDescent="0.2">
      <c r="A162" s="14"/>
      <c r="B162" s="14"/>
      <c r="C162" s="14"/>
      <c r="D162" s="14"/>
      <c r="E162" s="14"/>
      <c r="F162" s="14"/>
      <c r="G162" s="14"/>
      <c r="H162" s="14"/>
    </row>
    <row r="163" spans="1:8" x14ac:dyDescent="0.2">
      <c r="A163" s="14"/>
      <c r="B163" s="14"/>
      <c r="C163" s="14"/>
      <c r="D163" s="14"/>
      <c r="E163" s="14"/>
      <c r="F163" s="14"/>
      <c r="G163" s="14"/>
      <c r="H163" s="14"/>
    </row>
    <row r="164" spans="1:8" x14ac:dyDescent="0.2">
      <c r="A164" s="14"/>
      <c r="B164" s="14"/>
      <c r="C164" s="14"/>
      <c r="D164" s="14"/>
      <c r="E164" s="14"/>
      <c r="F164" s="14"/>
      <c r="G164" s="14"/>
      <c r="H164" s="14"/>
    </row>
    <row r="165" spans="1:8" x14ac:dyDescent="0.2">
      <c r="A165" s="14"/>
      <c r="B165" s="14"/>
      <c r="C165" s="14"/>
      <c r="D165" s="14"/>
      <c r="E165" s="14"/>
      <c r="F165" s="14"/>
      <c r="G165" s="14"/>
      <c r="H165" s="14"/>
    </row>
    <row r="166" spans="1:8" x14ac:dyDescent="0.2">
      <c r="A166" s="14"/>
      <c r="B166" s="14"/>
      <c r="C166" s="14"/>
      <c r="D166" s="14"/>
      <c r="E166" s="14"/>
      <c r="F166" s="14"/>
      <c r="G166" s="14"/>
      <c r="H166" s="14"/>
    </row>
    <row r="167" spans="1:8" x14ac:dyDescent="0.2">
      <c r="A167" s="14"/>
      <c r="B167" s="14"/>
      <c r="C167" s="14"/>
      <c r="D167" s="14"/>
      <c r="E167" s="14"/>
      <c r="F167" s="14"/>
      <c r="G167" s="14"/>
      <c r="H167" s="14"/>
    </row>
    <row r="168" spans="1:8" x14ac:dyDescent="0.2">
      <c r="A168" s="14"/>
      <c r="B168" s="14"/>
      <c r="C168" s="14"/>
      <c r="D168" s="14"/>
      <c r="E168" s="14"/>
      <c r="F168" s="14"/>
      <c r="G168" s="14"/>
      <c r="H168" s="14"/>
    </row>
    <row r="169" spans="1:8" x14ac:dyDescent="0.2">
      <c r="A169" s="14"/>
      <c r="B169" s="14"/>
      <c r="C169" s="14"/>
      <c r="D169" s="14"/>
      <c r="E169" s="14"/>
      <c r="F169" s="14"/>
      <c r="G169" s="14"/>
      <c r="H169" s="14"/>
    </row>
    <row r="170" spans="1:8" x14ac:dyDescent="0.2">
      <c r="A170" s="14"/>
      <c r="B170" s="14"/>
      <c r="C170" s="14"/>
      <c r="D170" s="14"/>
      <c r="E170" s="14"/>
      <c r="F170" s="14"/>
      <c r="G170" s="14"/>
      <c r="H170" s="14"/>
    </row>
    <row r="171" spans="1:8" x14ac:dyDescent="0.2">
      <c r="A171" s="14"/>
      <c r="B171" s="14"/>
      <c r="C171" s="14"/>
      <c r="D171" s="14"/>
      <c r="E171" s="14"/>
      <c r="F171" s="14"/>
      <c r="G171" s="14"/>
      <c r="H171" s="14"/>
    </row>
    <row r="172" spans="1:8" x14ac:dyDescent="0.2">
      <c r="A172" s="14"/>
      <c r="B172" s="14"/>
      <c r="C172" s="14"/>
      <c r="D172" s="14"/>
      <c r="E172" s="14"/>
      <c r="F172" s="14"/>
      <c r="G172" s="14"/>
      <c r="H172" s="14"/>
    </row>
    <row r="173" spans="1:8" x14ac:dyDescent="0.2">
      <c r="A173" s="14"/>
      <c r="B173" s="14"/>
      <c r="C173" s="14"/>
      <c r="D173" s="14"/>
      <c r="E173" s="14"/>
      <c r="F173" s="14"/>
      <c r="G173" s="14"/>
      <c r="H173" s="14"/>
    </row>
    <row r="174" spans="1:8" x14ac:dyDescent="0.2">
      <c r="A174" s="14"/>
      <c r="B174" s="14"/>
      <c r="C174" s="14"/>
      <c r="D174" s="14"/>
      <c r="E174" s="14"/>
      <c r="F174" s="14"/>
      <c r="G174" s="14"/>
      <c r="H174" s="14"/>
    </row>
    <row r="175" spans="1:8" x14ac:dyDescent="0.2">
      <c r="A175" s="14"/>
      <c r="B175" s="14"/>
      <c r="C175" s="14"/>
      <c r="D175" s="14"/>
      <c r="E175" s="14"/>
      <c r="F175" s="14"/>
      <c r="G175" s="14"/>
      <c r="H175" s="14"/>
    </row>
    <row r="176" spans="1:8" x14ac:dyDescent="0.2">
      <c r="A176" s="14"/>
      <c r="B176" s="14"/>
      <c r="C176" s="14"/>
      <c r="D176" s="14"/>
      <c r="E176" s="14"/>
      <c r="F176" s="14"/>
      <c r="G176" s="14"/>
      <c r="H176" s="14"/>
    </row>
    <row r="177" spans="1:8" x14ac:dyDescent="0.2">
      <c r="A177" s="14"/>
      <c r="B177" s="14"/>
      <c r="C177" s="14"/>
      <c r="D177" s="14"/>
      <c r="E177" s="14"/>
      <c r="F177" s="14"/>
      <c r="G177" s="14"/>
      <c r="H177" s="14"/>
    </row>
    <row r="178" spans="1:8" x14ac:dyDescent="0.2">
      <c r="A178" s="14"/>
      <c r="B178" s="14"/>
      <c r="C178" s="14"/>
      <c r="D178" s="14"/>
      <c r="E178" s="14"/>
      <c r="F178" s="14"/>
      <c r="G178" s="14"/>
      <c r="H178" s="14"/>
    </row>
    <row r="179" spans="1:8" x14ac:dyDescent="0.2">
      <c r="A179" s="14"/>
      <c r="B179" s="14"/>
      <c r="C179" s="14"/>
      <c r="D179" s="14"/>
      <c r="E179" s="14"/>
      <c r="F179" s="14"/>
      <c r="G179" s="14"/>
      <c r="H179" s="14"/>
    </row>
    <row r="180" spans="1:8" x14ac:dyDescent="0.2">
      <c r="A180" s="14"/>
      <c r="B180" s="14"/>
      <c r="C180" s="14"/>
      <c r="D180" s="14"/>
      <c r="E180" s="14"/>
      <c r="F180" s="14"/>
      <c r="G180" s="14"/>
      <c r="H180" s="14"/>
    </row>
    <row r="181" spans="1:8" x14ac:dyDescent="0.2">
      <c r="A181" s="14"/>
      <c r="B181" s="14"/>
      <c r="C181" s="14"/>
      <c r="D181" s="14"/>
      <c r="E181" s="14"/>
      <c r="F181" s="14"/>
      <c r="G181" s="14"/>
      <c r="H181" s="14"/>
    </row>
    <row r="182" spans="1:8" x14ac:dyDescent="0.2">
      <c r="A182" s="14"/>
      <c r="B182" s="14"/>
      <c r="C182" s="14"/>
      <c r="D182" s="14"/>
      <c r="E182" s="14"/>
      <c r="F182" s="14"/>
      <c r="G182" s="14"/>
      <c r="H182" s="14"/>
    </row>
    <row r="183" spans="1:8" x14ac:dyDescent="0.2">
      <c r="A183" s="14"/>
      <c r="B183" s="14"/>
      <c r="C183" s="14"/>
      <c r="D183" s="14"/>
      <c r="E183" s="14"/>
      <c r="F183" s="14"/>
      <c r="G183" s="14"/>
      <c r="H183" s="14"/>
    </row>
    <row r="184" spans="1:8" x14ac:dyDescent="0.2">
      <c r="A184" s="14"/>
      <c r="B184" s="14"/>
      <c r="C184" s="14"/>
      <c r="D184" s="14"/>
      <c r="E184" s="14"/>
      <c r="F184" s="14"/>
      <c r="G184" s="14"/>
      <c r="H184" s="14"/>
    </row>
    <row r="185" spans="1:8" x14ac:dyDescent="0.2">
      <c r="A185" s="14"/>
      <c r="B185" s="14"/>
      <c r="C185" s="14"/>
      <c r="D185" s="14"/>
      <c r="E185" s="14"/>
      <c r="F185" s="14"/>
      <c r="G185" s="14"/>
      <c r="H185" s="14"/>
    </row>
    <row r="186" spans="1:8" x14ac:dyDescent="0.2">
      <c r="A186" s="14"/>
      <c r="B186" s="14"/>
      <c r="C186" s="14"/>
      <c r="D186" s="14"/>
      <c r="E186" s="14"/>
      <c r="F186" s="14"/>
      <c r="G186" s="14"/>
      <c r="H186" s="14"/>
    </row>
  </sheetData>
  <mergeCells count="3">
    <mergeCell ref="A1:J1"/>
    <mergeCell ref="A3:J3"/>
    <mergeCell ref="A4:J4"/>
  </mergeCells>
  <hyperlinks>
    <hyperlink ref="C21" r:id="rId1"/>
    <hyperlink ref="C21:E21" location="Entertainment!A1" display="        17.04 -- Entertainment"/>
    <hyperlink ref="C27:E27" location="GeneralSupplies!A1" display="        17.07 -- General Supplies Expense"/>
    <hyperlink ref="C35:E35" location="Printing!A1" display="            17.11.02 -- Printing"/>
    <hyperlink ref="C53:E53" location="'Repair&amp;Maintenance'!A1" display="        17.13 -- Repair &amp; Maintenance"/>
    <hyperlink ref="C70:E70" location="Fuel!A1" display="        17.19 -- Fuel"/>
    <hyperlink ref="C115:E115" location="StaffWelfare!A1" display="            18.16.14 -- Staff Welfare"/>
  </hyperlinks>
  <pageMargins left="1.1100000000000001" right="0.25" top="0.15" bottom="0.51" header="0" footer="0.25"/>
  <pageSetup orientation="portrait" errors="NA" verticalDpi="0" r:id="rId2"/>
  <headerFooter alignWithMargins="0"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zoomScale="80" zoomScaleNormal="80" workbookViewId="0">
      <pane xSplit="6" ySplit="6" topLeftCell="G10" activePane="bottomRight" state="frozen"/>
      <selection pane="topRight" activeCell="G1" sqref="G1"/>
      <selection pane="bottomLeft" activeCell="A7" sqref="A7"/>
      <selection pane="bottomRight" activeCell="W5" sqref="W5:Y5"/>
    </sheetView>
  </sheetViews>
  <sheetFormatPr defaultRowHeight="15" x14ac:dyDescent="0.25"/>
  <cols>
    <col min="1" max="2" width="2.85546875" customWidth="1"/>
    <col min="6" max="6" width="4.140625" style="84" bestFit="1" customWidth="1"/>
    <col min="7" max="7" width="12.85546875" style="92" customWidth="1"/>
    <col min="8" max="8" width="1.42578125" customWidth="1"/>
    <col min="9" max="9" width="8.5703125" style="67" bestFit="1" customWidth="1"/>
    <col min="10" max="10" width="2.85546875" customWidth="1"/>
    <col min="11" max="11" width="12.85546875" style="92" customWidth="1"/>
    <col min="12" max="12" width="1.42578125" customWidth="1"/>
    <col min="13" max="13" width="7.7109375" customWidth="1"/>
    <col min="14" max="14" width="2.85546875" customWidth="1"/>
    <col min="15" max="15" width="12.85546875" style="92" customWidth="1"/>
    <col min="16" max="16" width="1.28515625" customWidth="1"/>
    <col min="17" max="17" width="7.7109375" customWidth="1"/>
    <col min="18" max="18" width="2.85546875" customWidth="1"/>
    <col min="19" max="19" width="12.85546875" customWidth="1"/>
    <col min="20" max="20" width="1.42578125" customWidth="1"/>
    <col min="21" max="21" width="7.7109375" customWidth="1"/>
    <col min="22" max="22" width="2.85546875" customWidth="1"/>
    <col min="23" max="23" width="12.85546875" customWidth="1"/>
    <col min="24" max="24" width="1.42578125" customWidth="1"/>
    <col min="25" max="25" width="7.7109375" customWidth="1"/>
    <col min="26" max="26" width="2.85546875" customWidth="1"/>
    <col min="27" max="27" width="12.85546875" customWidth="1"/>
    <col min="28" max="28" width="1.42578125" customWidth="1"/>
    <col min="29" max="29" width="7.7109375" customWidth="1"/>
    <col min="30" max="30" width="2.85546875" customWidth="1"/>
    <col min="31" max="31" width="14" bestFit="1" customWidth="1"/>
    <col min="32" max="32" width="1.42578125" customWidth="1"/>
    <col min="33" max="33" width="7.85546875" customWidth="1"/>
  </cols>
  <sheetData>
    <row r="1" spans="1:33" ht="18" x14ac:dyDescent="0.25">
      <c r="A1" s="61" t="s">
        <v>146</v>
      </c>
    </row>
    <row r="2" spans="1:33" ht="16.5" x14ac:dyDescent="0.25">
      <c r="A2" s="62" t="s">
        <v>1</v>
      </c>
      <c r="N2" s="86"/>
    </row>
    <row r="3" spans="1:33" ht="16.5" x14ac:dyDescent="0.25">
      <c r="A3" s="62" t="s">
        <v>147</v>
      </c>
      <c r="AG3" s="120">
        <f>AE8</f>
        <v>108948419</v>
      </c>
    </row>
    <row r="4" spans="1:33" x14ac:dyDescent="0.25">
      <c r="M4" s="88">
        <f>K8</f>
        <v>18647620</v>
      </c>
      <c r="Q4" s="88">
        <f>O8</f>
        <v>18750270</v>
      </c>
      <c r="U4" s="120">
        <f>S8</f>
        <v>19549216</v>
      </c>
      <c r="Y4" s="120">
        <f>W8</f>
        <v>19439466</v>
      </c>
      <c r="AC4" s="120">
        <f>AA8</f>
        <v>13819777</v>
      </c>
      <c r="AE4" s="214" t="s">
        <v>154</v>
      </c>
      <c r="AF4" s="211"/>
      <c r="AG4" s="211"/>
    </row>
    <row r="5" spans="1:33" x14ac:dyDescent="0.25">
      <c r="G5" s="211" t="s">
        <v>148</v>
      </c>
      <c r="H5" s="211"/>
      <c r="I5" s="211"/>
      <c r="K5" s="211" t="s">
        <v>149</v>
      </c>
      <c r="L5" s="211"/>
      <c r="M5" s="211"/>
      <c r="O5" s="211" t="s">
        <v>150</v>
      </c>
      <c r="P5" s="211"/>
      <c r="Q5" s="211"/>
      <c r="S5" s="211" t="s">
        <v>151</v>
      </c>
      <c r="T5" s="211"/>
      <c r="U5" s="211"/>
      <c r="W5" s="211" t="s">
        <v>152</v>
      </c>
      <c r="X5" s="211"/>
      <c r="Y5" s="211"/>
      <c r="AA5" s="211" t="s">
        <v>153</v>
      </c>
      <c r="AB5" s="211"/>
      <c r="AC5" s="211"/>
      <c r="AE5" s="214" t="s">
        <v>144</v>
      </c>
      <c r="AF5" s="211"/>
      <c r="AG5" s="211"/>
    </row>
    <row r="6" spans="1:33" x14ac:dyDescent="0.25">
      <c r="M6" s="67"/>
      <c r="Q6" s="67"/>
      <c r="S6" s="92"/>
      <c r="U6" s="67"/>
      <c r="W6" s="92"/>
      <c r="Y6" s="67"/>
      <c r="AA6" s="92"/>
      <c r="AC6" s="67"/>
      <c r="AE6" s="92"/>
      <c r="AG6" s="67"/>
    </row>
    <row r="7" spans="1:33" x14ac:dyDescent="0.25">
      <c r="B7" s="50" t="s">
        <v>3</v>
      </c>
      <c r="C7" s="50"/>
      <c r="D7" s="50"/>
      <c r="E7" s="50"/>
      <c r="F7" s="85"/>
      <c r="G7" s="93">
        <f>SUM(G8:G12)</f>
        <v>18792170</v>
      </c>
      <c r="I7" s="74">
        <f t="shared" ref="I7:I16" si="0">G7/$G$8</f>
        <v>1.0026731305560166</v>
      </c>
      <c r="K7" s="93">
        <f>SUM(K8:K12)</f>
        <v>18687330</v>
      </c>
      <c r="M7" s="89">
        <f t="shared" ref="M7:M40" si="1">K7/$M$4</f>
        <v>1.0021294942732639</v>
      </c>
      <c r="O7" s="93">
        <f>SUM(O8:O12)</f>
        <v>18891878</v>
      </c>
      <c r="Q7" s="89">
        <f t="shared" ref="Q7:Q40" si="2">O7/$Q$4</f>
        <v>1.0075523179132888</v>
      </c>
      <c r="S7" s="93">
        <f>SUM(S8:S12)</f>
        <v>19697866</v>
      </c>
      <c r="U7" s="89">
        <f t="shared" ref="U7:U40" si="3">S7/$U$4</f>
        <v>1.0076038854959708</v>
      </c>
      <c r="W7" s="93">
        <f>SUM(W8:W12)</f>
        <v>23013418</v>
      </c>
      <c r="Y7" s="89">
        <f t="shared" ref="Y7:Y16" si="4">W7/$Y$4</f>
        <v>1.1838503176990562</v>
      </c>
      <c r="AA7" s="93">
        <f>SUM(AA8:AA12)</f>
        <v>13875834</v>
      </c>
      <c r="AC7" s="89">
        <f t="shared" ref="AC7:AC14" si="5">AA7/$AC$4</f>
        <v>1.0040562883178217</v>
      </c>
      <c r="AE7" s="93">
        <f>SUM(AE8:AE12)</f>
        <v>112958496</v>
      </c>
      <c r="AG7" s="89">
        <f>AE7/$AG$3</f>
        <v>1.0368071151174758</v>
      </c>
    </row>
    <row r="8" spans="1:33" x14ac:dyDescent="0.25">
      <c r="C8" s="60" t="s">
        <v>155</v>
      </c>
      <c r="D8" s="60"/>
      <c r="E8" s="60"/>
      <c r="G8" s="98">
        <f>17903770+838300</f>
        <v>18742070</v>
      </c>
      <c r="I8" s="68">
        <f t="shared" si="0"/>
        <v>1</v>
      </c>
      <c r="K8" s="105">
        <f>17809320+838300</f>
        <v>18647620</v>
      </c>
      <c r="M8" s="68">
        <f t="shared" si="1"/>
        <v>1</v>
      </c>
      <c r="O8" s="98">
        <f>17809320+940950</f>
        <v>18750270</v>
      </c>
      <c r="Q8" s="68">
        <f t="shared" si="2"/>
        <v>1</v>
      </c>
      <c r="S8" s="105">
        <f>18483516+108250+940950+16500</f>
        <v>19549216</v>
      </c>
      <c r="U8" s="68">
        <f t="shared" si="3"/>
        <v>1</v>
      </c>
      <c r="W8" s="105">
        <f>18483516+940950+15000</f>
        <v>19439466</v>
      </c>
      <c r="Y8" s="68">
        <f t="shared" si="4"/>
        <v>1</v>
      </c>
      <c r="AA8" s="105">
        <f>12910777+909000</f>
        <v>13819777</v>
      </c>
      <c r="AC8" s="68">
        <f t="shared" si="5"/>
        <v>1</v>
      </c>
      <c r="AE8" s="105">
        <f t="shared" ref="AE8:AE12" si="6">AA8+W8+S8+O8+K8+G8</f>
        <v>108948419</v>
      </c>
      <c r="AG8" s="68">
        <f t="shared" ref="AG8:AG40" si="7">AE8/$AG$3</f>
        <v>1</v>
      </c>
    </row>
    <row r="9" spans="1:33" x14ac:dyDescent="0.25">
      <c r="C9" t="s">
        <v>156</v>
      </c>
      <c r="D9" s="60"/>
      <c r="E9" s="60"/>
      <c r="G9" s="106">
        <v>50100</v>
      </c>
      <c r="I9" s="70">
        <f t="shared" si="0"/>
        <v>2.6731305560164912E-3</v>
      </c>
      <c r="K9" s="99">
        <f>11100+27450</f>
        <v>38550</v>
      </c>
      <c r="M9" s="70">
        <f t="shared" si="1"/>
        <v>2.0672879434480112E-3</v>
      </c>
      <c r="O9" s="106">
        <v>27450</v>
      </c>
      <c r="Q9" s="70">
        <f t="shared" si="2"/>
        <v>1.4639789187035706E-3</v>
      </c>
      <c r="S9" s="106">
        <f>34800+11850</f>
        <v>46650</v>
      </c>
      <c r="U9" s="70">
        <f t="shared" si="3"/>
        <v>2.3862849538313965E-3</v>
      </c>
      <c r="W9" s="106">
        <v>11850</v>
      </c>
      <c r="Y9" s="70">
        <f t="shared" si="4"/>
        <v>6.095846459979919E-4</v>
      </c>
      <c r="AA9" s="106">
        <v>1800</v>
      </c>
      <c r="AC9" s="70">
        <f t="shared" si="5"/>
        <v>1.3024812194871162E-4</v>
      </c>
      <c r="AE9" s="106">
        <f t="shared" si="6"/>
        <v>176400</v>
      </c>
      <c r="AG9" s="70">
        <f t="shared" si="7"/>
        <v>1.6191148216662052E-3</v>
      </c>
    </row>
    <row r="10" spans="1:33" x14ac:dyDescent="0.25">
      <c r="C10" t="s">
        <v>157</v>
      </c>
      <c r="D10" s="60"/>
      <c r="E10" s="60"/>
      <c r="G10" s="106">
        <v>0</v>
      </c>
      <c r="I10" s="70">
        <f t="shared" si="0"/>
        <v>0</v>
      </c>
      <c r="K10" s="106">
        <v>0</v>
      </c>
      <c r="M10" s="70">
        <f t="shared" si="1"/>
        <v>0</v>
      </c>
      <c r="O10" s="106">
        <v>110000</v>
      </c>
      <c r="Q10" s="70">
        <f t="shared" si="2"/>
        <v>5.8665821878831608E-3</v>
      </c>
      <c r="S10" s="106">
        <v>100000</v>
      </c>
      <c r="U10" s="70">
        <f t="shared" si="3"/>
        <v>5.1152946491562629E-3</v>
      </c>
      <c r="W10" s="106">
        <v>405000</v>
      </c>
      <c r="Y10" s="70">
        <f t="shared" si="4"/>
        <v>2.083390562271618E-2</v>
      </c>
      <c r="AA10" s="106">
        <v>45000</v>
      </c>
      <c r="AC10" s="70">
        <f t="shared" si="5"/>
        <v>3.2562030487177903E-3</v>
      </c>
      <c r="AE10" s="106">
        <f t="shared" si="6"/>
        <v>660000</v>
      </c>
      <c r="AG10" s="70">
        <f t="shared" si="7"/>
        <v>6.0579125980708354E-3</v>
      </c>
    </row>
    <row r="11" spans="1:33" x14ac:dyDescent="0.25">
      <c r="C11" t="s">
        <v>158</v>
      </c>
      <c r="D11" s="60"/>
      <c r="E11" s="60"/>
      <c r="G11" s="106">
        <v>0</v>
      </c>
      <c r="I11" s="70">
        <f t="shared" si="0"/>
        <v>0</v>
      </c>
      <c r="K11" s="106">
        <v>0</v>
      </c>
      <c r="M11" s="70">
        <f t="shared" si="1"/>
        <v>0</v>
      </c>
      <c r="O11" s="106">
        <v>0</v>
      </c>
      <c r="Q11" s="70">
        <f t="shared" si="2"/>
        <v>0</v>
      </c>
      <c r="S11" s="106">
        <v>0</v>
      </c>
      <c r="U11" s="70">
        <f t="shared" si="3"/>
        <v>0</v>
      </c>
      <c r="W11" s="106">
        <v>3093000</v>
      </c>
      <c r="Y11" s="70">
        <f t="shared" si="4"/>
        <v>0.15910930886681765</v>
      </c>
      <c r="AA11" s="106">
        <v>0</v>
      </c>
      <c r="AC11" s="70">
        <f t="shared" si="5"/>
        <v>0</v>
      </c>
      <c r="AE11" s="106">
        <f t="shared" si="6"/>
        <v>3093000</v>
      </c>
      <c r="AG11" s="70">
        <f t="shared" si="7"/>
        <v>2.8389581311868327E-2</v>
      </c>
    </row>
    <row r="12" spans="1:33" x14ac:dyDescent="0.25">
      <c r="C12" t="s">
        <v>145</v>
      </c>
      <c r="D12" s="60"/>
      <c r="E12" s="60"/>
      <c r="G12" s="107">
        <v>0</v>
      </c>
      <c r="I12" s="69">
        <f t="shared" si="0"/>
        <v>0</v>
      </c>
      <c r="K12" s="107">
        <v>1160</v>
      </c>
      <c r="M12" s="69">
        <f t="shared" si="1"/>
        <v>6.2206329815815643E-5</v>
      </c>
      <c r="O12" s="107">
        <v>4158</v>
      </c>
      <c r="Q12" s="69">
        <f t="shared" si="2"/>
        <v>2.2175680670198349E-4</v>
      </c>
      <c r="S12" s="107">
        <v>2000</v>
      </c>
      <c r="U12" s="69">
        <f t="shared" si="3"/>
        <v>1.0230589298312526E-4</v>
      </c>
      <c r="W12" s="107">
        <f>79102-15000</f>
        <v>64102</v>
      </c>
      <c r="Y12" s="69">
        <f t="shared" si="4"/>
        <v>3.2975185635243272E-3</v>
      </c>
      <c r="AA12" s="107">
        <v>9257</v>
      </c>
      <c r="AC12" s="69">
        <f t="shared" si="5"/>
        <v>6.6983714715512419E-4</v>
      </c>
      <c r="AE12" s="107">
        <f t="shared" si="6"/>
        <v>80677</v>
      </c>
      <c r="AG12" s="69">
        <f t="shared" si="7"/>
        <v>7.4050638587054671E-4</v>
      </c>
    </row>
    <row r="13" spans="1:33" s="118" customFormat="1" x14ac:dyDescent="0.25">
      <c r="F13" s="119"/>
      <c r="G13" s="120"/>
      <c r="I13" s="121">
        <f t="shared" si="0"/>
        <v>0</v>
      </c>
      <c r="K13" s="120"/>
      <c r="M13" s="121">
        <f t="shared" si="1"/>
        <v>0</v>
      </c>
      <c r="O13" s="120"/>
      <c r="Q13" s="121">
        <f t="shared" si="2"/>
        <v>0</v>
      </c>
      <c r="S13" s="120"/>
      <c r="U13" s="121">
        <f t="shared" si="3"/>
        <v>0</v>
      </c>
      <c r="W13" s="120"/>
      <c r="Y13" s="121">
        <f t="shared" si="4"/>
        <v>0</v>
      </c>
      <c r="AA13" s="120"/>
      <c r="AC13" s="121">
        <f t="shared" si="5"/>
        <v>0</v>
      </c>
      <c r="AE13" s="120"/>
      <c r="AG13" s="121">
        <f t="shared" si="7"/>
        <v>0</v>
      </c>
    </row>
    <row r="14" spans="1:33" x14ac:dyDescent="0.25">
      <c r="B14" s="50" t="s">
        <v>124</v>
      </c>
      <c r="C14" s="50"/>
      <c r="D14" s="50"/>
      <c r="E14" s="50"/>
      <c r="F14" s="85"/>
      <c r="G14" s="93">
        <f>SUM(G15:G34)</f>
        <v>11770583</v>
      </c>
      <c r="I14" s="74">
        <f t="shared" si="0"/>
        <v>0.62803004150555408</v>
      </c>
      <c r="K14" s="93">
        <f>SUM(K15:K34)</f>
        <v>11586094</v>
      </c>
      <c r="M14" s="74">
        <f t="shared" si="1"/>
        <v>0.6213175729664161</v>
      </c>
      <c r="O14" s="93">
        <f>SUM(O15:O34)</f>
        <v>12238498</v>
      </c>
      <c r="Q14" s="74">
        <f t="shared" si="2"/>
        <v>0.65271049430221539</v>
      </c>
      <c r="S14" s="93">
        <f>SUM(S15:S34)</f>
        <v>11594880</v>
      </c>
      <c r="U14" s="74">
        <f t="shared" si="3"/>
        <v>0.59311227621608964</v>
      </c>
      <c r="W14" s="93">
        <f>SUM(W15:W34)</f>
        <v>12952944</v>
      </c>
      <c r="Y14" s="74">
        <f t="shared" si="4"/>
        <v>0.66632200699340194</v>
      </c>
      <c r="AA14" s="93">
        <f>SUM(AA15:AA34)</f>
        <v>10482216</v>
      </c>
      <c r="AC14" s="74">
        <f t="shared" si="5"/>
        <v>0.75849385992263119</v>
      </c>
      <c r="AE14" s="93">
        <f>SUM(AE15:AE34)</f>
        <v>70625215</v>
      </c>
      <c r="AG14" s="74">
        <f t="shared" si="7"/>
        <v>0.64824451468175959</v>
      </c>
    </row>
    <row r="15" spans="1:33" x14ac:dyDescent="0.25">
      <c r="C15" t="s">
        <v>75</v>
      </c>
      <c r="F15" s="84">
        <f>VLOOKUP(C15,'N Jul-Dec'!D7:L102,8,FALSE)</f>
        <v>1</v>
      </c>
      <c r="G15" s="98">
        <f>VLOOKUP(F15,'N Jul-Dec'!$B$7:$AF$101,7,FALSE)</f>
        <v>8294560</v>
      </c>
      <c r="I15" s="68">
        <f t="shared" si="0"/>
        <v>0.4425637082776876</v>
      </c>
      <c r="K15" s="98">
        <f>VLOOKUP(F15,'N Jul-Dec'!$B$7:$AF$101,11,FALSE)</f>
        <v>8170756</v>
      </c>
      <c r="M15" s="68">
        <f t="shared" si="1"/>
        <v>0.43816615739702974</v>
      </c>
      <c r="O15" s="98">
        <f>VLOOKUP(F15,'N Jul-Dec'!$B$7:$S$103,15,FALSE)</f>
        <v>8223762</v>
      </c>
      <c r="Q15" s="68">
        <f t="shared" si="2"/>
        <v>0.43859432424173089</v>
      </c>
      <c r="S15" s="98">
        <f>VLOOKUP(F15,'N Jul-Dec'!$B$7:$V$101,19,FALSE)</f>
        <v>8120564</v>
      </c>
      <c r="U15" s="68">
        <f t="shared" si="3"/>
        <v>0.41539077577330979</v>
      </c>
      <c r="W15" s="98">
        <f>VLOOKUP(F15,'N Jul-Dec'!$B$7:$Z$101,23,FALSE)</f>
        <v>7954320</v>
      </c>
      <c r="Y15" s="68">
        <f t="shared" si="4"/>
        <v>0.40918407943921914</v>
      </c>
      <c r="AA15" s="98">
        <f>VLOOKUP(F15,'N Jul-Dec'!$B$7:$AD$101,27,FALSE)</f>
        <v>6917592</v>
      </c>
      <c r="AC15" s="68">
        <f>AA15/$AC$4</f>
        <v>0.50055742578190665</v>
      </c>
      <c r="AE15" s="98">
        <f>AA15+W15+S15+O15+K15+G15</f>
        <v>47681554</v>
      </c>
      <c r="AG15" s="68">
        <f t="shared" si="7"/>
        <v>0.43765255556393157</v>
      </c>
    </row>
    <row r="16" spans="1:33" x14ac:dyDescent="0.25">
      <c r="C16" t="s">
        <v>82</v>
      </c>
      <c r="F16" s="84">
        <f>VLOOKUP(C16,'N Jul-Dec'!D8:L103,8,FALSE)</f>
        <v>4</v>
      </c>
      <c r="G16" s="99">
        <f>VLOOKUP(F16,'N Jul-Dec'!$B$7:$AF$101,7,FALSE)</f>
        <v>729035</v>
      </c>
      <c r="I16" s="70">
        <f t="shared" si="0"/>
        <v>3.8898318061985682E-2</v>
      </c>
      <c r="K16" s="99">
        <f>VLOOKUP(F16,'N Jul-Dec'!$B$7:$AF$101,11,FALSE)</f>
        <v>894619</v>
      </c>
      <c r="M16" s="70">
        <f t="shared" si="1"/>
        <v>4.797496945990963E-2</v>
      </c>
      <c r="O16" s="99">
        <f>VLOOKUP(F16,'N Jul-Dec'!$B$7:$S$103,15,FALSE)</f>
        <v>1214238</v>
      </c>
      <c r="Q16" s="70">
        <f t="shared" ref="Q16" si="8">O16/$Q$4</f>
        <v>6.4758427478644312E-2</v>
      </c>
      <c r="S16" s="99">
        <f>VLOOKUP(F16,'N Jul-Dec'!$B$7:$V$101,19,FALSE)</f>
        <v>1027978</v>
      </c>
      <c r="U16" s="70">
        <f t="shared" si="3"/>
        <v>5.2584103628503569E-2</v>
      </c>
      <c r="W16" s="99">
        <f>VLOOKUP(F16,'N Jul-Dec'!$B$7:$Z$101,23,FALSE)</f>
        <v>1107214</v>
      </c>
      <c r="Y16" s="70">
        <f t="shared" si="4"/>
        <v>5.6957017234938449E-2</v>
      </c>
      <c r="AA16" s="99">
        <f>VLOOKUP(F16,'N Jul-Dec'!$B$7:$AD$101,27,FALSE)</f>
        <v>949999</v>
      </c>
      <c r="AC16" s="70">
        <f t="shared" ref="AC16:AC40" si="9">AA16/$AC$4</f>
        <v>6.8741992001752267E-2</v>
      </c>
      <c r="AE16" s="99">
        <f>AA16+W16+S16+O16+K16+G16</f>
        <v>5923083</v>
      </c>
      <c r="AG16" s="70">
        <f t="shared" si="7"/>
        <v>5.4365938068362422E-2</v>
      </c>
    </row>
    <row r="17" spans="3:33" x14ac:dyDescent="0.25">
      <c r="C17" t="s">
        <v>110</v>
      </c>
      <c r="F17" s="84">
        <f>VLOOKUP(C17,'N Jul-Dec'!D9:L104,8,FALSE)</f>
        <v>14</v>
      </c>
      <c r="G17" s="99">
        <f>VLOOKUP(F17,'N Jul-Dec'!$B$7:$AF$101,7,FALSE)</f>
        <v>412500</v>
      </c>
      <c r="I17" s="70">
        <f>G17/$G$8</f>
        <v>2.2009308470195662E-2</v>
      </c>
      <c r="K17" s="99">
        <f>VLOOKUP(F17,'N Jul-Dec'!$B$7:$AF$101,11,FALSE)</f>
        <v>412500</v>
      </c>
      <c r="M17" s="70">
        <f t="shared" si="1"/>
        <v>2.2120785387089611E-2</v>
      </c>
      <c r="O17" s="99">
        <f>VLOOKUP(F17,'N Jul-Dec'!$B$7:$S$103,15,FALSE)</f>
        <v>412500</v>
      </c>
      <c r="Q17" s="70">
        <f t="shared" si="2"/>
        <v>2.1999683204561853E-2</v>
      </c>
      <c r="S17" s="99">
        <f>VLOOKUP(F17,'N Jul-Dec'!$B$7:$V$101,19,FALSE)</f>
        <v>412500</v>
      </c>
      <c r="U17" s="70">
        <f t="shared" si="3"/>
        <v>2.1100590427769583E-2</v>
      </c>
      <c r="W17" s="99">
        <f>VLOOKUP(F17,'N Jul-Dec'!$B$7:$Z$101,23,FALSE)</f>
        <v>412500</v>
      </c>
      <c r="Y17" s="70">
        <f>W17/$Y$4</f>
        <v>2.1219718689803515E-2</v>
      </c>
      <c r="AA17" s="99">
        <f>VLOOKUP(F17,'N Jul-Dec'!$B$7:$AD$101,27,FALSE)</f>
        <v>412500</v>
      </c>
      <c r="AC17" s="70">
        <f t="shared" si="9"/>
        <v>2.9848527946579745E-2</v>
      </c>
      <c r="AE17" s="99">
        <f>AA17+W17+S17+O17+K17+G17</f>
        <v>2475000</v>
      </c>
      <c r="AG17" s="70">
        <f t="shared" si="7"/>
        <v>2.2717172242765635E-2</v>
      </c>
    </row>
    <row r="18" spans="3:33" x14ac:dyDescent="0.25">
      <c r="C18" t="s">
        <v>99</v>
      </c>
      <c r="F18" s="84">
        <f>VLOOKUP(C18,'N Jul-Dec'!D10:L105,8,FALSE)</f>
        <v>8</v>
      </c>
      <c r="G18" s="99">
        <f>VLOOKUP(F18,'N Jul-Dec'!$B$7:$AF$101,7,FALSE)</f>
        <v>367334</v>
      </c>
      <c r="I18" s="70">
        <f t="shared" ref="I18:I40" si="10">G18/$G$8</f>
        <v>1.959943592143237E-2</v>
      </c>
      <c r="K18" s="99">
        <f>VLOOKUP(F18,'N Jul-Dec'!$B$7:$AF$101,11,FALSE)</f>
        <v>345840</v>
      </c>
      <c r="M18" s="70">
        <f t="shared" si="1"/>
        <v>1.8546066468535932E-2</v>
      </c>
      <c r="O18" s="99">
        <f>VLOOKUP(F18,'N Jul-Dec'!$B$7:$S$103,15,FALSE)</f>
        <v>488206</v>
      </c>
      <c r="Q18" s="70">
        <f t="shared" si="2"/>
        <v>2.6037278396524425E-2</v>
      </c>
      <c r="S18" s="99">
        <f>VLOOKUP(F18,'N Jul-Dec'!$B$7:$V$101,19,FALSE)</f>
        <v>366858</v>
      </c>
      <c r="U18" s="70">
        <f t="shared" si="3"/>
        <v>1.8765867644001684E-2</v>
      </c>
      <c r="W18" s="99">
        <f>VLOOKUP(F18,'N Jul-Dec'!$B$7:$Z$101,23,FALSE)</f>
        <v>768958</v>
      </c>
      <c r="Y18" s="70">
        <f t="shared" ref="Y18:Y40" si="11">W18/$Y$4</f>
        <v>3.9556539258845898E-2</v>
      </c>
      <c r="AA18" s="99">
        <f>VLOOKUP(F18,'N Jul-Dec'!$B$7:$AD$101,27,FALSE)</f>
        <v>483779</v>
      </c>
      <c r="AC18" s="70">
        <f t="shared" si="9"/>
        <v>3.5006281215680973E-2</v>
      </c>
      <c r="AE18" s="99">
        <f t="shared" ref="AE18:AE34" si="12">AA18+W18+S18+O18+K18+G18</f>
        <v>2820975</v>
      </c>
      <c r="AG18" s="70">
        <f t="shared" si="7"/>
        <v>2.5892757562640721E-2</v>
      </c>
    </row>
    <row r="19" spans="3:33" x14ac:dyDescent="0.25">
      <c r="C19" t="s">
        <v>133</v>
      </c>
      <c r="F19" s="84">
        <f>VLOOKUP(C19,'N Jul-Dec'!D11:L106,8,FALSE)</f>
        <v>9</v>
      </c>
      <c r="G19" s="99">
        <f>VLOOKUP(F19,'N Jul-Dec'!$B$7:$AF$101,7,FALSE)</f>
        <v>305910</v>
      </c>
      <c r="I19" s="70">
        <f t="shared" si="10"/>
        <v>1.6322103161497101E-2</v>
      </c>
      <c r="K19" s="99">
        <f>VLOOKUP(F19,'N Jul-Dec'!$B$7:$AF$101,11,FALSE)</f>
        <v>257834</v>
      </c>
      <c r="M19" s="70">
        <f t="shared" ref="M19" si="13">K19/$M$4</f>
        <v>1.3826643829078457E-2</v>
      </c>
      <c r="O19" s="99">
        <f>VLOOKUP(F19,'N Jul-Dec'!$B$7:$S$103,15,FALSE)</f>
        <v>0</v>
      </c>
      <c r="Q19" s="70">
        <f t="shared" si="2"/>
        <v>0</v>
      </c>
      <c r="S19" s="99">
        <f>VLOOKUP(F19,'N Jul-Dec'!$B$7:$V$101,19,FALSE)</f>
        <v>0</v>
      </c>
      <c r="U19" s="70">
        <f t="shared" si="3"/>
        <v>0</v>
      </c>
      <c r="W19" s="99">
        <f>VLOOKUP(F19,'N Jul-Dec'!$B$7:$Z$101,23,FALSE)</f>
        <v>782010</v>
      </c>
      <c r="Y19" s="70">
        <f t="shared" si="11"/>
        <v>4.0227956879062415E-2</v>
      </c>
      <c r="AA19" s="99">
        <f>VLOOKUP(F19,'N Jul-Dec'!$B$7:$AD$101,27,FALSE)</f>
        <v>0</v>
      </c>
      <c r="AC19" s="70">
        <f t="shared" si="9"/>
        <v>0</v>
      </c>
      <c r="AE19" s="99">
        <f t="shared" si="12"/>
        <v>1345754</v>
      </c>
      <c r="AG19" s="70">
        <f t="shared" si="7"/>
        <v>1.2352212288642757E-2</v>
      </c>
    </row>
    <row r="20" spans="3:33" x14ac:dyDescent="0.25">
      <c r="C20" t="s">
        <v>96</v>
      </c>
      <c r="F20" s="84">
        <f>VLOOKUP(C20,'N Jul-Dec'!D12:L107,8,FALSE)</f>
        <v>7</v>
      </c>
      <c r="G20" s="99">
        <f>VLOOKUP(F20,'N Jul-Dec'!$B$7:$AF$101,7,FALSE)</f>
        <v>302954</v>
      </c>
      <c r="I20" s="70">
        <f t="shared" si="10"/>
        <v>1.6164383123102196E-2</v>
      </c>
      <c r="K20" s="99">
        <f>VLOOKUP(F20,'N Jul-Dec'!$B$7:$AF$101,11,FALSE)</f>
        <v>298021</v>
      </c>
      <c r="M20" s="70">
        <f t="shared" si="1"/>
        <v>1.5981717774171716E-2</v>
      </c>
      <c r="O20" s="99">
        <f>VLOOKUP(F20,'N Jul-Dec'!$B$7:$S$103,15,FALSE)</f>
        <v>260573</v>
      </c>
      <c r="Q20" s="70">
        <f t="shared" si="2"/>
        <v>1.3897026549484354E-2</v>
      </c>
      <c r="S20" s="99">
        <f>VLOOKUP(F20,'N Jul-Dec'!$B$7:$V$101,19,FALSE)</f>
        <v>219262</v>
      </c>
      <c r="U20" s="70">
        <f t="shared" si="3"/>
        <v>1.1215897353633006E-2</v>
      </c>
      <c r="W20" s="99">
        <f>VLOOKUP(F20,'N Jul-Dec'!$B$7:$Z$101,23,FALSE)</f>
        <v>294240</v>
      </c>
      <c r="Y20" s="70">
        <f t="shared" si="11"/>
        <v>1.5136218247970392E-2</v>
      </c>
      <c r="AA20" s="99">
        <f>VLOOKUP(F20,'N Jul-Dec'!$B$7:$AD$101,27,FALSE)</f>
        <v>222159</v>
      </c>
      <c r="AC20" s="70">
        <f t="shared" si="9"/>
        <v>1.6075440291113234E-2</v>
      </c>
      <c r="AE20" s="99">
        <f t="shared" si="12"/>
        <v>1597209</v>
      </c>
      <c r="AG20" s="70">
        <f t="shared" si="7"/>
        <v>1.4660231095230488E-2</v>
      </c>
    </row>
    <row r="21" spans="3:33" x14ac:dyDescent="0.25">
      <c r="C21" t="s">
        <v>130</v>
      </c>
      <c r="F21" s="84">
        <f>VLOOKUP(C21,'N Jul-Dec'!D15:L110,8,FALSE)</f>
        <v>13</v>
      </c>
      <c r="G21" s="99">
        <f>VLOOKUP(F21,'N Jul-Dec'!$B$7:$AF$101,7,FALSE)</f>
        <v>299456</v>
      </c>
      <c r="I21" s="70">
        <f t="shared" si="10"/>
        <v>1.5977744187274937E-2</v>
      </c>
      <c r="K21" s="99">
        <f>VLOOKUP(F21,'N Jul-Dec'!$B$7:$AF$101,11,FALSE)</f>
        <v>39741</v>
      </c>
      <c r="M21" s="70">
        <f t="shared" si="1"/>
        <v>2.131156683802008E-3</v>
      </c>
      <c r="O21" s="99">
        <f>VLOOKUP(F21,'N Jul-Dec'!$B$7:$S$103,15,FALSE)</f>
        <v>81345</v>
      </c>
      <c r="Q21" s="70">
        <f t="shared" si="2"/>
        <v>4.3383375279395977E-3</v>
      </c>
      <c r="S21" s="99">
        <f>VLOOKUP(F21,'N Jul-Dec'!$B$7:$V$101,19,FALSE)</f>
        <v>138957</v>
      </c>
      <c r="U21" s="70">
        <f t="shared" si="3"/>
        <v>7.1080599856280678E-3</v>
      </c>
      <c r="W21" s="99">
        <f>VLOOKUP(F21,'N Jul-Dec'!$B$7:$Z$101,23,FALSE)</f>
        <v>51550</v>
      </c>
      <c r="Y21" s="70">
        <f t="shared" si="11"/>
        <v>2.6518218144469608E-3</v>
      </c>
      <c r="AA21" s="99">
        <f>VLOOKUP(F21,'N Jul-Dec'!$B$7:$AD$101,27,FALSE)</f>
        <v>15625</v>
      </c>
      <c r="AC21" s="70">
        <f t="shared" si="9"/>
        <v>1.1306260585825661E-3</v>
      </c>
      <c r="AE21" s="99">
        <f t="shared" si="12"/>
        <v>626674</v>
      </c>
      <c r="AG21" s="70">
        <f t="shared" si="7"/>
        <v>5.7520247264900648E-3</v>
      </c>
    </row>
    <row r="22" spans="3:33" x14ac:dyDescent="0.25">
      <c r="C22" t="s">
        <v>106</v>
      </c>
      <c r="F22" s="84">
        <f>VLOOKUP(C22,'N Jul-Dec'!D13:L108,8,FALSE)</f>
        <v>3</v>
      </c>
      <c r="G22" s="99">
        <f>VLOOKUP(F22,'N Jul-Dec'!$B$7:$AF$101,7,FALSE)</f>
        <v>237181</v>
      </c>
      <c r="I22" s="70">
        <f t="shared" si="10"/>
        <v>1.2655005557016914E-2</v>
      </c>
      <c r="K22" s="99">
        <f>VLOOKUP(F22,'N Jul-Dec'!$B$7:$AF$101,11,FALSE)</f>
        <v>280025</v>
      </c>
      <c r="M22" s="70">
        <f t="shared" si="1"/>
        <v>1.5016661643684287E-2</v>
      </c>
      <c r="O22" s="99">
        <f>VLOOKUP(F22,'N Jul-Dec'!$B$7:$S$103,15,FALSE)</f>
        <v>185452</v>
      </c>
      <c r="Q22" s="70">
        <f t="shared" si="2"/>
        <v>9.8906309082482553E-3</v>
      </c>
      <c r="S22" s="99">
        <f>VLOOKUP(F22,'N Jul-Dec'!$B$7:$V$101,19,FALSE)</f>
        <v>402199</v>
      </c>
      <c r="U22" s="70">
        <f t="shared" si="3"/>
        <v>2.0573663925959999E-2</v>
      </c>
      <c r="W22" s="99">
        <f>VLOOKUP(F22,'N Jul-Dec'!$B$7:$Z$101,23,FALSE)</f>
        <v>408565</v>
      </c>
      <c r="Y22" s="70">
        <f t="shared" si="11"/>
        <v>2.1017295433938359E-2</v>
      </c>
      <c r="AA22" s="99">
        <f>VLOOKUP(F22,'N Jul-Dec'!$B$7:$AD$101,27,FALSE)</f>
        <v>119524</v>
      </c>
      <c r="AC22" s="70">
        <f t="shared" si="9"/>
        <v>8.6487647376654493E-3</v>
      </c>
      <c r="AE22" s="99">
        <f t="shared" si="12"/>
        <v>1632946</v>
      </c>
      <c r="AG22" s="70">
        <f t="shared" si="7"/>
        <v>1.4988248705105119E-2</v>
      </c>
    </row>
    <row r="23" spans="3:33" x14ac:dyDescent="0.25">
      <c r="C23" t="s">
        <v>107</v>
      </c>
      <c r="F23" s="84">
        <f>VLOOKUP(C23,'N Jul-Dec'!D14:L109,8,FALSE)</f>
        <v>12</v>
      </c>
      <c r="G23" s="99">
        <f>VLOOKUP(F23,'N Jul-Dec'!$B$7:$AF$101,7,FALSE)</f>
        <v>220292</v>
      </c>
      <c r="I23" s="70">
        <f t="shared" si="10"/>
        <v>1.1753877773372952E-2</v>
      </c>
      <c r="K23" s="99">
        <f>VLOOKUP(F23,'N Jul-Dec'!$B$7:$AF$101,11,FALSE)</f>
        <v>182542</v>
      </c>
      <c r="M23" s="70">
        <f t="shared" si="1"/>
        <v>9.7890240148608785E-3</v>
      </c>
      <c r="O23" s="99">
        <f>VLOOKUP(F23,'N Jul-Dec'!$B$7:$S$103,15,FALSE)</f>
        <v>385397</v>
      </c>
      <c r="Q23" s="70">
        <f t="shared" si="2"/>
        <v>2.0554210686032789E-2</v>
      </c>
      <c r="S23" s="99">
        <f>VLOOKUP(F23,'N Jul-Dec'!$B$7:$V$101,19,FALSE)</f>
        <v>366065</v>
      </c>
      <c r="U23" s="70">
        <f t="shared" si="3"/>
        <v>1.8725303357433873E-2</v>
      </c>
      <c r="W23" s="99">
        <f>VLOOKUP(F23,'N Jul-Dec'!$B$7:$Z$101,23,FALSE)</f>
        <v>364554</v>
      </c>
      <c r="Y23" s="70">
        <f t="shared" si="11"/>
        <v>1.875329291452759E-2</v>
      </c>
      <c r="AA23" s="99">
        <f>VLOOKUP(F23,'N Jul-Dec'!$B$7:$AD$101,27,FALSE)</f>
        <v>491811</v>
      </c>
      <c r="AC23" s="70">
        <f t="shared" si="9"/>
        <v>3.5587477279843224E-2</v>
      </c>
      <c r="AE23" s="99">
        <f t="shared" si="12"/>
        <v>2010661</v>
      </c>
      <c r="AG23" s="70">
        <f t="shared" si="7"/>
        <v>1.8455164549014705E-2</v>
      </c>
    </row>
    <row r="24" spans="3:33" x14ac:dyDescent="0.25">
      <c r="C24" t="s">
        <v>105</v>
      </c>
      <c r="F24" s="84">
        <f>VLOOKUP(C24,'N Jul-Dec'!D16:L111,8,FALSE)</f>
        <v>11</v>
      </c>
      <c r="G24" s="99">
        <f>VLOOKUP(F24,'N Jul-Dec'!$B$7:$AF$101,7,FALSE)</f>
        <v>139300</v>
      </c>
      <c r="I24" s="70">
        <f t="shared" si="10"/>
        <v>7.4324767755109223E-3</v>
      </c>
      <c r="K24" s="99">
        <f>VLOOKUP(F24,'N Jul-Dec'!$B$7:$AF$101,11,FALSE)</f>
        <v>14225</v>
      </c>
      <c r="M24" s="70">
        <f t="shared" si="1"/>
        <v>7.6283193243963576E-4</v>
      </c>
      <c r="O24" s="99">
        <f>VLOOKUP(F24,'N Jul-Dec'!$B$7:$S$103,15,FALSE)</f>
        <v>20000</v>
      </c>
      <c r="Q24" s="70">
        <f t="shared" si="2"/>
        <v>1.0666513068878474E-3</v>
      </c>
      <c r="S24" s="99">
        <f>VLOOKUP(F24,'N Jul-Dec'!$B$7:$V$101,19,FALSE)</f>
        <v>0</v>
      </c>
      <c r="U24" s="70">
        <f t="shared" si="3"/>
        <v>0</v>
      </c>
      <c r="W24" s="99">
        <f>VLOOKUP(F24,'N Jul-Dec'!$B$7:$Z$101,23,FALSE)</f>
        <v>74875</v>
      </c>
      <c r="Y24" s="70">
        <f t="shared" si="11"/>
        <v>3.8517004530885775E-3</v>
      </c>
      <c r="AA24" s="99">
        <f>VLOOKUP(F24,'N Jul-Dec'!$B$7:$AD$101,27,FALSE)</f>
        <v>0</v>
      </c>
      <c r="AC24" s="70">
        <f t="shared" si="9"/>
        <v>0</v>
      </c>
      <c r="AE24" s="99">
        <f t="shared" si="12"/>
        <v>248400</v>
      </c>
      <c r="AG24" s="70">
        <f t="shared" si="7"/>
        <v>2.2799780141830235E-3</v>
      </c>
    </row>
    <row r="25" spans="3:33" x14ac:dyDescent="0.25">
      <c r="C25" t="s">
        <v>132</v>
      </c>
      <c r="F25" s="84">
        <f>VLOOKUP(C25,'N Jul-Dec'!D18:L113,8,FALSE)</f>
        <v>19</v>
      </c>
      <c r="G25" s="99">
        <f>VLOOKUP(F25,'N Jul-Dec'!$B$7:$AF$101,7,FALSE)</f>
        <v>106240</v>
      </c>
      <c r="I25" s="70">
        <f t="shared" si="10"/>
        <v>5.668530743935969E-3</v>
      </c>
      <c r="K25" s="99">
        <f>VLOOKUP(F25,'N Jul-Dec'!$B$7:$AF$101,11,FALSE)</f>
        <v>0</v>
      </c>
      <c r="M25" s="70">
        <f t="shared" si="1"/>
        <v>0</v>
      </c>
      <c r="O25" s="99">
        <f>VLOOKUP(F25,'N Jul-Dec'!$B$7:$S$103,15,FALSE)</f>
        <v>35700</v>
      </c>
      <c r="Q25" s="70">
        <f t="shared" si="2"/>
        <v>1.9039725827948077E-3</v>
      </c>
      <c r="S25" s="99">
        <f>VLOOKUP(F25,'N Jul-Dec'!$B$7:$V$101,19,FALSE)</f>
        <v>0</v>
      </c>
      <c r="U25" s="70">
        <f t="shared" si="3"/>
        <v>0</v>
      </c>
      <c r="W25" s="99">
        <f>VLOOKUP(F25,'N Jul-Dec'!$B$7:$Z$101,23,FALSE)</f>
        <v>89400</v>
      </c>
      <c r="Y25" s="70">
        <f t="shared" si="11"/>
        <v>4.5988917596810532E-3</v>
      </c>
      <c r="AA25" s="99">
        <f>VLOOKUP(F25,'N Jul-Dec'!$B$7:$AD$101,27,FALSE)</f>
        <v>0</v>
      </c>
      <c r="AC25" s="70">
        <f t="shared" si="9"/>
        <v>0</v>
      </c>
      <c r="AE25" s="99">
        <f t="shared" si="12"/>
        <v>231340</v>
      </c>
      <c r="AG25" s="70">
        <f t="shared" si="7"/>
        <v>2.1233901521783443E-3</v>
      </c>
    </row>
    <row r="26" spans="3:33" x14ac:dyDescent="0.25">
      <c r="C26" t="s">
        <v>92</v>
      </c>
      <c r="F26" s="84">
        <f>VLOOKUP(C26,'N Jul-Dec'!D19:L114,8,FALSE)</f>
        <v>6</v>
      </c>
      <c r="G26" s="99">
        <f>VLOOKUP(F26,'N Jul-Dec'!$B$7:$AF$101,7,FALSE)</f>
        <v>125424</v>
      </c>
      <c r="I26" s="70">
        <f t="shared" si="10"/>
        <v>6.6921103165232011E-3</v>
      </c>
      <c r="K26" s="99">
        <f>VLOOKUP(F26,'N Jul-Dec'!$B$7:$AF$101,11,FALSE)</f>
        <v>86267</v>
      </c>
      <c r="M26" s="70">
        <f t="shared" si="1"/>
        <v>4.6261667708801446E-3</v>
      </c>
      <c r="O26" s="99">
        <f>VLOOKUP(F26,'N Jul-Dec'!$B$7:$S$103,15,FALSE)</f>
        <v>413263</v>
      </c>
      <c r="Q26" s="70">
        <f t="shared" si="2"/>
        <v>2.2040375951919627E-2</v>
      </c>
      <c r="S26" s="99">
        <f>VLOOKUP(F26,'N Jul-Dec'!$B$7:$V$101,19,FALSE)</f>
        <v>96516</v>
      </c>
      <c r="U26" s="70">
        <f t="shared" si="3"/>
        <v>4.9370777835796584E-3</v>
      </c>
      <c r="W26" s="99">
        <f>VLOOKUP(F26,'N Jul-Dec'!$B$7:$Z$101,23,FALSE)</f>
        <v>173436</v>
      </c>
      <c r="Y26" s="70">
        <f t="shared" si="11"/>
        <v>8.921850013781242E-3</v>
      </c>
      <c r="AA26" s="99">
        <f>VLOOKUP(F26,'N Jul-Dec'!$B$7:$AD$101,27,FALSE)</f>
        <v>130189</v>
      </c>
      <c r="AC26" s="70">
        <f t="shared" si="9"/>
        <v>9.420484860211565E-3</v>
      </c>
      <c r="AE26" s="99">
        <f t="shared" si="12"/>
        <v>1025095</v>
      </c>
      <c r="AG26" s="70">
        <f t="shared" si="7"/>
        <v>9.4089938101809441E-3</v>
      </c>
    </row>
    <row r="27" spans="3:33" x14ac:dyDescent="0.25">
      <c r="C27" t="s">
        <v>88</v>
      </c>
      <c r="F27" s="84">
        <f>VLOOKUP(C27,'N Jul-Dec'!D20:L115,8,FALSE)</f>
        <v>5</v>
      </c>
      <c r="G27" s="99">
        <f>VLOOKUP(F27,'N Jul-Dec'!$B$7:$AF$101,7,FALSE)</f>
        <v>73736</v>
      </c>
      <c r="I27" s="70">
        <f t="shared" si="10"/>
        <v>3.9342505923838722E-3</v>
      </c>
      <c r="K27" s="99">
        <f>VLOOKUP(F27,'N Jul-Dec'!$B$7:$AF$101,11,FALSE)</f>
        <v>141721</v>
      </c>
      <c r="M27" s="70">
        <f t="shared" si="1"/>
        <v>7.5999510929544893E-3</v>
      </c>
      <c r="O27" s="99">
        <f>VLOOKUP(F27,'N Jul-Dec'!$B$7:$S$103,15,FALSE)</f>
        <v>257066</v>
      </c>
      <c r="Q27" s="70">
        <f t="shared" si="2"/>
        <v>1.3709989242821571E-2</v>
      </c>
      <c r="S27" s="99">
        <f>VLOOKUP(F27,'N Jul-Dec'!$B$7:$V$101,19,FALSE)</f>
        <v>217420</v>
      </c>
      <c r="U27" s="70">
        <f t="shared" si="3"/>
        <v>1.1121673626195547E-2</v>
      </c>
      <c r="W27" s="99">
        <f>VLOOKUP(F27,'N Jul-Dec'!$B$7:$Z$101,23,FALSE)</f>
        <v>216600</v>
      </c>
      <c r="Y27" s="70">
        <f t="shared" si="11"/>
        <v>1.1142281377482282E-2</v>
      </c>
      <c r="AA27" s="99">
        <f>VLOOKUP(F27,'N Jul-Dec'!$B$7:$AD$101,27,FALSE)</f>
        <v>222709</v>
      </c>
      <c r="AC27" s="70">
        <f t="shared" si="9"/>
        <v>1.6115238328375341E-2</v>
      </c>
      <c r="AE27" s="99">
        <f t="shared" si="12"/>
        <v>1129252</v>
      </c>
      <c r="AG27" s="70">
        <f t="shared" si="7"/>
        <v>1.0365015026055587E-2</v>
      </c>
    </row>
    <row r="28" spans="3:33" x14ac:dyDescent="0.25">
      <c r="C28" t="s">
        <v>101</v>
      </c>
      <c r="F28" s="84">
        <f>VLOOKUP(C28,'N Jul-Dec'!D21:L116,8,FALSE)</f>
        <v>10</v>
      </c>
      <c r="G28" s="99">
        <f>VLOOKUP(F28,'N Jul-Dec'!$B$7:$AF$101,7,FALSE)</f>
        <v>42210</v>
      </c>
      <c r="I28" s="70">
        <f t="shared" si="10"/>
        <v>2.252152510368385E-3</v>
      </c>
      <c r="K28" s="99">
        <f>VLOOKUP(F28,'N Jul-Dec'!$B$7:$AF$101,11,FALSE)</f>
        <v>107265</v>
      </c>
      <c r="M28" s="70">
        <f t="shared" si="1"/>
        <v>5.7522085928391935E-3</v>
      </c>
      <c r="O28" s="99">
        <f>VLOOKUP(F28,'N Jul-Dec'!$B$7:$S$103,15,FALSE)</f>
        <v>73253</v>
      </c>
      <c r="Q28" s="70">
        <f t="shared" si="2"/>
        <v>3.9067704091727742E-3</v>
      </c>
      <c r="S28" s="99">
        <f>VLOOKUP(F28,'N Jul-Dec'!$B$7:$V$101,19,FALSE)</f>
        <v>72409</v>
      </c>
      <c r="U28" s="70">
        <f t="shared" si="3"/>
        <v>3.7039337025075582E-3</v>
      </c>
      <c r="W28" s="99">
        <f>VLOOKUP(F28,'N Jul-Dec'!$B$7:$Z$101,23,FALSE)</f>
        <v>83996</v>
      </c>
      <c r="Y28" s="70">
        <f t="shared" si="11"/>
        <v>4.3209005844090575E-3</v>
      </c>
      <c r="AA28" s="99">
        <f>VLOOKUP(F28,'N Jul-Dec'!$B$7:$AD$101,27,FALSE)</f>
        <v>116955</v>
      </c>
      <c r="AC28" s="70">
        <f t="shared" si="9"/>
        <v>8.4628717236175377E-3</v>
      </c>
      <c r="AE28" s="99">
        <f t="shared" si="12"/>
        <v>496088</v>
      </c>
      <c r="AG28" s="70">
        <f t="shared" si="7"/>
        <v>4.553420825684492E-3</v>
      </c>
    </row>
    <row r="29" spans="3:33" x14ac:dyDescent="0.25">
      <c r="C29" t="s">
        <v>115</v>
      </c>
      <c r="F29" s="84">
        <f>VLOOKUP(C29,'N Jul-Dec'!D22:L117,8,FALSE)</f>
        <v>17</v>
      </c>
      <c r="G29" s="99">
        <f>VLOOKUP(F29,'N Jul-Dec'!$B$7:$AF$101,7,FALSE)</f>
        <v>40000</v>
      </c>
      <c r="I29" s="70">
        <f t="shared" si="10"/>
        <v>2.134235972867458E-3</v>
      </c>
      <c r="K29" s="99">
        <f>VLOOKUP(F29,'N Jul-Dec'!$B$7:$AF$101,11,FALSE)</f>
        <v>73000</v>
      </c>
      <c r="M29" s="70">
        <f t="shared" si="1"/>
        <v>3.9147086866849496E-3</v>
      </c>
      <c r="O29" s="99">
        <f>VLOOKUP(F29,'N Jul-Dec'!$B$7:$S$103,15,FALSE)</f>
        <v>69000</v>
      </c>
      <c r="Q29" s="70">
        <f t="shared" si="2"/>
        <v>3.6799470087630739E-3</v>
      </c>
      <c r="S29" s="99">
        <f>VLOOKUP(F29,'N Jul-Dec'!$B$7:$V$101,19,FALSE)</f>
        <v>40000</v>
      </c>
      <c r="U29" s="70">
        <f t="shared" si="3"/>
        <v>2.0461178596625053E-3</v>
      </c>
      <c r="W29" s="99">
        <f>VLOOKUP(F29,'N Jul-Dec'!$B$7:$Z$101,23,FALSE)</f>
        <v>40000</v>
      </c>
      <c r="Y29" s="70">
        <f t="shared" si="11"/>
        <v>2.0576696911324623E-3</v>
      </c>
      <c r="AA29" s="99">
        <f>VLOOKUP(F29,'N Jul-Dec'!$B$7:$AD$101,27,FALSE)</f>
        <v>40000</v>
      </c>
      <c r="AC29" s="70">
        <f t="shared" si="9"/>
        <v>2.8944027099713694E-3</v>
      </c>
      <c r="AE29" s="99">
        <f t="shared" si="12"/>
        <v>302000</v>
      </c>
      <c r="AG29" s="70">
        <f t="shared" si="7"/>
        <v>2.7719539463899883E-3</v>
      </c>
    </row>
    <row r="30" spans="3:33" x14ac:dyDescent="0.25">
      <c r="C30" t="s">
        <v>117</v>
      </c>
      <c r="F30" s="84">
        <f>VLOOKUP(C30,'N Jul-Dec'!D23:L118,8,FALSE)</f>
        <v>18</v>
      </c>
      <c r="G30" s="99">
        <f>VLOOKUP(F30,'N Jul-Dec'!$B$7:$AF$101,7,FALSE)</f>
        <v>36323</v>
      </c>
      <c r="I30" s="70">
        <f t="shared" si="10"/>
        <v>1.938046331061617E-3</v>
      </c>
      <c r="K30" s="99">
        <f>VLOOKUP(F30,'N Jul-Dec'!$B$7:$AF$101,11,FALSE)</f>
        <v>9450</v>
      </c>
      <c r="M30" s="70">
        <f t="shared" si="1"/>
        <v>5.0676708341332571E-4</v>
      </c>
      <c r="O30" s="99">
        <f>VLOOKUP(F30,'N Jul-Dec'!$B$7:$S$103,15,FALSE)</f>
        <v>0</v>
      </c>
      <c r="Q30" s="70">
        <f t="shared" si="2"/>
        <v>0</v>
      </c>
      <c r="S30" s="99">
        <f>VLOOKUP(F30,'N Jul-Dec'!$B$7:$V$101,19,FALSE)</f>
        <v>0</v>
      </c>
      <c r="U30" s="70">
        <f t="shared" si="3"/>
        <v>0</v>
      </c>
      <c r="W30" s="99">
        <f>VLOOKUP(F30,'N Jul-Dec'!$B$7:$Z$101,23,FALSE)</f>
        <v>0</v>
      </c>
      <c r="Y30" s="70">
        <f t="shared" si="11"/>
        <v>0</v>
      </c>
      <c r="AA30" s="99">
        <f>VLOOKUP(F30,'N Jul-Dec'!$B$7:$AD$101,27,FALSE)</f>
        <v>334505</v>
      </c>
      <c r="AC30" s="70">
        <f t="shared" si="9"/>
        <v>2.4204804462474323E-2</v>
      </c>
      <c r="AE30" s="99">
        <f t="shared" si="12"/>
        <v>380278</v>
      </c>
      <c r="AG30" s="70">
        <f t="shared" si="7"/>
        <v>3.4904407378320928E-3</v>
      </c>
    </row>
    <row r="31" spans="3:33" x14ac:dyDescent="0.25">
      <c r="C31" t="s">
        <v>112</v>
      </c>
      <c r="F31" s="84">
        <f>VLOOKUP(C31,'N Jul-Dec'!D24:L119,8,FALSE)</f>
        <v>16</v>
      </c>
      <c r="G31" s="99">
        <f>VLOOKUP(F31,'N Jul-Dec'!$B$7:$AF$101,7,FALSE)</f>
        <v>24732</v>
      </c>
      <c r="I31" s="70">
        <f t="shared" si="10"/>
        <v>1.3195981020239494E-3</v>
      </c>
      <c r="K31" s="99">
        <f>VLOOKUP(F31,'N Jul-Dec'!$B$7:$AF$101,11,FALSE)</f>
        <v>26255</v>
      </c>
      <c r="M31" s="70">
        <f t="shared" si="1"/>
        <v>1.4079544735467583E-3</v>
      </c>
      <c r="O31" s="99">
        <f>VLOOKUP(F31,'N Jul-Dec'!$B$7:$S$103,15,FALSE)</f>
        <v>10440</v>
      </c>
      <c r="Q31" s="70">
        <f t="shared" si="2"/>
        <v>5.5679198219545643E-4</v>
      </c>
      <c r="S31" s="99">
        <f>VLOOKUP(F31,'N Jul-Dec'!$B$7:$V$101,19,FALSE)</f>
        <v>76115</v>
      </c>
      <c r="U31" s="70">
        <f t="shared" si="3"/>
        <v>3.8935065222052896E-3</v>
      </c>
      <c r="W31" s="99">
        <f>VLOOKUP(F31,'N Jul-Dec'!$B$7:$Z$101,23,FALSE)</f>
        <v>97844</v>
      </c>
      <c r="Y31" s="70">
        <f t="shared" si="11"/>
        <v>5.0332658314791159E-3</v>
      </c>
      <c r="AA31" s="99">
        <f>VLOOKUP(F31,'N Jul-Dec'!$B$7:$AD$101,27,FALSE)</f>
        <v>2910</v>
      </c>
      <c r="AC31" s="70">
        <f t="shared" si="9"/>
        <v>2.1056779715041712E-4</v>
      </c>
      <c r="AE31" s="99">
        <f t="shared" si="12"/>
        <v>238296</v>
      </c>
      <c r="AG31" s="70">
        <f t="shared" si="7"/>
        <v>2.1872368794998301E-3</v>
      </c>
    </row>
    <row r="32" spans="3:33" x14ac:dyDescent="0.25">
      <c r="C32" t="s">
        <v>113</v>
      </c>
      <c r="F32" s="84">
        <f>VLOOKUP(C32,'N Jul-Dec'!D25:L120,8,FALSE)</f>
        <v>15</v>
      </c>
      <c r="G32" s="99">
        <f>VLOOKUP(F32,'N Jul-Dec'!$B$7:$AF$101,7,FALSE)</f>
        <v>8396</v>
      </c>
      <c r="I32" s="70">
        <f t="shared" si="10"/>
        <v>4.4797613070487948E-4</v>
      </c>
      <c r="K32" s="99">
        <f>VLOOKUP(F32,'N Jul-Dec'!$B$7:$AF$101,11,FALSE)</f>
        <v>8139</v>
      </c>
      <c r="M32" s="70">
        <f t="shared" si="1"/>
        <v>4.3646320549217541E-4</v>
      </c>
      <c r="O32" s="99">
        <f>VLOOKUP(F32,'N Jul-Dec'!$B$7:$S$103,15,FALSE)</f>
        <v>9000</v>
      </c>
      <c r="Q32" s="70">
        <f t="shared" si="2"/>
        <v>4.7999308809953137E-4</v>
      </c>
      <c r="S32" s="99">
        <f>VLOOKUP(F32,'N Jul-Dec'!$B$7:$V$101,19,FALSE)</f>
        <v>8537</v>
      </c>
      <c r="U32" s="70">
        <f t="shared" si="3"/>
        <v>4.3669270419847018E-4</v>
      </c>
      <c r="W32" s="99">
        <f>VLOOKUP(F32,'N Jul-Dec'!$B$7:$Z$101,23,FALSE)</f>
        <v>13834</v>
      </c>
      <c r="Y32" s="70">
        <f t="shared" si="11"/>
        <v>7.1164506267816204E-4</v>
      </c>
      <c r="AA32" s="99">
        <f>VLOOKUP(F32,'N Jul-Dec'!$B$7:$AD$101,27,FALSE)</f>
        <v>5559</v>
      </c>
      <c r="AC32" s="70">
        <f t="shared" si="9"/>
        <v>4.0224961661827107E-4</v>
      </c>
      <c r="AE32" s="99">
        <f t="shared" si="12"/>
        <v>53465</v>
      </c>
      <c r="AG32" s="70">
        <f t="shared" si="7"/>
        <v>4.9073681372099583E-4</v>
      </c>
    </row>
    <row r="33" spans="2:33" x14ac:dyDescent="0.25">
      <c r="C33" t="s">
        <v>134</v>
      </c>
      <c r="F33" s="84">
        <v>2</v>
      </c>
      <c r="G33" s="99">
        <f>VLOOKUP(F33,'N Jul-Dec'!$B$7:$AF$101,7,FALSE)</f>
        <v>5000</v>
      </c>
      <c r="I33" s="70">
        <f t="shared" si="10"/>
        <v>2.6677949660843225E-4</v>
      </c>
      <c r="K33" s="99">
        <f>VLOOKUP(F33,'N Jul-Dec'!$B$7:$AF$101,11,FALSE)</f>
        <v>237894</v>
      </c>
      <c r="M33" s="70">
        <f t="shared" si="1"/>
        <v>1.2757338470003142E-2</v>
      </c>
      <c r="O33" s="99">
        <f>VLOOKUP(F33,'N Jul-Dec'!$B$7:$S$103,15,FALSE)</f>
        <v>86703</v>
      </c>
      <c r="Q33" s="70">
        <f t="shared" si="2"/>
        <v>4.6240934130548517E-3</v>
      </c>
      <c r="S33" s="99">
        <f>VLOOKUP(F33,'N Jul-Dec'!$B$7:$V$101,19,FALSE)</f>
        <v>28000</v>
      </c>
      <c r="U33" s="70">
        <f t="shared" si="3"/>
        <v>1.4322825017637536E-3</v>
      </c>
      <c r="W33" s="99">
        <f>VLOOKUP(F33,'N Jul-Dec'!$B$7:$Z$101,23,FALSE)</f>
        <v>19048</v>
      </c>
      <c r="Y33" s="70">
        <f t="shared" si="11"/>
        <v>9.7986230691727845E-4</v>
      </c>
      <c r="AA33" s="99">
        <f>VLOOKUP(F33,'N Jul-Dec'!$B$7:$AD$101,27,FALSE)</f>
        <v>16400</v>
      </c>
      <c r="AC33" s="70">
        <f t="shared" si="9"/>
        <v>1.1867051110882613E-3</v>
      </c>
      <c r="AE33" s="99">
        <f t="shared" si="12"/>
        <v>393045</v>
      </c>
      <c r="AG33" s="70">
        <f t="shared" si="7"/>
        <v>3.6076246319829571E-3</v>
      </c>
    </row>
    <row r="34" spans="2:33" x14ac:dyDescent="0.25">
      <c r="C34" t="s">
        <v>142</v>
      </c>
      <c r="F34" s="84">
        <f>VLOOKUP(C34,'N Jul-Dec'!D26:L121,8,FALSE)</f>
        <v>20</v>
      </c>
      <c r="G34" s="100">
        <f>VLOOKUP(F34,'N Jul-Dec'!$B$7:$AF$101,7,FALSE)</f>
        <v>0</v>
      </c>
      <c r="I34" s="69">
        <f t="shared" si="10"/>
        <v>0</v>
      </c>
      <c r="K34" s="100">
        <f>VLOOKUP(F34,'N Jul-Dec'!$B$7:$AF$101,11,FALSE)</f>
        <v>0</v>
      </c>
      <c r="M34" s="69">
        <f t="shared" si="1"/>
        <v>0</v>
      </c>
      <c r="O34" s="100">
        <f>VLOOKUP(F34,'N Jul-Dec'!$B$7:$S$103,15,FALSE)</f>
        <v>12600</v>
      </c>
      <c r="Q34" s="69">
        <f t="shared" si="2"/>
        <v>6.7199032333934393E-4</v>
      </c>
      <c r="S34" s="100">
        <f>VLOOKUP(F34,'N Jul-Dec'!$B$7:$V$101,19,FALSE)</f>
        <v>1500</v>
      </c>
      <c r="U34" s="69">
        <f t="shared" si="3"/>
        <v>7.6729419737343939E-5</v>
      </c>
      <c r="W34" s="100">
        <f>VLOOKUP(F34,'N Jul-Dec'!$B$7:$Z$101,23,FALSE)</f>
        <v>0</v>
      </c>
      <c r="Y34" s="69">
        <f t="shared" si="11"/>
        <v>0</v>
      </c>
      <c r="AA34" s="100">
        <f>VLOOKUP(F34,'N Jul-Dec'!$B$7:$AD$101,27,FALSE)</f>
        <v>0</v>
      </c>
      <c r="AC34" s="69">
        <f t="shared" si="9"/>
        <v>0</v>
      </c>
      <c r="AE34" s="100">
        <f t="shared" si="12"/>
        <v>14100</v>
      </c>
      <c r="AG34" s="69">
        <f t="shared" si="7"/>
        <v>1.2941904186787695E-4</v>
      </c>
    </row>
    <row r="35" spans="2:33" s="118" customFormat="1" x14ac:dyDescent="0.25">
      <c r="F35" s="119"/>
      <c r="G35" s="120"/>
      <c r="I35" s="122">
        <f t="shared" si="10"/>
        <v>0</v>
      </c>
      <c r="K35" s="120"/>
      <c r="M35" s="122">
        <f t="shared" si="1"/>
        <v>0</v>
      </c>
      <c r="O35" s="120"/>
      <c r="Q35" s="122">
        <f t="shared" si="2"/>
        <v>0</v>
      </c>
      <c r="S35" s="120"/>
      <c r="U35" s="122">
        <f t="shared" si="3"/>
        <v>0</v>
      </c>
      <c r="W35" s="120"/>
      <c r="Y35" s="122">
        <f t="shared" si="11"/>
        <v>0</v>
      </c>
      <c r="AA35" s="120"/>
      <c r="AC35" s="122">
        <f t="shared" si="9"/>
        <v>0</v>
      </c>
      <c r="AE35" s="120"/>
      <c r="AG35" s="122">
        <f t="shared" si="7"/>
        <v>0</v>
      </c>
    </row>
    <row r="36" spans="2:33" x14ac:dyDescent="0.25">
      <c r="B36" s="50" t="s">
        <v>72</v>
      </c>
      <c r="G36" s="117">
        <f>G7-G14</f>
        <v>7021587</v>
      </c>
      <c r="I36" s="74">
        <f>G36/$G$8</f>
        <v>0.3746430890504624</v>
      </c>
      <c r="K36" s="117">
        <f>K7-K14</f>
        <v>7101236</v>
      </c>
      <c r="M36" s="74">
        <f>K36/$M$4</f>
        <v>0.38081192130684771</v>
      </c>
      <c r="O36" s="117">
        <f>O7-O14</f>
        <v>6653380</v>
      </c>
      <c r="Q36" s="74">
        <f t="shared" si="2"/>
        <v>0.35484182361107336</v>
      </c>
      <c r="S36" s="117">
        <f>S7-S14</f>
        <v>8102986</v>
      </c>
      <c r="U36" s="74">
        <f t="shared" si="3"/>
        <v>0.4144916092798811</v>
      </c>
      <c r="W36" s="117">
        <f>W7-W14</f>
        <v>10060474</v>
      </c>
      <c r="Y36" s="74">
        <f t="shared" si="11"/>
        <v>0.51752831070565419</v>
      </c>
      <c r="AA36" s="117">
        <f>AA7-AA14</f>
        <v>3393618</v>
      </c>
      <c r="AC36" s="74">
        <f t="shared" si="9"/>
        <v>0.24556242839519046</v>
      </c>
      <c r="AE36" s="117">
        <f>AE7-AE14</f>
        <v>42333281</v>
      </c>
      <c r="AG36" s="74">
        <f t="shared" si="7"/>
        <v>0.38856260043571628</v>
      </c>
    </row>
    <row r="37" spans="2:33" s="118" customFormat="1" x14ac:dyDescent="0.25">
      <c r="F37" s="119"/>
      <c r="G37" s="120"/>
      <c r="I37" s="123">
        <f t="shared" si="10"/>
        <v>0</v>
      </c>
      <c r="K37" s="120"/>
      <c r="M37" s="123">
        <f t="shared" si="1"/>
        <v>0</v>
      </c>
      <c r="O37" s="120"/>
      <c r="Q37" s="123">
        <f t="shared" si="2"/>
        <v>0</v>
      </c>
      <c r="S37" s="120"/>
      <c r="U37" s="123">
        <f t="shared" si="3"/>
        <v>0</v>
      </c>
      <c r="W37" s="120"/>
      <c r="Y37" s="123">
        <f t="shared" si="11"/>
        <v>0</v>
      </c>
      <c r="AA37" s="120"/>
      <c r="AC37" s="123">
        <f t="shared" si="9"/>
        <v>0</v>
      </c>
      <c r="AE37" s="120"/>
      <c r="AG37" s="123">
        <f t="shared" si="7"/>
        <v>0</v>
      </c>
    </row>
    <row r="38" spans="2:33" x14ac:dyDescent="0.25">
      <c r="B38" t="s">
        <v>126</v>
      </c>
      <c r="G38" s="92">
        <f>(K38+O38+S38+W38)/4</f>
        <v>2319292.5</v>
      </c>
      <c r="I38" s="71">
        <f t="shared" si="10"/>
        <v>0.12374793712754248</v>
      </c>
      <c r="K38" s="92">
        <v>2285274</v>
      </c>
      <c r="M38" s="71">
        <f t="shared" si="1"/>
        <v>0.12255043807198988</v>
      </c>
      <c r="O38" s="92">
        <v>2285274</v>
      </c>
      <c r="Q38" s="71">
        <f t="shared" si="2"/>
        <v>0.12187952493484094</v>
      </c>
      <c r="S38" s="92">
        <v>2353311</v>
      </c>
      <c r="U38" s="71">
        <f t="shared" si="3"/>
        <v>0.12037879166100574</v>
      </c>
      <c r="W38" s="92">
        <v>2353311</v>
      </c>
      <c r="Y38" s="71">
        <f t="shared" si="11"/>
        <v>0.12105841796271564</v>
      </c>
      <c r="AA38" s="92">
        <v>1138698.5</v>
      </c>
      <c r="AC38" s="71">
        <f t="shared" si="9"/>
        <v>8.2396300606008333E-2</v>
      </c>
      <c r="AE38" s="92">
        <f t="shared" ref="AE38" si="14">AA38+W38+S38+O38+K38+G38</f>
        <v>12735161</v>
      </c>
      <c r="AG38" s="71">
        <f t="shared" si="7"/>
        <v>0.11689165493993997</v>
      </c>
    </row>
    <row r="39" spans="2:33" s="118" customFormat="1" x14ac:dyDescent="0.25">
      <c r="F39" s="119"/>
      <c r="G39" s="120"/>
      <c r="I39" s="123">
        <f t="shared" si="10"/>
        <v>0</v>
      </c>
      <c r="K39" s="120"/>
      <c r="M39" s="123">
        <f t="shared" si="1"/>
        <v>0</v>
      </c>
      <c r="O39" s="120"/>
      <c r="Q39" s="123">
        <f t="shared" si="2"/>
        <v>0</v>
      </c>
      <c r="S39" s="120"/>
      <c r="U39" s="123">
        <f t="shared" si="3"/>
        <v>0</v>
      </c>
      <c r="W39" s="120"/>
      <c r="Y39" s="123">
        <f t="shared" si="11"/>
        <v>0</v>
      </c>
      <c r="AA39" s="120"/>
      <c r="AC39" s="123">
        <f t="shared" si="9"/>
        <v>0</v>
      </c>
      <c r="AE39" s="120"/>
      <c r="AG39" s="123">
        <f t="shared" si="7"/>
        <v>0</v>
      </c>
    </row>
    <row r="40" spans="2:33" ht="15.75" thickBot="1" x14ac:dyDescent="0.3">
      <c r="B40" s="50" t="s">
        <v>125</v>
      </c>
      <c r="E40" s="50"/>
      <c r="F40" s="85"/>
      <c r="G40" s="108">
        <f>G36-G38</f>
        <v>4702294.5</v>
      </c>
      <c r="I40" s="73">
        <f t="shared" si="10"/>
        <v>0.25089515192291995</v>
      </c>
      <c r="K40" s="108">
        <f>K36-K38</f>
        <v>4815962</v>
      </c>
      <c r="M40" s="73">
        <f t="shared" si="1"/>
        <v>0.25826148323485787</v>
      </c>
      <c r="O40" s="108">
        <f>O36-O38</f>
        <v>4368106</v>
      </c>
      <c r="Q40" s="73">
        <f t="shared" si="2"/>
        <v>0.23296229867623239</v>
      </c>
      <c r="S40" s="108">
        <f>S36-S38</f>
        <v>5749675</v>
      </c>
      <c r="U40" s="73">
        <f t="shared" si="3"/>
        <v>0.29411281761887537</v>
      </c>
      <c r="W40" s="108">
        <f>W36-W38</f>
        <v>7707163</v>
      </c>
      <c r="Y40" s="73">
        <f t="shared" si="11"/>
        <v>0.39646989274293853</v>
      </c>
      <c r="AA40" s="108">
        <f>AA36-AA38</f>
        <v>2254919.5</v>
      </c>
      <c r="AC40" s="73">
        <f t="shared" si="9"/>
        <v>0.16316612778918213</v>
      </c>
      <c r="AE40" s="108">
        <f>AE36-AE38</f>
        <v>29598120</v>
      </c>
      <c r="AG40" s="73">
        <f t="shared" si="7"/>
        <v>0.27167094549577631</v>
      </c>
    </row>
    <row r="41" spans="2:33" ht="15.75" thickTop="1" x14ac:dyDescent="0.25">
      <c r="I41" s="71"/>
    </row>
  </sheetData>
  <sortState ref="C12:Q31">
    <sortCondition descending="1" ref="I12:I31"/>
  </sortState>
  <mergeCells count="8">
    <mergeCell ref="AE5:AG5"/>
    <mergeCell ref="AE4:AG4"/>
    <mergeCell ref="AA5:AC5"/>
    <mergeCell ref="G5:I5"/>
    <mergeCell ref="K5:M5"/>
    <mergeCell ref="O5:Q5"/>
    <mergeCell ref="S5:U5"/>
    <mergeCell ref="W5:Y5"/>
  </mergeCells>
  <pageMargins left="0.17" right="0.18" top="0.47" bottom="0.42" header="1.1200000000000001" footer="0.17"/>
  <pageSetup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zoomScale="84" zoomScaleNormal="84" workbookViewId="0">
      <selection activeCell="B5" sqref="B5:R19"/>
    </sheetView>
  </sheetViews>
  <sheetFormatPr defaultRowHeight="15" x14ac:dyDescent="0.25"/>
  <cols>
    <col min="1" max="1" width="2.85546875" customWidth="1"/>
    <col min="2" max="3" width="2.85546875" style="82" customWidth="1"/>
    <col min="4" max="4" width="2.85546875" customWidth="1"/>
    <col min="7" max="7" width="7.140625" customWidth="1"/>
    <col min="8" max="8" width="12.85546875" style="92" customWidth="1"/>
    <col min="9" max="9" width="1.42578125" customWidth="1"/>
    <col min="10" max="10" width="7.140625" style="67" customWidth="1"/>
    <col min="11" max="11" width="2.85546875" customWidth="1"/>
    <col min="12" max="12" width="12.85546875" style="92" customWidth="1"/>
    <col min="13" max="13" width="1.42578125" customWidth="1"/>
    <col min="14" max="14" width="7.140625" customWidth="1"/>
    <col min="15" max="15" width="2.85546875" customWidth="1"/>
    <col min="16" max="16" width="12.85546875" style="92" customWidth="1"/>
    <col min="17" max="17" width="1.42578125" customWidth="1"/>
    <col min="18" max="18" width="7.140625" customWidth="1"/>
    <col min="19" max="19" width="2.85546875" customWidth="1"/>
    <col min="20" max="20" width="12.85546875" style="92" customWidth="1"/>
    <col min="21" max="21" width="1.42578125" customWidth="1"/>
    <col min="22" max="22" width="7.140625" customWidth="1"/>
    <col min="23" max="23" width="2.85546875" customWidth="1"/>
    <col min="24" max="24" width="12.85546875" style="92" customWidth="1"/>
    <col min="25" max="25" width="1.42578125" customWidth="1"/>
    <col min="26" max="26" width="8.5703125" customWidth="1"/>
    <col min="27" max="27" width="2.85546875" customWidth="1"/>
    <col min="28" max="28" width="12.85546875" style="92" customWidth="1"/>
    <col min="29" max="29" width="1.42578125" customWidth="1"/>
    <col min="30" max="30" width="7.85546875" customWidth="1"/>
    <col min="31" max="31" width="2.85546875" customWidth="1"/>
    <col min="32" max="32" width="12.85546875" customWidth="1"/>
    <col min="33" max="33" width="1.42578125" customWidth="1"/>
    <col min="34" max="34" width="7.85546875" customWidth="1"/>
  </cols>
  <sheetData>
    <row r="1" spans="1:34" ht="18" x14ac:dyDescent="0.25">
      <c r="A1" s="61" t="s">
        <v>0</v>
      </c>
      <c r="B1" s="1"/>
      <c r="C1" s="1"/>
      <c r="D1" s="61"/>
      <c r="E1" s="61"/>
      <c r="F1" s="61"/>
      <c r="G1" s="61"/>
      <c r="H1" s="90"/>
      <c r="I1" s="61"/>
      <c r="J1" s="75"/>
      <c r="K1" s="61"/>
      <c r="L1" s="90"/>
    </row>
    <row r="2" spans="1:34" ht="16.5" x14ac:dyDescent="0.25">
      <c r="A2" s="62" t="s">
        <v>128</v>
      </c>
      <c r="B2" s="3"/>
      <c r="C2" s="3"/>
      <c r="D2" s="62"/>
      <c r="E2" s="62"/>
      <c r="F2" s="62"/>
      <c r="G2" s="62"/>
      <c r="H2" s="91"/>
      <c r="I2" s="62"/>
      <c r="J2" s="8"/>
      <c r="K2" s="62"/>
      <c r="L2" s="91"/>
    </row>
    <row r="3" spans="1:34" ht="16.5" x14ac:dyDescent="0.25">
      <c r="A3" s="62" t="str">
        <f>'2011-2012--&gt;IS Jul-Dec'!A3</f>
        <v>From Jul to Dec 20XX</v>
      </c>
      <c r="B3" s="3"/>
      <c r="C3" s="3"/>
      <c r="D3" s="62"/>
      <c r="E3" s="62"/>
      <c r="F3" s="62"/>
      <c r="G3" s="62"/>
      <c r="H3" s="91"/>
      <c r="I3" s="62"/>
      <c r="J3" s="8"/>
      <c r="K3" s="62"/>
      <c r="L3" s="91"/>
      <c r="AH3" s="120">
        <f>'2011-2012--&gt;IS Jul-Dec'!AG3</f>
        <v>108948419</v>
      </c>
    </row>
    <row r="4" spans="1:34" x14ac:dyDescent="0.25">
      <c r="J4" s="71"/>
      <c r="R4" s="87">
        <f>'2011-2012--&gt;IS Jul-Dec'!Q4</f>
        <v>18750270</v>
      </c>
      <c r="V4" s="87">
        <f>'2011-2012--&gt;IS Jul-Dec'!U4</f>
        <v>19549216</v>
      </c>
      <c r="Z4" s="87">
        <f>X8</f>
        <v>7373751</v>
      </c>
      <c r="AD4" s="87">
        <f>'2011-2012--&gt;IS Jul-Dec'!AC4</f>
        <v>13819777</v>
      </c>
      <c r="AF4" s="214" t="s">
        <v>154</v>
      </c>
      <c r="AG4" s="211"/>
      <c r="AH4" s="211"/>
    </row>
    <row r="5" spans="1:34" x14ac:dyDescent="0.25">
      <c r="H5" s="211" t="s">
        <v>148</v>
      </c>
      <c r="I5" s="211"/>
      <c r="J5" s="211"/>
      <c r="L5" s="211" t="s">
        <v>149</v>
      </c>
      <c r="M5" s="211"/>
      <c r="N5" s="211"/>
      <c r="P5" s="211" t="s">
        <v>150</v>
      </c>
      <c r="Q5" s="211"/>
      <c r="R5" s="211"/>
      <c r="T5" s="211" t="s">
        <v>151</v>
      </c>
      <c r="U5" s="211"/>
      <c r="V5" s="211"/>
      <c r="X5" s="211" t="s">
        <v>152</v>
      </c>
      <c r="Y5" s="211"/>
      <c r="Z5" s="211"/>
      <c r="AB5" s="211" t="s">
        <v>153</v>
      </c>
      <c r="AC5" s="211"/>
      <c r="AD5" s="211"/>
      <c r="AF5" s="214" t="s">
        <v>144</v>
      </c>
      <c r="AG5" s="211"/>
      <c r="AH5" s="211"/>
    </row>
    <row r="6" spans="1:34" x14ac:dyDescent="0.25">
      <c r="J6" s="71"/>
      <c r="N6" s="71"/>
      <c r="R6" s="71"/>
      <c r="V6" s="71"/>
      <c r="Z6" s="71"/>
      <c r="AD6" s="71"/>
      <c r="AF6" s="92"/>
      <c r="AH6" s="71"/>
    </row>
    <row r="7" spans="1:34" x14ac:dyDescent="0.25">
      <c r="B7" s="82">
        <v>1</v>
      </c>
      <c r="C7" s="82" t="s">
        <v>135</v>
      </c>
      <c r="D7" s="50" t="s">
        <v>75</v>
      </c>
      <c r="H7" s="93">
        <f>SUM(H8:H13)</f>
        <v>8294560</v>
      </c>
      <c r="J7" s="74">
        <f>H7/'2011-2012--&gt;IS Jul-Dec'!$G$8</f>
        <v>0.4425637082776876</v>
      </c>
      <c r="K7" s="83">
        <v>1</v>
      </c>
      <c r="L7" s="93">
        <f>SUM(L8:L13)</f>
        <v>8170756</v>
      </c>
      <c r="N7" s="74">
        <f>L7/'2011-2012--&gt;IS Jul-Dec'!$M$4</f>
        <v>0.43816615739702974</v>
      </c>
      <c r="P7" s="93">
        <f>SUM(P8:P13)</f>
        <v>8223762</v>
      </c>
      <c r="R7" s="74">
        <f>P7/$R$4</f>
        <v>0.43859432424173089</v>
      </c>
      <c r="T7" s="93">
        <f>SUM(T8:T13)</f>
        <v>8120564</v>
      </c>
      <c r="V7" s="74">
        <f>T7/$V$4</f>
        <v>0.41539077577330979</v>
      </c>
      <c r="X7" s="93">
        <f>SUM(X8:X13)</f>
        <v>7954320</v>
      </c>
      <c r="Z7" s="74">
        <f>X7/$Z$4</f>
        <v>1.0787345545028575</v>
      </c>
      <c r="AB7" s="93">
        <f>SUM(AB8:AB13)</f>
        <v>6917592</v>
      </c>
      <c r="AD7" s="74">
        <f>AB7/$AD$4</f>
        <v>0.50055742578190665</v>
      </c>
      <c r="AF7" s="93">
        <f>SUM(AF8:AF13)</f>
        <v>47681554</v>
      </c>
      <c r="AH7" s="74">
        <f>AF7/$AH$3</f>
        <v>0.43765255556393157</v>
      </c>
    </row>
    <row r="8" spans="1:34" x14ac:dyDescent="0.25">
      <c r="E8" t="s">
        <v>76</v>
      </c>
      <c r="H8" s="94">
        <v>7621747</v>
      </c>
      <c r="J8" s="77">
        <f>H8/'2011-2012--&gt;IS Jul-Dec'!$G$8</f>
        <v>0.40666516558736576</v>
      </c>
      <c r="K8" s="83"/>
      <c r="L8" s="94">
        <v>7510118</v>
      </c>
      <c r="N8" s="77">
        <f>L8/'2011-2012--&gt;IS Jul-Dec'!$M$4</f>
        <v>0.4027386872962877</v>
      </c>
      <c r="P8" s="94">
        <v>7609451</v>
      </c>
      <c r="R8" s="77">
        <f>P8/$R$4</f>
        <v>0.40583154269245192</v>
      </c>
      <c r="T8" s="94">
        <v>7394949</v>
      </c>
      <c r="V8" s="77">
        <f>T8/$V$4</f>
        <v>0.37827343050483458</v>
      </c>
      <c r="X8" s="94">
        <f>6515871+857880</f>
        <v>7373751</v>
      </c>
      <c r="Z8" s="77">
        <f>X8/$Z$4</f>
        <v>1</v>
      </c>
      <c r="AB8" s="94">
        <f>666682+5730717</f>
        <v>6397399</v>
      </c>
      <c r="AD8" s="132">
        <f t="shared" ref="AD8:AD71" si="0">AB8/$AD$4</f>
        <v>0.46291622505920321</v>
      </c>
      <c r="AF8" s="94">
        <f>AB8+X8+T8+P8+L8+H8</f>
        <v>43907415</v>
      </c>
      <c r="AH8" s="77">
        <f t="shared" ref="AH8:AH71" si="1">AF8/$AH$3</f>
        <v>0.4030110340564006</v>
      </c>
    </row>
    <row r="9" spans="1:34" x14ac:dyDescent="0.25">
      <c r="E9" t="s">
        <v>77</v>
      </c>
      <c r="H9" s="95">
        <f>422214-363882</f>
        <v>58332</v>
      </c>
      <c r="J9" s="78">
        <f>H9/'2011-2012--&gt;IS Jul-Dec'!$G$8</f>
        <v>3.112356319232614E-3</v>
      </c>
      <c r="K9" s="83"/>
      <c r="L9" s="95">
        <v>54320</v>
      </c>
      <c r="N9" s="78">
        <f>L9/'2011-2012--&gt;IS Jul-Dec'!$M$4</f>
        <v>2.9129722720647459E-3</v>
      </c>
      <c r="P9" s="95">
        <v>44459</v>
      </c>
      <c r="R9" s="78">
        <f>P9/$R$4</f>
        <v>2.3711125226463406E-3</v>
      </c>
      <c r="T9" s="95">
        <v>44008</v>
      </c>
      <c r="V9" s="78">
        <f t="shared" ref="V9:V72" si="2">T9/$V$4</f>
        <v>2.2511388692006882E-3</v>
      </c>
      <c r="X9" s="95">
        <v>46019</v>
      </c>
      <c r="Z9" s="78">
        <f t="shared" ref="Z9:Z71" si="3">X9/$Z$4</f>
        <v>6.2409213438316541E-3</v>
      </c>
      <c r="AB9" s="95">
        <v>62120</v>
      </c>
      <c r="AD9" s="78">
        <f t="shared" si="0"/>
        <v>4.4950074085855366E-3</v>
      </c>
      <c r="AF9" s="95">
        <f>AB9+X9+T9+P9+L9+H9</f>
        <v>309258</v>
      </c>
      <c r="AH9" s="78">
        <f t="shared" si="1"/>
        <v>2.8385726276578642E-3</v>
      </c>
    </row>
    <row r="10" spans="1:34" x14ac:dyDescent="0.25">
      <c r="E10" t="s">
        <v>78</v>
      </c>
      <c r="H10" s="95">
        <v>282154</v>
      </c>
      <c r="J10" s="78">
        <f>H10/'2011-2012--&gt;IS Jul-Dec'!$G$8</f>
        <v>1.505458041721112E-2</v>
      </c>
      <c r="K10" s="83"/>
      <c r="L10" s="104">
        <v>284539</v>
      </c>
      <c r="N10" s="78">
        <f>L10/'2011-2012--&gt;IS Jul-Dec'!$M$4</f>
        <v>1.5258730068502039E-2</v>
      </c>
      <c r="P10" s="95">
        <v>274531</v>
      </c>
      <c r="R10" s="78">
        <f t="shared" ref="R10:R75" si="4">P10/$R$4</f>
        <v>1.4641442496561383E-2</v>
      </c>
      <c r="T10" s="95">
        <v>256483</v>
      </c>
      <c r="V10" s="78">
        <f t="shared" si="2"/>
        <v>1.3119861174995457E-2</v>
      </c>
      <c r="X10" s="95">
        <v>247923</v>
      </c>
      <c r="Z10" s="78">
        <f t="shared" si="3"/>
        <v>3.3622372114273998E-2</v>
      </c>
      <c r="AB10" s="95">
        <v>234227</v>
      </c>
      <c r="AD10" s="78">
        <f t="shared" si="0"/>
        <v>1.6948681588711597E-2</v>
      </c>
      <c r="AF10" s="95">
        <f t="shared" ref="AF10:AF13" si="5">AB10+X10+T10+P10+L10+H10</f>
        <v>1579857</v>
      </c>
      <c r="AH10" s="78">
        <f t="shared" si="1"/>
        <v>1.4500963065833934E-2</v>
      </c>
    </row>
    <row r="11" spans="1:34" x14ac:dyDescent="0.25">
      <c r="E11" t="s">
        <v>79</v>
      </c>
      <c r="H11" s="95">
        <v>138250</v>
      </c>
      <c r="J11" s="78">
        <f>H11/'2011-2012--&gt;IS Jul-Dec'!$G$8</f>
        <v>7.3764530812231522E-3</v>
      </c>
      <c r="K11" s="83"/>
      <c r="L11" s="104">
        <v>135100</v>
      </c>
      <c r="N11" s="78">
        <f>L11/'2011-2012--&gt;IS Jul-Dec'!$M$4</f>
        <v>7.2448923776868039E-3</v>
      </c>
      <c r="P11" s="95">
        <v>134400</v>
      </c>
      <c r="R11" s="78">
        <f t="shared" si="4"/>
        <v>7.1678967822863347E-3</v>
      </c>
      <c r="T11" s="134">
        <v>135450</v>
      </c>
      <c r="V11" s="78">
        <f t="shared" si="2"/>
        <v>6.9286666022821582E-3</v>
      </c>
      <c r="X11" s="134">
        <f>253750/2</f>
        <v>126875</v>
      </c>
      <c r="Z11" s="78">
        <f t="shared" si="3"/>
        <v>1.7206303820131708E-2</v>
      </c>
      <c r="AB11" s="134">
        <f>253750/2</f>
        <v>126875</v>
      </c>
      <c r="AD11" s="78">
        <f t="shared" si="0"/>
        <v>9.1806835956904365E-3</v>
      </c>
      <c r="AF11" s="95">
        <f t="shared" si="5"/>
        <v>796950</v>
      </c>
      <c r="AH11" s="78">
        <f t="shared" si="1"/>
        <v>7.314929462170534E-3</v>
      </c>
    </row>
    <row r="12" spans="1:34" x14ac:dyDescent="0.25">
      <c r="E12" t="s">
        <v>80</v>
      </c>
      <c r="H12" s="95">
        <v>38922</v>
      </c>
      <c r="J12" s="78">
        <f>H12/'2011-2012--&gt;IS Jul-Dec'!$G$8</f>
        <v>2.0767183133986802E-3</v>
      </c>
      <c r="K12" s="83"/>
      <c r="L12" s="104">
        <v>38358</v>
      </c>
      <c r="N12" s="78">
        <f>L12/'2011-2012--&gt;IS Jul-Dec'!$M$4</f>
        <v>2.0569917233405656E-3</v>
      </c>
      <c r="P12" s="95">
        <v>16321</v>
      </c>
      <c r="R12" s="78">
        <f t="shared" si="4"/>
        <v>8.7044079898582791E-4</v>
      </c>
      <c r="T12" s="95">
        <v>90934</v>
      </c>
      <c r="V12" s="78">
        <f t="shared" si="2"/>
        <v>4.6515420362637557E-3</v>
      </c>
      <c r="X12" s="95">
        <v>1404</v>
      </c>
      <c r="Z12" s="78">
        <f t="shared" si="3"/>
        <v>1.9040512759381216E-4</v>
      </c>
      <c r="AB12" s="95">
        <v>22987</v>
      </c>
      <c r="AD12" s="78">
        <f t="shared" si="0"/>
        <v>1.6633408773527967E-3</v>
      </c>
      <c r="AF12" s="95">
        <f t="shared" si="5"/>
        <v>208926</v>
      </c>
      <c r="AH12" s="78">
        <f t="shared" si="1"/>
        <v>1.9176597688856779E-3</v>
      </c>
    </row>
    <row r="13" spans="1:34" x14ac:dyDescent="0.25">
      <c r="E13" t="s">
        <v>81</v>
      </c>
      <c r="H13" s="96">
        <v>155155</v>
      </c>
      <c r="J13" s="79">
        <f>H13/'2011-2012--&gt;IS Jul-Dec'!$G$8</f>
        <v>8.2784345592562623E-3</v>
      </c>
      <c r="K13" s="83"/>
      <c r="L13" s="101">
        <v>148321</v>
      </c>
      <c r="N13" s="79">
        <f>L13/'2011-2012--&gt;IS Jul-Dec'!$M$4</f>
        <v>7.9538836591479239E-3</v>
      </c>
      <c r="P13" s="96">
        <v>144600</v>
      </c>
      <c r="R13" s="79">
        <f t="shared" si="4"/>
        <v>7.7118889487991374E-3</v>
      </c>
      <c r="T13" s="96">
        <v>198740</v>
      </c>
      <c r="V13" s="79">
        <f t="shared" si="2"/>
        <v>1.0166136585733157E-2</v>
      </c>
      <c r="X13" s="96">
        <v>158348</v>
      </c>
      <c r="Z13" s="79">
        <f t="shared" si="3"/>
        <v>2.1474552097026329E-2</v>
      </c>
      <c r="AB13" s="96">
        <v>73984</v>
      </c>
      <c r="AD13" s="79">
        <f t="shared" si="0"/>
        <v>5.353487252363045E-3</v>
      </c>
      <c r="AF13" s="96">
        <f t="shared" si="5"/>
        <v>879148</v>
      </c>
      <c r="AH13" s="79">
        <f t="shared" si="1"/>
        <v>8.0693965829829982E-3</v>
      </c>
    </row>
    <row r="14" spans="1:34" s="118" customFormat="1" x14ac:dyDescent="0.25">
      <c r="B14" s="124"/>
      <c r="C14" s="124"/>
      <c r="H14" s="120"/>
      <c r="J14" s="123">
        <f>H14/'2011-2012--&gt;IS Jul-Dec'!$G$8</f>
        <v>0</v>
      </c>
      <c r="K14" s="83"/>
      <c r="L14" s="125"/>
      <c r="N14" s="123"/>
      <c r="P14" s="120"/>
      <c r="R14" s="123"/>
      <c r="T14" s="120"/>
      <c r="V14" s="123">
        <f t="shared" si="2"/>
        <v>0</v>
      </c>
      <c r="X14" s="120"/>
      <c r="Z14" s="123">
        <f t="shared" si="3"/>
        <v>0</v>
      </c>
      <c r="AB14" s="120"/>
      <c r="AD14" s="123">
        <f t="shared" si="0"/>
        <v>0</v>
      </c>
      <c r="AF14" s="120"/>
      <c r="AH14" s="123">
        <f t="shared" si="1"/>
        <v>0</v>
      </c>
    </row>
    <row r="15" spans="1:34" x14ac:dyDescent="0.25">
      <c r="B15" s="82">
        <v>2</v>
      </c>
      <c r="C15" s="82" t="s">
        <v>135</v>
      </c>
      <c r="D15" s="50" t="s">
        <v>134</v>
      </c>
      <c r="H15" s="93">
        <v>5000</v>
      </c>
      <c r="J15" s="74">
        <f>H15/'2011-2012--&gt;IS Jul-Dec'!$G$8</f>
        <v>2.6677949660843225E-4</v>
      </c>
      <c r="K15" s="83">
        <v>2</v>
      </c>
      <c r="L15" s="109">
        <f>SUM(L16)</f>
        <v>237894</v>
      </c>
      <c r="N15" s="74">
        <f>L15/'2011-2012--&gt;IS Jul-Dec'!$M$4</f>
        <v>1.2757338470003142E-2</v>
      </c>
      <c r="P15" s="93">
        <f>SUM(P16)</f>
        <v>86703</v>
      </c>
      <c r="R15" s="74">
        <f t="shared" si="4"/>
        <v>4.6240934130548517E-3</v>
      </c>
      <c r="T15" s="93">
        <f>SUM(T16)</f>
        <v>28000</v>
      </c>
      <c r="V15" s="74">
        <f t="shared" si="2"/>
        <v>1.4322825017637536E-3</v>
      </c>
      <c r="X15" s="93">
        <f>SUM(X16)</f>
        <v>19048</v>
      </c>
      <c r="Z15" s="74">
        <f t="shared" si="3"/>
        <v>2.5832171441644829E-3</v>
      </c>
      <c r="AB15" s="93">
        <f>SUM(AB16)</f>
        <v>16400</v>
      </c>
      <c r="AD15" s="74">
        <f t="shared" si="0"/>
        <v>1.1867051110882613E-3</v>
      </c>
      <c r="AF15" s="93">
        <f>SUM(AF16)</f>
        <v>393045</v>
      </c>
      <c r="AH15" s="74">
        <f t="shared" si="1"/>
        <v>3.6076246319829571E-3</v>
      </c>
    </row>
    <row r="16" spans="1:34" x14ac:dyDescent="0.25">
      <c r="E16" t="s">
        <v>111</v>
      </c>
      <c r="H16" s="97">
        <v>5000</v>
      </c>
      <c r="J16" s="76">
        <f>H16/'2011-2012--&gt;IS Jul-Dec'!$G$8</f>
        <v>2.6677949660843225E-4</v>
      </c>
      <c r="K16" s="83"/>
      <c r="L16" s="110">
        <v>237894</v>
      </c>
      <c r="N16" s="76">
        <f>L16/'2011-2012--&gt;IS Jul-Dec'!$M$4</f>
        <v>1.2757338470003142E-2</v>
      </c>
      <c r="P16" s="97">
        <v>86703</v>
      </c>
      <c r="R16" s="76">
        <f t="shared" si="4"/>
        <v>4.6240934130548517E-3</v>
      </c>
      <c r="T16" s="97">
        <v>28000</v>
      </c>
      <c r="V16" s="76">
        <f t="shared" si="2"/>
        <v>1.4322825017637536E-3</v>
      </c>
      <c r="X16" s="97">
        <v>19048</v>
      </c>
      <c r="Z16" s="76">
        <f t="shared" si="3"/>
        <v>2.5832171441644829E-3</v>
      </c>
      <c r="AB16" s="97">
        <v>16400</v>
      </c>
      <c r="AD16" s="76">
        <f t="shared" si="0"/>
        <v>1.1867051110882613E-3</v>
      </c>
      <c r="AF16" s="97">
        <f t="shared" ref="AF16" si="6">AB16+X16+T16+P16+L16+H16</f>
        <v>393045</v>
      </c>
      <c r="AH16" s="76">
        <f t="shared" si="1"/>
        <v>3.6076246319829571E-3</v>
      </c>
    </row>
    <row r="17" spans="2:34" s="118" customFormat="1" x14ac:dyDescent="0.25">
      <c r="B17" s="124"/>
      <c r="C17" s="124"/>
      <c r="H17" s="120"/>
      <c r="J17" s="123">
        <f>H17/'2011-2012--&gt;IS Jul-Dec'!$G$8</f>
        <v>0</v>
      </c>
      <c r="K17" s="83"/>
      <c r="L17" s="125"/>
      <c r="N17" s="123"/>
      <c r="P17" s="120"/>
      <c r="R17" s="123"/>
      <c r="T17" s="120"/>
      <c r="V17" s="123">
        <f t="shared" si="2"/>
        <v>0</v>
      </c>
      <c r="X17" s="120"/>
      <c r="Z17" s="123">
        <f t="shared" si="3"/>
        <v>0</v>
      </c>
      <c r="AB17" s="120"/>
      <c r="AD17" s="123">
        <f t="shared" si="0"/>
        <v>0</v>
      </c>
      <c r="AF17" s="120"/>
      <c r="AH17" s="123">
        <f t="shared" si="1"/>
        <v>0</v>
      </c>
    </row>
    <row r="18" spans="2:34" x14ac:dyDescent="0.25">
      <c r="B18" s="82">
        <v>3</v>
      </c>
      <c r="C18" s="82" t="s">
        <v>135</v>
      </c>
      <c r="D18" s="50" t="s">
        <v>106</v>
      </c>
      <c r="H18" s="93">
        <f>SUM(H19:H23)</f>
        <v>237181</v>
      </c>
      <c r="J18" s="74">
        <f>H18/'2011-2012--&gt;IS Jul-Dec'!$G$8</f>
        <v>1.2655005557016914E-2</v>
      </c>
      <c r="K18" s="83">
        <v>3</v>
      </c>
      <c r="L18" s="109">
        <f>SUM(L19:L23)</f>
        <v>280025</v>
      </c>
      <c r="N18" s="74">
        <f>L18/'2011-2012--&gt;IS Jul-Dec'!$M$4</f>
        <v>1.5016661643684287E-2</v>
      </c>
      <c r="P18" s="93">
        <f>SUM(P19:P23)</f>
        <v>185452</v>
      </c>
      <c r="R18" s="74">
        <f t="shared" si="4"/>
        <v>9.8906309082482553E-3</v>
      </c>
      <c r="T18" s="93">
        <f>SUM(T19:T23)</f>
        <v>402199</v>
      </c>
      <c r="V18" s="74">
        <f t="shared" si="2"/>
        <v>2.0573663925959999E-2</v>
      </c>
      <c r="X18" s="93">
        <f>SUM(X19:X23)</f>
        <v>408565</v>
      </c>
      <c r="Z18" s="74">
        <f t="shared" si="3"/>
        <v>5.5408027745987083E-2</v>
      </c>
      <c r="AB18" s="93">
        <f>SUM(AB19:AB23)</f>
        <v>119524</v>
      </c>
      <c r="AD18" s="74">
        <f t="shared" si="0"/>
        <v>8.6487647376654493E-3</v>
      </c>
      <c r="AF18" s="93">
        <f>SUM(AF19:AF23)</f>
        <v>1632946</v>
      </c>
      <c r="AH18" s="74">
        <f t="shared" si="1"/>
        <v>1.4988248705105119E-2</v>
      </c>
    </row>
    <row r="19" spans="2:34" x14ac:dyDescent="0.25">
      <c r="E19" t="s">
        <v>66</v>
      </c>
      <c r="H19" s="98">
        <v>16815</v>
      </c>
      <c r="J19" s="77">
        <f>H19/'2011-2012--&gt;IS Jul-Dec'!$G$8</f>
        <v>8.9717944709415771E-4</v>
      </c>
      <c r="K19" s="83"/>
      <c r="L19" s="111">
        <v>27015</v>
      </c>
      <c r="N19" s="77">
        <f>L19/'2011-2012--&gt;IS Jul-Dec'!$M$4</f>
        <v>1.448710344805396E-3</v>
      </c>
      <c r="P19" s="98">
        <v>19428</v>
      </c>
      <c r="R19" s="77">
        <f t="shared" si="4"/>
        <v>1.036145079510855E-3</v>
      </c>
      <c r="T19" s="98">
        <f>24036</f>
        <v>24036</v>
      </c>
      <c r="V19" s="77">
        <f t="shared" si="2"/>
        <v>1.2295122218711992E-3</v>
      </c>
      <c r="X19" s="98">
        <v>18575</v>
      </c>
      <c r="Z19" s="77">
        <f t="shared" si="3"/>
        <v>2.5190706873611545E-3</v>
      </c>
      <c r="AB19" s="98">
        <v>0</v>
      </c>
      <c r="AD19" s="77">
        <f t="shared" si="0"/>
        <v>0</v>
      </c>
      <c r="AF19" s="98">
        <f t="shared" ref="AF19:AF23" si="7">AB19+X19+T19+P19+L19+H19</f>
        <v>105869</v>
      </c>
      <c r="AH19" s="77">
        <f t="shared" si="1"/>
        <v>9.7173507400782021E-4</v>
      </c>
    </row>
    <row r="20" spans="2:34" x14ac:dyDescent="0.25">
      <c r="E20" t="s">
        <v>67</v>
      </c>
      <c r="H20" s="99">
        <v>79590</v>
      </c>
      <c r="J20" s="78">
        <f>H20/'2011-2012--&gt;IS Jul-Dec'!$G$8</f>
        <v>4.2465960270130247E-3</v>
      </c>
      <c r="K20" s="83"/>
      <c r="L20" s="112">
        <v>9500</v>
      </c>
      <c r="N20" s="78">
        <f>L20/'2011-2012--&gt;IS Jul-Dec'!$M$4</f>
        <v>5.0944839073297291E-4</v>
      </c>
      <c r="P20" s="99">
        <f>6510+3000</f>
        <v>9510</v>
      </c>
      <c r="R20" s="78">
        <f t="shared" si="4"/>
        <v>5.071926964251715E-4</v>
      </c>
      <c r="T20" s="99">
        <v>59950</v>
      </c>
      <c r="V20" s="78">
        <f t="shared" si="2"/>
        <v>3.0666191421691797E-3</v>
      </c>
      <c r="X20" s="99">
        <v>0</v>
      </c>
      <c r="Z20" s="78">
        <f t="shared" si="3"/>
        <v>0</v>
      </c>
      <c r="AB20" s="99">
        <v>0</v>
      </c>
      <c r="AD20" s="78">
        <f t="shared" si="0"/>
        <v>0</v>
      </c>
      <c r="AF20" s="99">
        <f t="shared" si="7"/>
        <v>158550</v>
      </c>
      <c r="AH20" s="78">
        <f t="shared" si="1"/>
        <v>1.455275821854744E-3</v>
      </c>
    </row>
    <row r="21" spans="2:34" x14ac:dyDescent="0.25">
      <c r="E21" t="s">
        <v>68</v>
      </c>
      <c r="H21" s="99">
        <v>140238</v>
      </c>
      <c r="J21" s="78">
        <f>H21/'2011-2012--&gt;IS Jul-Dec'!$G$8</f>
        <v>7.4825246090746648E-3</v>
      </c>
      <c r="K21" s="83"/>
      <c r="L21" s="135">
        <v>155100</v>
      </c>
      <c r="N21" s="78">
        <f>L21/'2011-2012--&gt;IS Jul-Dec'!$M$4</f>
        <v>8.3174153055456945E-3</v>
      </c>
      <c r="P21" s="136">
        <v>144900</v>
      </c>
      <c r="R21" s="78">
        <f t="shared" si="4"/>
        <v>7.7278887184024552E-3</v>
      </c>
      <c r="T21" s="99">
        <f>121800+118419</f>
        <v>240219</v>
      </c>
      <c r="V21" s="78">
        <f t="shared" si="2"/>
        <v>1.2287909653256683E-2</v>
      </c>
      <c r="X21" s="99">
        <v>156840</v>
      </c>
      <c r="Z21" s="78">
        <f t="shared" si="3"/>
        <v>2.1270042885907052E-2</v>
      </c>
      <c r="AB21" s="99">
        <v>119354</v>
      </c>
      <c r="AD21" s="78">
        <f t="shared" si="0"/>
        <v>8.63646352614807E-3</v>
      </c>
      <c r="AF21" s="99">
        <f>AB21+X21+T21+P21+L21+H21</f>
        <v>956651</v>
      </c>
      <c r="AH21" s="78">
        <f t="shared" si="1"/>
        <v>8.7807699164500954E-3</v>
      </c>
    </row>
    <row r="22" spans="2:34" x14ac:dyDescent="0.25">
      <c r="E22" t="s">
        <v>121</v>
      </c>
      <c r="H22" s="99">
        <v>338</v>
      </c>
      <c r="J22" s="78">
        <f>H22/'2011-2012--&gt;IS Jul-Dec'!$G$8</f>
        <v>1.8034293970730022E-5</v>
      </c>
      <c r="K22" s="83"/>
      <c r="L22" s="112">
        <v>5210</v>
      </c>
      <c r="N22" s="78">
        <f>L22/'2011-2012--&gt;IS Jul-Dec'!$M$4</f>
        <v>2.7939222270724094E-4</v>
      </c>
      <c r="P22" s="99">
        <v>10689</v>
      </c>
      <c r="R22" s="78">
        <f t="shared" si="4"/>
        <v>5.7007179096621007E-4</v>
      </c>
      <c r="T22" s="99">
        <v>6994</v>
      </c>
      <c r="V22" s="78">
        <f t="shared" si="2"/>
        <v>3.5776370776198903E-4</v>
      </c>
      <c r="X22" s="99">
        <v>17077</v>
      </c>
      <c r="Z22" s="78">
        <f t="shared" si="3"/>
        <v>2.3159176381193237E-3</v>
      </c>
      <c r="AB22" s="99">
        <v>170</v>
      </c>
      <c r="AD22" s="78">
        <f t="shared" si="0"/>
        <v>1.2301211517378319E-5</v>
      </c>
      <c r="AF22" s="99">
        <f>AB22+X22+T22+P22+L22+H22</f>
        <v>40478</v>
      </c>
      <c r="AH22" s="78">
        <f t="shared" si="1"/>
        <v>3.7153361537077469E-4</v>
      </c>
    </row>
    <row r="23" spans="2:34" x14ac:dyDescent="0.25">
      <c r="E23" t="s">
        <v>29</v>
      </c>
      <c r="H23" s="100">
        <v>200</v>
      </c>
      <c r="J23" s="79">
        <f>H23/'2011-2012--&gt;IS Jul-Dec'!$G$8</f>
        <v>1.067117986433729E-5</v>
      </c>
      <c r="K23" s="83"/>
      <c r="L23" s="113">
        <f>119715-9500-27015</f>
        <v>83200</v>
      </c>
      <c r="N23" s="79">
        <f>L23/'2011-2012--&gt;IS Jul-Dec'!$M$4</f>
        <v>4.4616953798929833E-3</v>
      </c>
      <c r="P23" s="100">
        <f>29863-P20-P19</f>
        <v>925</v>
      </c>
      <c r="R23" s="79">
        <f t="shared" si="4"/>
        <v>4.9332622943562946E-5</v>
      </c>
      <c r="T23" s="100">
        <f>395205-T19-T20-T21</f>
        <v>71000</v>
      </c>
      <c r="V23" s="79">
        <f t="shared" si="2"/>
        <v>3.6318592009009468E-3</v>
      </c>
      <c r="X23" s="100">
        <f>408565-X22-X21-X19</f>
        <v>216073</v>
      </c>
      <c r="Z23" s="79">
        <f t="shared" si="3"/>
        <v>2.9302996534599553E-2</v>
      </c>
      <c r="AB23" s="100">
        <v>0</v>
      </c>
      <c r="AD23" s="79">
        <f t="shared" si="0"/>
        <v>0</v>
      </c>
      <c r="AF23" s="100">
        <f t="shared" si="7"/>
        <v>371398</v>
      </c>
      <c r="AH23" s="79">
        <f t="shared" si="1"/>
        <v>3.4089342774216852E-3</v>
      </c>
    </row>
    <row r="24" spans="2:34" s="118" customFormat="1" x14ac:dyDescent="0.25">
      <c r="B24" s="124"/>
      <c r="C24" s="124"/>
      <c r="H24" s="120"/>
      <c r="J24" s="123">
        <f>H24/'2011-2012--&gt;IS Jul-Dec'!$G$8</f>
        <v>0</v>
      </c>
      <c r="K24" s="83"/>
      <c r="L24" s="125"/>
      <c r="N24" s="123"/>
      <c r="P24" s="120"/>
      <c r="R24" s="123"/>
      <c r="T24" s="120"/>
      <c r="V24" s="123">
        <f t="shared" si="2"/>
        <v>0</v>
      </c>
      <c r="X24" s="120"/>
      <c r="Z24" s="123">
        <f t="shared" si="3"/>
        <v>0</v>
      </c>
      <c r="AB24" s="120"/>
      <c r="AD24" s="123">
        <f t="shared" si="0"/>
        <v>0</v>
      </c>
      <c r="AF24" s="120"/>
      <c r="AH24" s="123">
        <f t="shared" si="1"/>
        <v>0</v>
      </c>
    </row>
    <row r="25" spans="2:34" x14ac:dyDescent="0.25">
      <c r="B25" s="82">
        <v>4</v>
      </c>
      <c r="C25" s="82" t="s">
        <v>135</v>
      </c>
      <c r="D25" s="50" t="s">
        <v>82</v>
      </c>
      <c r="H25" s="93">
        <f>SUM(H26:H30)</f>
        <v>729035</v>
      </c>
      <c r="J25" s="74">
        <f>H25/'2011-2012--&gt;IS Jul-Dec'!$G$8</f>
        <v>3.8898318061985682E-2</v>
      </c>
      <c r="K25" s="83">
        <v>4</v>
      </c>
      <c r="L25" s="109">
        <f>SUM(L26:L30)</f>
        <v>894619</v>
      </c>
      <c r="N25" s="74">
        <f>L25/'2011-2012--&gt;IS Jul-Dec'!$M$4</f>
        <v>4.797496945990963E-2</v>
      </c>
      <c r="P25" s="93">
        <f>SUM(P26:P30)</f>
        <v>1214238</v>
      </c>
      <c r="R25" s="74">
        <f t="shared" si="4"/>
        <v>6.4758427478644312E-2</v>
      </c>
      <c r="T25" s="93">
        <f>SUM(T26:T30)</f>
        <v>1027978</v>
      </c>
      <c r="V25" s="74">
        <f t="shared" si="2"/>
        <v>5.2584103628503569E-2</v>
      </c>
      <c r="X25" s="93">
        <f>SUM(X26:X30)</f>
        <v>1107214</v>
      </c>
      <c r="Z25" s="74">
        <f t="shared" si="3"/>
        <v>0.15015614169776006</v>
      </c>
      <c r="AB25" s="93">
        <f>SUM(AB26:AB30)</f>
        <v>949999</v>
      </c>
      <c r="AD25" s="74">
        <f t="shared" si="0"/>
        <v>6.8741992001752267E-2</v>
      </c>
      <c r="AF25" s="93">
        <f>SUM(AF26:AF30)</f>
        <v>5923083</v>
      </c>
      <c r="AH25" s="74">
        <f t="shared" si="1"/>
        <v>5.4365938068362422E-2</v>
      </c>
    </row>
    <row r="26" spans="2:34" x14ac:dyDescent="0.25">
      <c r="E26" t="s">
        <v>83</v>
      </c>
      <c r="H26" s="94">
        <v>346681</v>
      </c>
      <c r="J26" s="77">
        <f>H26/'2011-2012--&gt;IS Jul-Dec'!$G$8</f>
        <v>1.8497476532741582E-2</v>
      </c>
      <c r="K26" s="83"/>
      <c r="L26" s="103">
        <v>546850</v>
      </c>
      <c r="N26" s="77">
        <f>L26/'2011-2012--&gt;IS Jul-Dec'!$M$4</f>
        <v>2.9325458154981707E-2</v>
      </c>
      <c r="P26" s="94">
        <v>756669</v>
      </c>
      <c r="R26" s="77">
        <f t="shared" si="4"/>
        <v>4.0355098886576034E-2</v>
      </c>
      <c r="T26" s="94">
        <v>652731</v>
      </c>
      <c r="V26" s="77">
        <f t="shared" si="2"/>
        <v>3.3389113916384168E-2</v>
      </c>
      <c r="X26" s="94">
        <v>753268</v>
      </c>
      <c r="Z26" s="77">
        <f t="shared" si="3"/>
        <v>0.10215533451021061</v>
      </c>
      <c r="AB26" s="137">
        <f>1973626-1547912</f>
        <v>425714</v>
      </c>
      <c r="AD26" s="77">
        <f t="shared" si="0"/>
        <v>3.0804693881818789E-2</v>
      </c>
      <c r="AF26" s="94">
        <f t="shared" ref="AF26:AF30" si="8">AB26+X26+T26+P26+L26+H26</f>
        <v>3481913</v>
      </c>
      <c r="AH26" s="77">
        <f t="shared" si="1"/>
        <v>3.1959279739525177E-2</v>
      </c>
    </row>
    <row r="27" spans="2:34" x14ac:dyDescent="0.25">
      <c r="E27" t="s">
        <v>84</v>
      </c>
      <c r="H27" s="95">
        <v>50244</v>
      </c>
      <c r="J27" s="78">
        <f>H27/'2011-2012--&gt;IS Jul-Dec'!$G$8</f>
        <v>2.6808138055188142E-3</v>
      </c>
      <c r="K27" s="83"/>
      <c r="L27" s="104">
        <v>72334</v>
      </c>
      <c r="N27" s="78">
        <f>L27/'2011-2012--&gt;IS Jul-Dec'!$M$4</f>
        <v>3.8789936731872484E-3</v>
      </c>
      <c r="P27" s="95">
        <v>267375</v>
      </c>
      <c r="R27" s="78">
        <f t="shared" si="4"/>
        <v>1.4259794658956911E-2</v>
      </c>
      <c r="T27" s="95">
        <v>92417</v>
      </c>
      <c r="V27" s="78">
        <f t="shared" si="2"/>
        <v>4.7274018559107433E-3</v>
      </c>
      <c r="X27" s="95">
        <v>167416</v>
      </c>
      <c r="Z27" s="78">
        <f t="shared" si="3"/>
        <v>2.2704319687496907E-2</v>
      </c>
      <c r="AB27" s="95">
        <v>109746</v>
      </c>
      <c r="AD27" s="78">
        <f t="shared" si="0"/>
        <v>7.9412279952129471E-3</v>
      </c>
      <c r="AF27" s="95">
        <f t="shared" si="8"/>
        <v>759532</v>
      </c>
      <c r="AH27" s="78">
        <f t="shared" si="1"/>
        <v>6.9714825324817238E-3</v>
      </c>
    </row>
    <row r="28" spans="2:34" x14ac:dyDescent="0.25">
      <c r="E28" t="s">
        <v>85</v>
      </c>
      <c r="H28" s="95">
        <v>9500</v>
      </c>
      <c r="J28" s="78">
        <f>H28/'2011-2012--&gt;IS Jul-Dec'!$G$8</f>
        <v>5.0688104355602124E-4</v>
      </c>
      <c r="K28" s="83"/>
      <c r="L28" s="104">
        <v>6490</v>
      </c>
      <c r="N28" s="78">
        <f>L28/'2011-2012--&gt;IS Jul-Dec'!$M$4</f>
        <v>3.4803369009020989E-4</v>
      </c>
      <c r="P28" s="95">
        <v>4830</v>
      </c>
      <c r="R28" s="78">
        <f t="shared" si="4"/>
        <v>2.5759629061341519E-4</v>
      </c>
      <c r="T28" s="95">
        <v>5170</v>
      </c>
      <c r="V28" s="78">
        <f t="shared" si="2"/>
        <v>2.6446073336137878E-4</v>
      </c>
      <c r="X28" s="95">
        <v>7460</v>
      </c>
      <c r="Z28" s="78">
        <f t="shared" si="3"/>
        <v>1.0116967605768082E-3</v>
      </c>
      <c r="AB28" s="95">
        <v>3480</v>
      </c>
      <c r="AD28" s="78">
        <f t="shared" si="0"/>
        <v>2.5181303576750911E-4</v>
      </c>
      <c r="AF28" s="95">
        <f t="shared" si="8"/>
        <v>36930</v>
      </c>
      <c r="AH28" s="78">
        <f t="shared" si="1"/>
        <v>3.3896774582841814E-4</v>
      </c>
    </row>
    <row r="29" spans="2:34" x14ac:dyDescent="0.25">
      <c r="E29" t="s">
        <v>91</v>
      </c>
      <c r="H29" s="95">
        <v>51795</v>
      </c>
      <c r="J29" s="78">
        <f>H29/'2011-2012--&gt;IS Jul-Dec'!$G$8</f>
        <v>2.76356880536675E-3</v>
      </c>
      <c r="K29" s="83"/>
      <c r="L29" s="104">
        <v>58074</v>
      </c>
      <c r="N29" s="78">
        <f>L29/'2011-2012--&gt;IS Jul-Dec'!$M$4</f>
        <v>3.1142848256238598E-3</v>
      </c>
      <c r="P29" s="95">
        <v>103929</v>
      </c>
      <c r="R29" s="78">
        <f t="shared" si="4"/>
        <v>5.5428001836773551E-3</v>
      </c>
      <c r="T29" s="95">
        <v>41830</v>
      </c>
      <c r="V29" s="78">
        <f t="shared" si="2"/>
        <v>2.1397277517420646E-3</v>
      </c>
      <c r="X29" s="95">
        <v>80296</v>
      </c>
      <c r="Z29" s="78">
        <f t="shared" si="3"/>
        <v>1.0889437411162921E-2</v>
      </c>
      <c r="AB29" s="95">
        <v>87257</v>
      </c>
      <c r="AD29" s="78">
        <f t="shared" si="0"/>
        <v>6.3139224315992941E-3</v>
      </c>
      <c r="AF29" s="95">
        <f t="shared" si="8"/>
        <v>423181</v>
      </c>
      <c r="AH29" s="78">
        <f t="shared" si="1"/>
        <v>3.8842325926730522E-3</v>
      </c>
    </row>
    <row r="30" spans="2:34" x14ac:dyDescent="0.25">
      <c r="E30" t="s">
        <v>87</v>
      </c>
      <c r="H30" s="101">
        <v>270815</v>
      </c>
      <c r="J30" s="79">
        <f>H30/'2011-2012--&gt;IS Jul-Dec'!$G$8</f>
        <v>1.4449577874802517E-2</v>
      </c>
      <c r="K30" s="83"/>
      <c r="L30" s="101">
        <f>213871-3000</f>
        <v>210871</v>
      </c>
      <c r="N30" s="79">
        <f>L30/'2011-2012--&gt;IS Jul-Dec'!$M$4</f>
        <v>1.1308199116026603E-2</v>
      </c>
      <c r="P30" s="101">
        <f>88334-P48</f>
        <v>81435</v>
      </c>
      <c r="R30" s="79">
        <f t="shared" si="4"/>
        <v>4.343137458820593E-3</v>
      </c>
      <c r="T30" s="101">
        <f>239832-4002</f>
        <v>235830</v>
      </c>
      <c r="V30" s="79">
        <f t="shared" si="2"/>
        <v>1.2063399371105215E-2</v>
      </c>
      <c r="X30" s="101">
        <f>101074-2300</f>
        <v>98774</v>
      </c>
      <c r="Z30" s="79">
        <f t="shared" si="3"/>
        <v>1.3395353328312822E-2</v>
      </c>
      <c r="AB30" s="101">
        <v>323802</v>
      </c>
      <c r="AD30" s="79">
        <f t="shared" si="0"/>
        <v>2.3430334657353735E-2</v>
      </c>
      <c r="AF30" s="101">
        <f t="shared" si="8"/>
        <v>1221527</v>
      </c>
      <c r="AH30" s="79">
        <f t="shared" si="1"/>
        <v>1.1211975457854051E-2</v>
      </c>
    </row>
    <row r="31" spans="2:34" s="118" customFormat="1" x14ac:dyDescent="0.25">
      <c r="B31" s="124"/>
      <c r="C31" s="124"/>
      <c r="H31" s="120"/>
      <c r="J31" s="123">
        <f>H31/'2011-2012--&gt;IS Jul-Dec'!$G$8</f>
        <v>0</v>
      </c>
      <c r="K31" s="83"/>
      <c r="L31" s="125"/>
      <c r="N31" s="123"/>
      <c r="P31" s="120"/>
      <c r="R31" s="123"/>
      <c r="T31" s="120"/>
      <c r="V31" s="123">
        <f t="shared" si="2"/>
        <v>0</v>
      </c>
      <c r="X31" s="120"/>
      <c r="Z31" s="123">
        <f t="shared" si="3"/>
        <v>0</v>
      </c>
      <c r="AB31" s="120"/>
      <c r="AD31" s="123">
        <f t="shared" si="0"/>
        <v>0</v>
      </c>
      <c r="AF31" s="120"/>
      <c r="AH31" s="123">
        <f t="shared" si="1"/>
        <v>0</v>
      </c>
    </row>
    <row r="32" spans="2:34" x14ac:dyDescent="0.25">
      <c r="B32" s="82">
        <v>5</v>
      </c>
      <c r="C32" s="82" t="s">
        <v>135</v>
      </c>
      <c r="D32" s="50" t="s">
        <v>88</v>
      </c>
      <c r="H32" s="102">
        <f>SUM(H33:H35)</f>
        <v>73736</v>
      </c>
      <c r="J32" s="74">
        <f>H32/'2011-2012--&gt;IS Jul-Dec'!$G$8</f>
        <v>3.9342505923838722E-3</v>
      </c>
      <c r="K32" s="83">
        <v>5</v>
      </c>
      <c r="L32" s="102">
        <f>SUM(L33:L35)</f>
        <v>141721</v>
      </c>
      <c r="N32" s="74">
        <f>L32/'2011-2012--&gt;IS Jul-Dec'!$M$4</f>
        <v>7.5999510929544893E-3</v>
      </c>
      <c r="P32" s="102">
        <f>SUM(P33:P35)</f>
        <v>257066</v>
      </c>
      <c r="R32" s="74">
        <f t="shared" si="4"/>
        <v>1.3709989242821571E-2</v>
      </c>
      <c r="T32" s="102">
        <f>SUM(T33:T35)</f>
        <v>217420</v>
      </c>
      <c r="V32" s="74">
        <f t="shared" si="2"/>
        <v>1.1121673626195547E-2</v>
      </c>
      <c r="X32" s="102">
        <f>SUM(X33:X35)</f>
        <v>216600</v>
      </c>
      <c r="Z32" s="74">
        <f t="shared" si="3"/>
        <v>2.9374466265541105E-2</v>
      </c>
      <c r="AB32" s="102">
        <f>SUM(AB33:AB35)</f>
        <v>222709</v>
      </c>
      <c r="AD32" s="74">
        <f t="shared" si="0"/>
        <v>1.6115238328375341E-2</v>
      </c>
      <c r="AF32" s="102">
        <f>SUM(AF33:AF35)</f>
        <v>1129252</v>
      </c>
      <c r="AH32" s="74">
        <f t="shared" si="1"/>
        <v>1.0365015026055587E-2</v>
      </c>
    </row>
    <row r="33" spans="2:34" x14ac:dyDescent="0.25">
      <c r="E33" t="s">
        <v>33</v>
      </c>
      <c r="H33" s="103">
        <v>49178</v>
      </c>
      <c r="J33" s="77">
        <f>H33/'2011-2012--&gt;IS Jul-Dec'!$G$8</f>
        <v>2.6239364168418964E-3</v>
      </c>
      <c r="K33" s="83"/>
      <c r="L33" s="103">
        <v>96639</v>
      </c>
      <c r="N33" s="77">
        <f>L33/'2011-2012--&gt;IS Jul-Dec'!$M$4</f>
        <v>5.1823771612677649E-3</v>
      </c>
      <c r="P33" s="103">
        <v>127802</v>
      </c>
      <c r="R33" s="77">
        <f t="shared" si="4"/>
        <v>6.8160085161440339E-3</v>
      </c>
      <c r="T33" s="103">
        <v>136712</v>
      </c>
      <c r="V33" s="77">
        <f t="shared" si="2"/>
        <v>6.9932216207545103E-3</v>
      </c>
      <c r="X33" s="103">
        <v>157699</v>
      </c>
      <c r="Z33" s="77">
        <f t="shared" si="3"/>
        <v>2.1386537191179902E-2</v>
      </c>
      <c r="AB33" s="103">
        <v>180059</v>
      </c>
      <c r="AD33" s="77">
        <f t="shared" si="0"/>
        <v>1.302908143886837E-2</v>
      </c>
      <c r="AF33" s="103">
        <f t="shared" ref="AF33:AF35" si="9">AB33+X33+T33+P33+L33+H33</f>
        <v>748089</v>
      </c>
      <c r="AH33" s="77">
        <f t="shared" si="1"/>
        <v>6.8664511781488082E-3</v>
      </c>
    </row>
    <row r="34" spans="2:34" x14ac:dyDescent="0.25">
      <c r="E34" t="s">
        <v>89</v>
      </c>
      <c r="H34" s="104">
        <v>2865</v>
      </c>
      <c r="J34" s="78">
        <f>H34/'2011-2012--&gt;IS Jul-Dec'!$G$8</f>
        <v>1.5286465155663168E-4</v>
      </c>
      <c r="K34" s="83"/>
      <c r="L34" s="104">
        <v>7427</v>
      </c>
      <c r="N34" s="78">
        <f>L34/'2011-2012--&gt;IS Jul-Dec'!$M$4</f>
        <v>3.9828138926039893E-4</v>
      </c>
      <c r="P34" s="104">
        <v>63280</v>
      </c>
      <c r="R34" s="78">
        <f t="shared" si="4"/>
        <v>3.3748847349931495E-3</v>
      </c>
      <c r="T34" s="104">
        <v>42130</v>
      </c>
      <c r="V34" s="78">
        <f t="shared" si="2"/>
        <v>2.1550736356895335E-3</v>
      </c>
      <c r="X34" s="104">
        <v>0</v>
      </c>
      <c r="Z34" s="78">
        <f t="shared" si="3"/>
        <v>0</v>
      </c>
      <c r="AB34" s="104">
        <v>0</v>
      </c>
      <c r="AD34" s="78">
        <f t="shared" si="0"/>
        <v>0</v>
      </c>
      <c r="AF34" s="104">
        <f t="shared" si="9"/>
        <v>115702</v>
      </c>
      <c r="AH34" s="78">
        <f t="shared" si="1"/>
        <v>1.0619887930636239E-3</v>
      </c>
    </row>
    <row r="35" spans="2:34" x14ac:dyDescent="0.25">
      <c r="E35" t="s">
        <v>90</v>
      </c>
      <c r="H35" s="101">
        <v>21693</v>
      </c>
      <c r="J35" s="79">
        <f>H35/'2011-2012--&gt;IS Jul-Dec'!$G$8</f>
        <v>1.1574495239853441E-3</v>
      </c>
      <c r="K35" s="83"/>
      <c r="L35" s="101">
        <v>37655</v>
      </c>
      <c r="N35" s="79">
        <f>L35/'2011-2012--&gt;IS Jul-Dec'!$M$4</f>
        <v>2.0192925424263259E-3</v>
      </c>
      <c r="P35" s="101">
        <v>65984</v>
      </c>
      <c r="R35" s="79">
        <f t="shared" si="4"/>
        <v>3.5190959916843864E-3</v>
      </c>
      <c r="T35" s="101">
        <v>38578</v>
      </c>
      <c r="V35" s="79">
        <f t="shared" si="2"/>
        <v>1.9733783697515029E-3</v>
      </c>
      <c r="X35" s="101">
        <v>58901</v>
      </c>
      <c r="Z35" s="79">
        <f t="shared" si="3"/>
        <v>7.9879290743612042E-3</v>
      </c>
      <c r="AB35" s="101">
        <v>42650</v>
      </c>
      <c r="AD35" s="79">
        <f t="shared" si="0"/>
        <v>3.0861568895069725E-3</v>
      </c>
      <c r="AF35" s="101">
        <f t="shared" si="9"/>
        <v>265461</v>
      </c>
      <c r="AH35" s="79">
        <f t="shared" si="1"/>
        <v>2.4365750548431546E-3</v>
      </c>
    </row>
    <row r="36" spans="2:34" s="118" customFormat="1" x14ac:dyDescent="0.25">
      <c r="B36" s="124"/>
      <c r="C36" s="124"/>
      <c r="H36" s="126"/>
      <c r="J36" s="123">
        <f>H36/'2011-2012--&gt;IS Jul-Dec'!$G$8</f>
        <v>0</v>
      </c>
      <c r="K36" s="83"/>
      <c r="L36" s="126"/>
      <c r="N36" s="123"/>
      <c r="P36" s="126"/>
      <c r="R36" s="123"/>
      <c r="T36" s="126"/>
      <c r="V36" s="123">
        <f t="shared" si="2"/>
        <v>0</v>
      </c>
      <c r="X36" s="126"/>
      <c r="Z36" s="123">
        <f t="shared" si="3"/>
        <v>0</v>
      </c>
      <c r="AB36" s="126"/>
      <c r="AD36" s="123">
        <f t="shared" si="0"/>
        <v>0</v>
      </c>
      <c r="AF36" s="126"/>
      <c r="AH36" s="123">
        <f t="shared" si="1"/>
        <v>0</v>
      </c>
    </row>
    <row r="37" spans="2:34" x14ac:dyDescent="0.25">
      <c r="B37" s="82">
        <v>6</v>
      </c>
      <c r="C37" s="82" t="s">
        <v>135</v>
      </c>
      <c r="D37" s="50" t="s">
        <v>92</v>
      </c>
      <c r="H37" s="102">
        <f>SUM(H38:H45)</f>
        <v>125424</v>
      </c>
      <c r="J37" s="74">
        <f>H37/'2011-2012--&gt;IS Jul-Dec'!$G$8</f>
        <v>6.6921103165232011E-3</v>
      </c>
      <c r="K37" s="83">
        <v>6</v>
      </c>
      <c r="L37" s="102">
        <f>SUM(L38:L45)</f>
        <v>86267</v>
      </c>
      <c r="N37" s="74">
        <f>L37/'2011-2012--&gt;IS Jul-Dec'!$M$4</f>
        <v>4.6261667708801446E-3</v>
      </c>
      <c r="P37" s="102">
        <f>SUM(P38:P45)</f>
        <v>413263</v>
      </c>
      <c r="R37" s="74">
        <f t="shared" si="4"/>
        <v>2.2040375951919627E-2</v>
      </c>
      <c r="T37" s="102">
        <f>SUM(T38:T45)</f>
        <v>96516</v>
      </c>
      <c r="V37" s="74">
        <f t="shared" si="2"/>
        <v>4.9370777835796584E-3</v>
      </c>
      <c r="X37" s="102">
        <f>SUM(X38:X45)</f>
        <v>173436</v>
      </c>
      <c r="Z37" s="74">
        <f t="shared" si="3"/>
        <v>2.3520729137721085E-2</v>
      </c>
      <c r="AB37" s="102">
        <f>SUM(AB38:AB45)</f>
        <v>130189</v>
      </c>
      <c r="AD37" s="74">
        <f t="shared" si="0"/>
        <v>9.420484860211565E-3</v>
      </c>
      <c r="AF37" s="102">
        <f>SUM(AF38:AF45)</f>
        <v>1025095</v>
      </c>
      <c r="AH37" s="74">
        <f t="shared" si="1"/>
        <v>9.4089938101809441E-3</v>
      </c>
    </row>
    <row r="38" spans="2:34" x14ac:dyDescent="0.25">
      <c r="E38" t="s">
        <v>93</v>
      </c>
      <c r="H38" s="103">
        <v>2762</v>
      </c>
      <c r="J38" s="77">
        <f>H38/'2011-2012--&gt;IS Jul-Dec'!$G$8</f>
        <v>1.4736899392649798E-4</v>
      </c>
      <c r="K38" s="83"/>
      <c r="L38" s="103">
        <v>0</v>
      </c>
      <c r="N38" s="77">
        <f>L38/'2011-2012--&gt;IS Jul-Dec'!$M$4</f>
        <v>0</v>
      </c>
      <c r="P38" s="103">
        <v>350</v>
      </c>
      <c r="R38" s="77">
        <f t="shared" si="4"/>
        <v>1.8666397870537332E-5</v>
      </c>
      <c r="T38" s="103">
        <v>0</v>
      </c>
      <c r="V38" s="77">
        <f t="shared" si="2"/>
        <v>0</v>
      </c>
      <c r="X38" s="103">
        <v>8600</v>
      </c>
      <c r="Z38" s="77">
        <f t="shared" si="3"/>
        <v>1.1662992146059719E-3</v>
      </c>
      <c r="AB38" s="103">
        <v>0</v>
      </c>
      <c r="AD38" s="77">
        <f t="shared" si="0"/>
        <v>0</v>
      </c>
      <c r="AF38" s="103">
        <f t="shared" ref="AF38:AF45" si="10">AB38+X38+T38+P38+L38+H38</f>
        <v>11712</v>
      </c>
      <c r="AH38" s="77">
        <f t="shared" si="1"/>
        <v>1.0750041264940247E-4</v>
      </c>
    </row>
    <row r="39" spans="2:34" x14ac:dyDescent="0.25">
      <c r="E39" t="s">
        <v>42</v>
      </c>
      <c r="H39" s="138">
        <v>30000</v>
      </c>
      <c r="J39" s="78">
        <f>H39/'2011-2012--&gt;IS Jul-Dec'!$G$8</f>
        <v>1.6006769796505936E-3</v>
      </c>
      <c r="K39" s="83"/>
      <c r="L39" s="104">
        <f>30000+18020+160</f>
        <v>48180</v>
      </c>
      <c r="N39" s="78">
        <f>L39/'2011-2012--&gt;IS Jul-Dec'!$M$4</f>
        <v>2.5837077332120668E-3</v>
      </c>
      <c r="P39" s="104">
        <f>30000+61558</f>
        <v>91558</v>
      </c>
      <c r="R39" s="78">
        <f t="shared" si="4"/>
        <v>4.8830230178018774E-3</v>
      </c>
      <c r="T39" s="104">
        <f>30000+250</f>
        <v>30250</v>
      </c>
      <c r="V39" s="78">
        <f t="shared" si="2"/>
        <v>1.5473766313697694E-3</v>
      </c>
      <c r="X39" s="104">
        <f>11100</f>
        <v>11100</v>
      </c>
      <c r="Z39" s="78">
        <f t="shared" si="3"/>
        <v>1.505339683968173E-3</v>
      </c>
      <c r="AB39" s="104">
        <f>60000</f>
        <v>60000</v>
      </c>
      <c r="AD39" s="78">
        <f t="shared" si="0"/>
        <v>4.3416040649570543E-3</v>
      </c>
      <c r="AF39" s="104">
        <f t="shared" si="10"/>
        <v>271088</v>
      </c>
      <c r="AH39" s="78">
        <f t="shared" si="1"/>
        <v>2.4882233490694343E-3</v>
      </c>
    </row>
    <row r="40" spans="2:34" x14ac:dyDescent="0.25">
      <c r="E40" t="s">
        <v>32</v>
      </c>
      <c r="H40" s="104">
        <f>18575-2275</f>
        <v>16300</v>
      </c>
      <c r="J40" s="78">
        <f>H40/'2011-2012--&gt;IS Jul-Dec'!$G$8</f>
        <v>8.6970115894348919E-4</v>
      </c>
      <c r="K40" s="83"/>
      <c r="L40" s="104">
        <v>2300</v>
      </c>
      <c r="N40" s="78">
        <f>L40/'2011-2012--&gt;IS Jul-Dec'!$M$4</f>
        <v>1.2334013670377237E-4</v>
      </c>
      <c r="P40" s="104">
        <v>166640</v>
      </c>
      <c r="R40" s="78">
        <f t="shared" si="4"/>
        <v>8.8873386889895458E-3</v>
      </c>
      <c r="T40" s="104">
        <v>0</v>
      </c>
      <c r="V40" s="78">
        <f t="shared" si="2"/>
        <v>0</v>
      </c>
      <c r="X40" s="104">
        <v>0</v>
      </c>
      <c r="Z40" s="78">
        <f t="shared" si="3"/>
        <v>0</v>
      </c>
      <c r="AB40" s="104">
        <v>7570</v>
      </c>
      <c r="AD40" s="78">
        <f t="shared" si="0"/>
        <v>5.4776571286208162E-4</v>
      </c>
      <c r="AF40" s="104">
        <f t="shared" si="10"/>
        <v>192810</v>
      </c>
      <c r="AH40" s="78">
        <f t="shared" si="1"/>
        <v>1.76973655762733E-3</v>
      </c>
    </row>
    <row r="41" spans="2:34" x14ac:dyDescent="0.25">
      <c r="E41" t="s">
        <v>137</v>
      </c>
      <c r="H41" s="104">
        <v>0</v>
      </c>
      <c r="J41" s="78">
        <f>H41/'2011-2012--&gt;IS Jul-Dec'!$G$8</f>
        <v>0</v>
      </c>
      <c r="K41" s="83"/>
      <c r="L41" s="104">
        <v>2830</v>
      </c>
      <c r="N41" s="78">
        <f>L41/'2011-2012--&gt;IS Jul-Dec'!$M$4</f>
        <v>1.5176199429203297E-4</v>
      </c>
      <c r="P41" s="104">
        <v>19545</v>
      </c>
      <c r="R41" s="78">
        <f t="shared" si="4"/>
        <v>1.0423849896561488E-3</v>
      </c>
      <c r="T41" s="104">
        <f>47676-T42-T43-2700-5100</f>
        <v>10498</v>
      </c>
      <c r="V41" s="78">
        <f t="shared" si="2"/>
        <v>5.3700363226842445E-4</v>
      </c>
      <c r="X41" s="104">
        <v>3155</v>
      </c>
      <c r="Z41" s="78">
        <f t="shared" si="3"/>
        <v>4.2786907233509781E-4</v>
      </c>
      <c r="AB41" s="104">
        <v>6500</v>
      </c>
      <c r="AD41" s="78">
        <f t="shared" si="0"/>
        <v>4.7034044037034753E-4</v>
      </c>
      <c r="AF41" s="104">
        <f t="shared" si="10"/>
        <v>42528</v>
      </c>
      <c r="AH41" s="78">
        <f t="shared" si="1"/>
        <v>3.9034985904660074E-4</v>
      </c>
    </row>
    <row r="42" spans="2:34" x14ac:dyDescent="0.25">
      <c r="E42" t="s">
        <v>33</v>
      </c>
      <c r="H42" s="104">
        <v>11350</v>
      </c>
      <c r="J42" s="78">
        <f>H42/'2011-2012--&gt;IS Jul-Dec'!$G$8</f>
        <v>6.055894573011412E-4</v>
      </c>
      <c r="K42" s="83"/>
      <c r="L42" s="104">
        <f>12290-L41-L40-L43</f>
        <v>3100</v>
      </c>
      <c r="N42" s="78">
        <f>L42/'2011-2012--&gt;IS Jul-Dec'!$M$4</f>
        <v>1.6624105381812801E-4</v>
      </c>
      <c r="P42" s="104">
        <f>311785-P45-P43-P41-P40</f>
        <v>109302</v>
      </c>
      <c r="R42" s="78">
        <f t="shared" si="4"/>
        <v>5.829356057272775E-3</v>
      </c>
      <c r="T42" s="104">
        <v>27504</v>
      </c>
      <c r="V42" s="78">
        <f t="shared" si="2"/>
        <v>1.4069106403039385E-3</v>
      </c>
      <c r="X42" s="104">
        <f>127096-X38-X41-X43-X45+700</f>
        <v>42574</v>
      </c>
      <c r="Z42" s="78">
        <f t="shared" si="3"/>
        <v>5.7737235770505407E-3</v>
      </c>
      <c r="AB42" s="104">
        <f>44521-AB40-AB43-AB45+360</f>
        <v>18316</v>
      </c>
      <c r="AD42" s="78">
        <f t="shared" si="0"/>
        <v>1.3253470008958901E-3</v>
      </c>
      <c r="AF42" s="104">
        <f t="shared" si="10"/>
        <v>212146</v>
      </c>
      <c r="AH42" s="78">
        <f t="shared" si="1"/>
        <v>1.9472150394399023E-3</v>
      </c>
    </row>
    <row r="43" spans="2:34" x14ac:dyDescent="0.25">
      <c r="E43" t="s">
        <v>139</v>
      </c>
      <c r="H43" s="104">
        <v>0</v>
      </c>
      <c r="J43" s="78">
        <f>H43/'2011-2012--&gt;IS Jul-Dec'!$G$8</f>
        <v>0</v>
      </c>
      <c r="K43" s="83"/>
      <c r="L43" s="104">
        <v>4060</v>
      </c>
      <c r="N43" s="78">
        <f>L43/'2011-2012--&gt;IS Jul-Dec'!$M$4</f>
        <v>2.1772215435535472E-4</v>
      </c>
      <c r="P43" s="104">
        <v>8639</v>
      </c>
      <c r="R43" s="78">
        <f t="shared" si="4"/>
        <v>4.6074003201020569E-4</v>
      </c>
      <c r="T43" s="104">
        <v>1874</v>
      </c>
      <c r="V43" s="78">
        <f t="shared" si="2"/>
        <v>9.5860621725188361E-5</v>
      </c>
      <c r="X43" s="104">
        <v>27905</v>
      </c>
      <c r="Z43" s="78">
        <f t="shared" si="3"/>
        <v>3.7843697190208889E-3</v>
      </c>
      <c r="AB43" s="104">
        <v>14150</v>
      </c>
      <c r="AD43" s="78">
        <f t="shared" si="0"/>
        <v>1.0238949586523719E-3</v>
      </c>
      <c r="AF43" s="104">
        <f t="shared" si="10"/>
        <v>56628</v>
      </c>
      <c r="AH43" s="78">
        <f t="shared" si="1"/>
        <v>5.1976890091447766E-4</v>
      </c>
    </row>
    <row r="44" spans="2:34" x14ac:dyDescent="0.25">
      <c r="E44" t="s">
        <v>94</v>
      </c>
      <c r="H44" s="104">
        <v>57512</v>
      </c>
      <c r="J44" s="78">
        <f>H44/'2011-2012--&gt;IS Jul-Dec'!$G$8</f>
        <v>3.0686044817888314E-3</v>
      </c>
      <c r="K44" s="83"/>
      <c r="L44" s="104">
        <v>25797</v>
      </c>
      <c r="N44" s="78">
        <f>L44/'2011-2012--&gt;IS Jul-Dec'!$M$4</f>
        <v>1.3833936984987897E-3</v>
      </c>
      <c r="P44" s="104">
        <v>9570</v>
      </c>
      <c r="R44" s="78">
        <f t="shared" si="4"/>
        <v>5.1039265034583505E-4</v>
      </c>
      <c r="T44" s="104">
        <v>18440</v>
      </c>
      <c r="V44" s="78">
        <f t="shared" si="2"/>
        <v>9.432603333044149E-4</v>
      </c>
      <c r="X44" s="104">
        <v>34540</v>
      </c>
      <c r="Z44" s="78">
        <f t="shared" si="3"/>
        <v>4.6841831247081706E-3</v>
      </c>
      <c r="AB44" s="104">
        <v>18808</v>
      </c>
      <c r="AD44" s="78">
        <f t="shared" si="0"/>
        <v>1.3609481542285378E-3</v>
      </c>
      <c r="AF44" s="104">
        <f t="shared" si="10"/>
        <v>164667</v>
      </c>
      <c r="AH44" s="78">
        <f t="shared" si="1"/>
        <v>1.5114216572523187E-3</v>
      </c>
    </row>
    <row r="45" spans="2:34" x14ac:dyDescent="0.25">
      <c r="E45" t="s">
        <v>34</v>
      </c>
      <c r="H45" s="101">
        <v>7500</v>
      </c>
      <c r="J45" s="79">
        <f>H45/'2011-2012--&gt;IS Jul-Dec'!$G$8</f>
        <v>4.001692449126484E-4</v>
      </c>
      <c r="K45" s="83"/>
      <c r="L45" s="101">
        <v>0</v>
      </c>
      <c r="N45" s="79">
        <f>L45/'2011-2012--&gt;IS Jul-Dec'!$M$4</f>
        <v>0</v>
      </c>
      <c r="P45" s="101">
        <v>7659</v>
      </c>
      <c r="R45" s="79">
        <f t="shared" si="4"/>
        <v>4.0847411797270119E-4</v>
      </c>
      <c r="T45" s="101">
        <f>150+2700+5100</f>
        <v>7950</v>
      </c>
      <c r="V45" s="79">
        <f t="shared" si="2"/>
        <v>4.066659246079229E-4</v>
      </c>
      <c r="X45" s="101">
        <f>700+48962-4100</f>
        <v>45562</v>
      </c>
      <c r="Z45" s="79">
        <f t="shared" si="3"/>
        <v>6.1789447460322434E-3</v>
      </c>
      <c r="AB45" s="101">
        <f>360+4485</f>
        <v>4845</v>
      </c>
      <c r="AD45" s="79">
        <f t="shared" si="0"/>
        <v>3.5058452824528213E-4</v>
      </c>
      <c r="AF45" s="101">
        <f t="shared" si="10"/>
        <v>73516</v>
      </c>
      <c r="AH45" s="79">
        <f t="shared" si="1"/>
        <v>6.7477803418147808E-4</v>
      </c>
    </row>
    <row r="46" spans="2:34" s="118" customFormat="1" x14ac:dyDescent="0.25">
      <c r="B46" s="124"/>
      <c r="C46" s="124"/>
      <c r="H46" s="126"/>
      <c r="J46" s="123">
        <f>H46/'2011-2012--&gt;IS Jul-Dec'!$G$8</f>
        <v>0</v>
      </c>
      <c r="K46" s="83"/>
      <c r="L46" s="126"/>
      <c r="N46" s="123"/>
      <c r="P46" s="126"/>
      <c r="R46" s="123"/>
      <c r="T46" s="126"/>
      <c r="V46" s="123">
        <f t="shared" si="2"/>
        <v>0</v>
      </c>
      <c r="X46" s="126"/>
      <c r="Z46" s="123">
        <f t="shared" si="3"/>
        <v>0</v>
      </c>
      <c r="AB46" s="126"/>
      <c r="AD46" s="123">
        <f t="shared" si="0"/>
        <v>0</v>
      </c>
      <c r="AF46" s="126"/>
      <c r="AH46" s="123">
        <f t="shared" si="1"/>
        <v>0</v>
      </c>
    </row>
    <row r="47" spans="2:34" x14ac:dyDescent="0.25">
      <c r="B47" s="82">
        <v>7</v>
      </c>
      <c r="C47" s="82" t="s">
        <v>135</v>
      </c>
      <c r="D47" s="50" t="s">
        <v>96</v>
      </c>
      <c r="H47" s="93">
        <f>SUM(H48:H51)</f>
        <v>302954</v>
      </c>
      <c r="J47" s="74">
        <f>H47/'2011-2012--&gt;IS Jul-Dec'!$G$8</f>
        <v>1.6164383123102196E-2</v>
      </c>
      <c r="K47" s="83">
        <v>7</v>
      </c>
      <c r="L47" s="109">
        <f>SUM(L48:L51)</f>
        <v>298021</v>
      </c>
      <c r="N47" s="74">
        <f>L47/'2011-2012--&gt;IS Jul-Dec'!$M$4</f>
        <v>1.5981717774171716E-2</v>
      </c>
      <c r="P47" s="93">
        <f>SUM(P48:P51)</f>
        <v>260573</v>
      </c>
      <c r="R47" s="74">
        <f t="shared" si="4"/>
        <v>1.3897026549484354E-2</v>
      </c>
      <c r="T47" s="93">
        <f>SUM(T48:T51)</f>
        <v>219262</v>
      </c>
      <c r="V47" s="74">
        <f t="shared" si="2"/>
        <v>1.1215897353633006E-2</v>
      </c>
      <c r="X47" s="93">
        <f>SUM(X48:X51)</f>
        <v>294240</v>
      </c>
      <c r="Z47" s="74">
        <f t="shared" si="3"/>
        <v>3.9903707082053624E-2</v>
      </c>
      <c r="AB47" s="93">
        <f>SUM(AB48:AB51)</f>
        <v>222159</v>
      </c>
      <c r="AD47" s="74">
        <f t="shared" si="0"/>
        <v>1.6075440291113234E-2</v>
      </c>
      <c r="AF47" s="93">
        <f>SUM(AF48:AF51)</f>
        <v>1597209</v>
      </c>
      <c r="AH47" s="74">
        <f t="shared" si="1"/>
        <v>1.4660231095230488E-2</v>
      </c>
    </row>
    <row r="48" spans="2:34" x14ac:dyDescent="0.25">
      <c r="E48" t="s">
        <v>95</v>
      </c>
      <c r="H48" s="98">
        <v>11227</v>
      </c>
      <c r="J48" s="77">
        <f>H48/'2011-2012--&gt;IS Jul-Dec'!$G$8</f>
        <v>5.9902668168457381E-4</v>
      </c>
      <c r="K48" s="83"/>
      <c r="L48" s="111">
        <v>3000</v>
      </c>
      <c r="N48" s="77">
        <f>L48/'2011-2012--&gt;IS Jul-Dec'!$M$4</f>
        <v>1.6087843917883353E-4</v>
      </c>
      <c r="P48" s="98">
        <v>6899</v>
      </c>
      <c r="R48" s="77">
        <f t="shared" si="4"/>
        <v>3.6794136831096299E-4</v>
      </c>
      <c r="T48" s="98">
        <v>4002</v>
      </c>
      <c r="V48" s="77">
        <f t="shared" si="2"/>
        <v>2.0471409185923364E-4</v>
      </c>
      <c r="X48" s="98">
        <v>2300</v>
      </c>
      <c r="Z48" s="77">
        <f t="shared" si="3"/>
        <v>3.1191723181322507E-4</v>
      </c>
      <c r="AB48" s="98">
        <v>0</v>
      </c>
      <c r="AD48" s="77">
        <f t="shared" si="0"/>
        <v>0</v>
      </c>
      <c r="AF48" s="98">
        <f t="shared" ref="AF48:AF51" si="11">AB48+X48+T48+P48+L48+H48</f>
        <v>27428</v>
      </c>
      <c r="AH48" s="77">
        <f t="shared" si="1"/>
        <v>2.5175216172710133E-4</v>
      </c>
    </row>
    <row r="49" spans="2:34" x14ac:dyDescent="0.25">
      <c r="E49" t="s">
        <v>97</v>
      </c>
      <c r="H49" s="99">
        <f>39796+195000</f>
        <v>234796</v>
      </c>
      <c r="J49" s="78">
        <f>H49/'2011-2012--&gt;IS Jul-Dec'!$G$8</f>
        <v>1.2527751737134692E-2</v>
      </c>
      <c r="K49" s="83"/>
      <c r="L49" s="112">
        <f>273250-10650</f>
        <v>262600</v>
      </c>
      <c r="N49" s="78">
        <f>L49/'2011-2012--&gt;IS Jul-Dec'!$M$4</f>
        <v>1.408222604278723E-2</v>
      </c>
      <c r="P49" s="99">
        <v>195000</v>
      </c>
      <c r="R49" s="78">
        <f t="shared" si="4"/>
        <v>1.0399850242156512E-2</v>
      </c>
      <c r="T49" s="99">
        <f>192857-T50</f>
        <v>187832</v>
      </c>
      <c r="V49" s="78">
        <f t="shared" si="2"/>
        <v>9.6081602454031918E-3</v>
      </c>
      <c r="X49" s="99">
        <v>197200</v>
      </c>
      <c r="Z49" s="78">
        <f t="shared" si="3"/>
        <v>2.6743512223290425E-2</v>
      </c>
      <c r="AB49" s="99">
        <v>72200</v>
      </c>
      <c r="AD49" s="78">
        <f t="shared" si="0"/>
        <v>5.2243968914983214E-3</v>
      </c>
      <c r="AF49" s="99">
        <f t="shared" si="11"/>
        <v>1149628</v>
      </c>
      <c r="AH49" s="78">
        <f t="shared" si="1"/>
        <v>1.0552039309537846E-2</v>
      </c>
    </row>
    <row r="50" spans="2:34" x14ac:dyDescent="0.25">
      <c r="E50" t="s">
        <v>98</v>
      </c>
      <c r="H50" s="99">
        <f>264636-234796</f>
        <v>29840</v>
      </c>
      <c r="J50" s="78">
        <f>H50/'2011-2012--&gt;IS Jul-Dec'!$G$8</f>
        <v>1.5921400357591237E-3</v>
      </c>
      <c r="K50" s="83"/>
      <c r="L50" s="112">
        <v>10650</v>
      </c>
      <c r="N50" s="78">
        <f>L50/'2011-2012--&gt;IS Jul-Dec'!$M$4</f>
        <v>5.7111845908485912E-4</v>
      </c>
      <c r="P50" s="99">
        <f>219870-P49</f>
        <v>24870</v>
      </c>
      <c r="R50" s="78">
        <f t="shared" si="4"/>
        <v>1.3263809001150383E-3</v>
      </c>
      <c r="T50" s="99">
        <v>5025</v>
      </c>
      <c r="V50" s="78">
        <f t="shared" si="2"/>
        <v>2.5704355612010221E-4</v>
      </c>
      <c r="X50" s="99">
        <f>245713-X49</f>
        <v>48513</v>
      </c>
      <c r="Z50" s="78">
        <f t="shared" si="3"/>
        <v>6.5791481160673857E-3</v>
      </c>
      <c r="AB50" s="99">
        <f>200766-AB49</f>
        <v>128566</v>
      </c>
      <c r="AD50" s="78">
        <f t="shared" si="0"/>
        <v>9.3030444702544759E-3</v>
      </c>
      <c r="AF50" s="99">
        <f t="shared" si="11"/>
        <v>247464</v>
      </c>
      <c r="AH50" s="78">
        <f t="shared" si="1"/>
        <v>2.2713867926803049E-3</v>
      </c>
    </row>
    <row r="51" spans="2:34" x14ac:dyDescent="0.25">
      <c r="E51" t="s">
        <v>44</v>
      </c>
      <c r="H51" s="100">
        <f>1850+25241</f>
        <v>27091</v>
      </c>
      <c r="J51" s="79">
        <f>H51/'2011-2012--&gt;IS Jul-Dec'!$G$8</f>
        <v>1.4454646685238077E-3</v>
      </c>
      <c r="K51" s="83"/>
      <c r="L51" s="113">
        <v>21771</v>
      </c>
      <c r="N51" s="79">
        <f>L51/'2011-2012--&gt;IS Jul-Dec'!$M$4</f>
        <v>1.167494833120795E-3</v>
      </c>
      <c r="P51" s="100">
        <v>33804</v>
      </c>
      <c r="R51" s="79">
        <f t="shared" si="4"/>
        <v>1.8028540389018399E-3</v>
      </c>
      <c r="T51" s="100">
        <v>22403</v>
      </c>
      <c r="V51" s="79">
        <f t="shared" si="2"/>
        <v>1.1459794602504776E-3</v>
      </c>
      <c r="X51" s="100">
        <v>46227</v>
      </c>
      <c r="Z51" s="79">
        <f t="shared" si="3"/>
        <v>6.2691295108825889E-3</v>
      </c>
      <c r="AB51" s="100">
        <v>21393</v>
      </c>
      <c r="AD51" s="79">
        <f t="shared" si="0"/>
        <v>1.5479989293604376E-3</v>
      </c>
      <c r="AF51" s="100">
        <f t="shared" si="11"/>
        <v>172689</v>
      </c>
      <c r="AH51" s="79">
        <f t="shared" si="1"/>
        <v>1.5850528312852342E-3</v>
      </c>
    </row>
    <row r="52" spans="2:34" s="118" customFormat="1" x14ac:dyDescent="0.25">
      <c r="B52" s="124"/>
      <c r="C52" s="124"/>
      <c r="H52" s="120"/>
      <c r="J52" s="123">
        <f>H52/'2011-2012--&gt;IS Jul-Dec'!$G$8</f>
        <v>0</v>
      </c>
      <c r="K52" s="83"/>
      <c r="L52" s="125"/>
      <c r="N52" s="123"/>
      <c r="P52" s="120"/>
      <c r="R52" s="123"/>
      <c r="T52" s="120"/>
      <c r="V52" s="123">
        <f t="shared" si="2"/>
        <v>0</v>
      </c>
      <c r="X52" s="120"/>
      <c r="Z52" s="123">
        <f t="shared" si="3"/>
        <v>0</v>
      </c>
      <c r="AB52" s="120"/>
      <c r="AD52" s="123">
        <f t="shared" si="0"/>
        <v>0</v>
      </c>
      <c r="AF52" s="120"/>
      <c r="AH52" s="123">
        <f t="shared" si="1"/>
        <v>0</v>
      </c>
    </row>
    <row r="53" spans="2:34" s="118" customFormat="1" x14ac:dyDescent="0.25">
      <c r="B53" s="124"/>
      <c r="C53" s="124"/>
      <c r="H53" s="120"/>
      <c r="J53" s="123">
        <f>H53/'2011-2012--&gt;IS Jul-Dec'!$G$8</f>
        <v>0</v>
      </c>
      <c r="K53" s="83"/>
      <c r="L53" s="125"/>
      <c r="N53" s="123"/>
      <c r="P53" s="120"/>
      <c r="R53" s="123"/>
      <c r="T53" s="120"/>
      <c r="V53" s="123">
        <f t="shared" si="2"/>
        <v>0</v>
      </c>
      <c r="X53" s="120"/>
      <c r="Z53" s="123">
        <f t="shared" si="3"/>
        <v>0</v>
      </c>
      <c r="AB53" s="120"/>
      <c r="AD53" s="123">
        <f t="shared" si="0"/>
        <v>0</v>
      </c>
      <c r="AF53" s="120"/>
      <c r="AH53" s="123">
        <f t="shared" si="1"/>
        <v>0</v>
      </c>
    </row>
    <row r="54" spans="2:34" x14ac:dyDescent="0.25">
      <c r="B54" s="82">
        <v>8</v>
      </c>
      <c r="C54" s="82" t="s">
        <v>135</v>
      </c>
      <c r="D54" s="50" t="s">
        <v>99</v>
      </c>
      <c r="H54" s="93">
        <f>SUM(H55:H58)</f>
        <v>367334</v>
      </c>
      <c r="J54" s="74">
        <f>H54/'2011-2012--&gt;IS Jul-Dec'!$G$8</f>
        <v>1.959943592143237E-2</v>
      </c>
      <c r="K54" s="83">
        <v>8</v>
      </c>
      <c r="L54" s="109">
        <f>SUM(L55:L58)</f>
        <v>345840</v>
      </c>
      <c r="N54" s="74">
        <f>L54/'2011-2012--&gt;IS Jul-Dec'!$M$4</f>
        <v>1.8546066468535932E-2</v>
      </c>
      <c r="P54" s="93">
        <f>SUM(P55:P58)</f>
        <v>488206</v>
      </c>
      <c r="R54" s="74">
        <f t="shared" si="4"/>
        <v>2.6037278396524425E-2</v>
      </c>
      <c r="T54" s="93">
        <f>SUM(T55:T58)</f>
        <v>366858</v>
      </c>
      <c r="V54" s="74">
        <f t="shared" si="2"/>
        <v>1.8765867644001684E-2</v>
      </c>
      <c r="X54" s="93">
        <f>SUM(X55:X58)</f>
        <v>768958</v>
      </c>
      <c r="Z54" s="74">
        <f t="shared" si="3"/>
        <v>0.10428315249592779</v>
      </c>
      <c r="AB54" s="93">
        <f>SUM(AB55:AB58)</f>
        <v>483779</v>
      </c>
      <c r="AD54" s="74">
        <f t="shared" si="0"/>
        <v>3.5006281215680973E-2</v>
      </c>
      <c r="AF54" s="93">
        <f>SUM(AF55:AF58)</f>
        <v>2820975</v>
      </c>
      <c r="AH54" s="74">
        <f t="shared" si="1"/>
        <v>2.5892757562640721E-2</v>
      </c>
    </row>
    <row r="55" spans="2:34" x14ac:dyDescent="0.25">
      <c r="E55" t="s">
        <v>22</v>
      </c>
      <c r="H55" s="98">
        <v>228271</v>
      </c>
      <c r="J55" s="77">
        <f>H55/'2011-2012--&gt;IS Jul-Dec'!$G$8</f>
        <v>1.2179604494060688E-2</v>
      </c>
      <c r="K55" s="83"/>
      <c r="L55" s="111">
        <v>151968</v>
      </c>
      <c r="N55" s="77">
        <f>L55/'2011-2012--&gt;IS Jul-Dec'!$M$4</f>
        <v>8.1494582150429921E-3</v>
      </c>
      <c r="P55" s="98">
        <v>166357</v>
      </c>
      <c r="R55" s="77">
        <f t="shared" si="4"/>
        <v>8.8722455729970829E-3</v>
      </c>
      <c r="T55" s="98">
        <v>178129</v>
      </c>
      <c r="V55" s="77">
        <f t="shared" si="2"/>
        <v>9.1118232055955595E-3</v>
      </c>
      <c r="X55" s="98">
        <v>240129</v>
      </c>
      <c r="Z55" s="77">
        <f t="shared" si="3"/>
        <v>3.2565379546990396E-2</v>
      </c>
      <c r="AB55" s="98">
        <v>115395</v>
      </c>
      <c r="AD55" s="77">
        <f t="shared" si="0"/>
        <v>8.3499900179286532E-3</v>
      </c>
      <c r="AF55" s="98">
        <f t="shared" ref="AF55:AF58" si="12">AB55+X55+T55+P55+L55+H55</f>
        <v>1080249</v>
      </c>
      <c r="AH55" s="77">
        <f t="shared" si="1"/>
        <v>9.9152333729597298E-3</v>
      </c>
    </row>
    <row r="56" spans="2:34" x14ac:dyDescent="0.25">
      <c r="E56" t="s">
        <v>100</v>
      </c>
      <c r="H56" s="99">
        <v>138303</v>
      </c>
      <c r="J56" s="78">
        <f>H56/'2011-2012--&gt;IS Jul-Dec'!$G$8</f>
        <v>7.3792809438872013E-3</v>
      </c>
      <c r="K56" s="83"/>
      <c r="L56" s="112">
        <v>186317</v>
      </c>
      <c r="N56" s="78">
        <f>L56/'2011-2012--&gt;IS Jul-Dec'!$M$4</f>
        <v>9.9914627174942424E-3</v>
      </c>
      <c r="P56" s="99">
        <v>320859</v>
      </c>
      <c r="R56" s="78">
        <f t="shared" si="4"/>
        <v>1.7112233583836393E-2</v>
      </c>
      <c r="T56" s="99">
        <v>168486</v>
      </c>
      <c r="V56" s="78">
        <f t="shared" si="2"/>
        <v>8.6185553425774213E-3</v>
      </c>
      <c r="X56" s="99">
        <v>493982</v>
      </c>
      <c r="Z56" s="78">
        <f t="shared" si="3"/>
        <v>6.699195565459154E-2</v>
      </c>
      <c r="AB56" s="99">
        <v>360034</v>
      </c>
      <c r="AD56" s="78">
        <f t="shared" si="0"/>
        <v>2.6052084632045801E-2</v>
      </c>
      <c r="AF56" s="99">
        <f t="shared" si="12"/>
        <v>1667981</v>
      </c>
      <c r="AH56" s="78">
        <f t="shared" si="1"/>
        <v>1.5309822898852713E-2</v>
      </c>
    </row>
    <row r="57" spans="2:34" x14ac:dyDescent="0.25">
      <c r="E57" t="s">
        <v>138</v>
      </c>
      <c r="H57" s="99">
        <v>0</v>
      </c>
      <c r="J57" s="78">
        <f>H57/'2011-2012--&gt;IS Jul-Dec'!$G$8</f>
        <v>0</v>
      </c>
      <c r="K57" s="83"/>
      <c r="L57" s="112">
        <v>0</v>
      </c>
      <c r="N57" s="78">
        <f>L57/'2011-2012--&gt;IS Jul-Dec'!$M$4</f>
        <v>0</v>
      </c>
      <c r="P57" s="99">
        <v>0</v>
      </c>
      <c r="R57" s="78">
        <f t="shared" si="4"/>
        <v>0</v>
      </c>
      <c r="T57" s="99">
        <f>195709-T55</f>
        <v>17580</v>
      </c>
      <c r="V57" s="78">
        <f t="shared" si="2"/>
        <v>8.9926879932167097E-4</v>
      </c>
      <c r="X57" s="99">
        <f>1022979-X55-X60+33077</f>
        <v>33917</v>
      </c>
      <c r="Z57" s="78">
        <f t="shared" si="3"/>
        <v>4.5996942397431104E-3</v>
      </c>
      <c r="AB57" s="99">
        <f>123745-AB55</f>
        <v>8350</v>
      </c>
      <c r="AD57" s="78">
        <f t="shared" si="0"/>
        <v>6.0420656570652333E-4</v>
      </c>
      <c r="AF57" s="99">
        <f t="shared" si="12"/>
        <v>59847</v>
      </c>
      <c r="AH57" s="78">
        <f t="shared" si="1"/>
        <v>5.4931499281325041E-4</v>
      </c>
    </row>
    <row r="58" spans="2:34" x14ac:dyDescent="0.25">
      <c r="E58" t="s">
        <v>120</v>
      </c>
      <c r="H58" s="100">
        <v>760</v>
      </c>
      <c r="J58" s="79">
        <f>H58/'2011-2012--&gt;IS Jul-Dec'!$G$8</f>
        <v>4.0550483484481701E-5</v>
      </c>
      <c r="K58" s="83"/>
      <c r="L58" s="113">
        <v>7555</v>
      </c>
      <c r="N58" s="79">
        <f>L58/'2011-2012--&gt;IS Jul-Dec'!$M$4</f>
        <v>4.0514553599869582E-4</v>
      </c>
      <c r="P58" s="100">
        <v>990</v>
      </c>
      <c r="R58" s="79">
        <f t="shared" si="4"/>
        <v>5.2799239690948452E-5</v>
      </c>
      <c r="T58" s="100">
        <v>2663</v>
      </c>
      <c r="V58" s="79">
        <f t="shared" si="2"/>
        <v>1.3622029650703127E-4</v>
      </c>
      <c r="X58" s="100">
        <v>930</v>
      </c>
      <c r="Z58" s="79">
        <f t="shared" si="3"/>
        <v>1.2612305460273882E-4</v>
      </c>
      <c r="AB58" s="100">
        <v>0</v>
      </c>
      <c r="AD58" s="79">
        <f t="shared" si="0"/>
        <v>0</v>
      </c>
      <c r="AF58" s="100">
        <f t="shared" si="12"/>
        <v>12898</v>
      </c>
      <c r="AH58" s="79">
        <f t="shared" si="1"/>
        <v>1.1838629801502672E-4</v>
      </c>
    </row>
    <row r="59" spans="2:34" s="118" customFormat="1" x14ac:dyDescent="0.25">
      <c r="B59" s="124"/>
      <c r="C59" s="124"/>
      <c r="H59" s="120"/>
      <c r="J59" s="123">
        <f>H59/'2011-2012--&gt;IS Jul-Dec'!$G$8</f>
        <v>0</v>
      </c>
      <c r="K59" s="83"/>
      <c r="L59" s="125"/>
      <c r="N59" s="123"/>
      <c r="P59" s="120"/>
      <c r="R59" s="123"/>
      <c r="T59" s="120"/>
      <c r="V59" s="123">
        <f t="shared" si="2"/>
        <v>0</v>
      </c>
      <c r="X59" s="120"/>
      <c r="Z59" s="123">
        <f t="shared" si="3"/>
        <v>0</v>
      </c>
      <c r="AB59" s="120"/>
      <c r="AD59" s="123">
        <f t="shared" si="0"/>
        <v>0</v>
      </c>
      <c r="AF59" s="120"/>
      <c r="AH59" s="123">
        <f t="shared" si="1"/>
        <v>0</v>
      </c>
    </row>
    <row r="60" spans="2:34" x14ac:dyDescent="0.25">
      <c r="B60" s="82">
        <v>9</v>
      </c>
      <c r="C60" s="82" t="s">
        <v>135</v>
      </c>
      <c r="D60" s="50" t="s">
        <v>133</v>
      </c>
      <c r="H60" s="93">
        <v>305910</v>
      </c>
      <c r="J60" s="74">
        <f>H60/'2011-2012--&gt;IS Jul-Dec'!$G$8</f>
        <v>1.6322103161497101E-2</v>
      </c>
      <c r="K60" s="83">
        <v>9</v>
      </c>
      <c r="L60" s="109">
        <f>409802-151968</f>
        <v>257834</v>
      </c>
      <c r="N60" s="74">
        <f>L60/'2011-2012--&gt;IS Jul-Dec'!$M$4</f>
        <v>1.3826643829078457E-2</v>
      </c>
      <c r="P60" s="93">
        <v>0</v>
      </c>
      <c r="R60" s="74">
        <f t="shared" si="4"/>
        <v>0</v>
      </c>
      <c r="T60" s="93">
        <v>0</v>
      </c>
      <c r="V60" s="74">
        <f t="shared" si="2"/>
        <v>0</v>
      </c>
      <c r="X60" s="93">
        <v>782010</v>
      </c>
      <c r="Z60" s="74">
        <f t="shared" si="3"/>
        <v>0.10605321497837396</v>
      </c>
      <c r="AB60" s="93">
        <v>0</v>
      </c>
      <c r="AD60" s="74">
        <f t="shared" si="0"/>
        <v>0</v>
      </c>
      <c r="AF60" s="93">
        <f>AB60+X60+T60+P60+L60+H60</f>
        <v>1345754</v>
      </c>
      <c r="AH60" s="74">
        <f t="shared" si="1"/>
        <v>1.2352212288642757E-2</v>
      </c>
    </row>
    <row r="61" spans="2:34" s="118" customFormat="1" x14ac:dyDescent="0.25">
      <c r="B61" s="124"/>
      <c r="C61" s="124"/>
      <c r="H61" s="120"/>
      <c r="J61" s="123">
        <f>H61/'2011-2012--&gt;IS Jul-Dec'!$G$8</f>
        <v>0</v>
      </c>
      <c r="K61" s="83"/>
      <c r="L61" s="125"/>
      <c r="N61" s="123"/>
      <c r="P61" s="120"/>
      <c r="R61" s="123"/>
      <c r="T61" s="120"/>
      <c r="V61" s="123">
        <f t="shared" si="2"/>
        <v>0</v>
      </c>
      <c r="X61" s="120"/>
      <c r="Z61" s="123">
        <f t="shared" si="3"/>
        <v>0</v>
      </c>
      <c r="AB61" s="120"/>
      <c r="AD61" s="123">
        <f t="shared" si="0"/>
        <v>0</v>
      </c>
      <c r="AF61" s="120"/>
      <c r="AH61" s="123">
        <f t="shared" si="1"/>
        <v>0</v>
      </c>
    </row>
    <row r="62" spans="2:34" x14ac:dyDescent="0.25">
      <c r="B62" s="82">
        <v>10</v>
      </c>
      <c r="C62" s="82" t="s">
        <v>135</v>
      </c>
      <c r="D62" s="50" t="s">
        <v>101</v>
      </c>
      <c r="H62" s="93">
        <f>SUM(H63:H65)</f>
        <v>42210</v>
      </c>
      <c r="J62" s="74">
        <f>H62/'2011-2012--&gt;IS Jul-Dec'!$G$8</f>
        <v>2.252152510368385E-3</v>
      </c>
      <c r="K62" s="83">
        <v>10</v>
      </c>
      <c r="L62" s="109">
        <f>SUM(L63:L65)</f>
        <v>107265</v>
      </c>
      <c r="N62" s="74">
        <f>L62/'2011-2012--&gt;IS Jul-Dec'!$M$4</f>
        <v>5.7522085928391935E-3</v>
      </c>
      <c r="P62" s="93">
        <f>SUM(P63:P65)</f>
        <v>73253</v>
      </c>
      <c r="R62" s="74">
        <f t="shared" si="4"/>
        <v>3.9067704091727742E-3</v>
      </c>
      <c r="T62" s="93">
        <f>SUM(T63:T65)</f>
        <v>72409</v>
      </c>
      <c r="V62" s="74">
        <f t="shared" si="2"/>
        <v>3.7039337025075582E-3</v>
      </c>
      <c r="X62" s="93">
        <f>SUM(X63:X65)</f>
        <v>83996</v>
      </c>
      <c r="Z62" s="74">
        <f t="shared" si="3"/>
        <v>1.1391217305818978E-2</v>
      </c>
      <c r="AB62" s="93">
        <f>SUM(AB63:AB65)</f>
        <v>116955</v>
      </c>
      <c r="AD62" s="74">
        <f t="shared" si="0"/>
        <v>8.4628717236175377E-3</v>
      </c>
      <c r="AF62" s="93">
        <f>SUM(AF63:AF65)</f>
        <v>496088</v>
      </c>
      <c r="AH62" s="74">
        <f t="shared" si="1"/>
        <v>4.553420825684492E-3</v>
      </c>
    </row>
    <row r="63" spans="2:34" x14ac:dyDescent="0.25">
      <c r="E63" t="s">
        <v>102</v>
      </c>
      <c r="H63" s="98">
        <v>2000</v>
      </c>
      <c r="J63" s="77">
        <f>H63/'2011-2012--&gt;IS Jul-Dec'!$G$8</f>
        <v>1.067117986433729E-4</v>
      </c>
      <c r="K63" s="83"/>
      <c r="L63" s="111">
        <v>62000</v>
      </c>
      <c r="N63" s="77">
        <f>L63/'2011-2012--&gt;IS Jul-Dec'!$M$4</f>
        <v>3.3248210763625599E-3</v>
      </c>
      <c r="P63" s="98">
        <v>31000</v>
      </c>
      <c r="R63" s="77">
        <f t="shared" si="4"/>
        <v>1.6533095256761636E-3</v>
      </c>
      <c r="T63" s="98">
        <v>33000</v>
      </c>
      <c r="V63" s="77">
        <f t="shared" si="2"/>
        <v>1.6880472342215666E-3</v>
      </c>
      <c r="X63" s="98">
        <v>31600</v>
      </c>
      <c r="Z63" s="77">
        <f t="shared" si="3"/>
        <v>4.2854715327382224E-3</v>
      </c>
      <c r="AB63" s="98">
        <v>56252</v>
      </c>
      <c r="AD63" s="77">
        <f t="shared" si="0"/>
        <v>4.0703985310327363E-3</v>
      </c>
      <c r="AF63" s="98">
        <f t="shared" ref="AF63:AF65" si="13">AB63+X63+T63+P63+L63+H63</f>
        <v>215852</v>
      </c>
      <c r="AH63" s="77">
        <f t="shared" si="1"/>
        <v>1.9812311365436154E-3</v>
      </c>
    </row>
    <row r="64" spans="2:34" x14ac:dyDescent="0.25">
      <c r="E64" t="s">
        <v>103</v>
      </c>
      <c r="H64" s="99">
        <v>2900</v>
      </c>
      <c r="J64" s="78">
        <f>H64/'2011-2012--&gt;IS Jul-Dec'!$G$8</f>
        <v>1.5473210803289072E-4</v>
      </c>
      <c r="K64" s="83"/>
      <c r="L64" s="112">
        <v>1300</v>
      </c>
      <c r="N64" s="78">
        <f>L64/'2011-2012--&gt;IS Jul-Dec'!$M$4</f>
        <v>6.9713990310827864E-5</v>
      </c>
      <c r="P64" s="99">
        <v>2100</v>
      </c>
      <c r="R64" s="78">
        <f t="shared" si="4"/>
        <v>1.1199838722322398E-4</v>
      </c>
      <c r="T64" s="99">
        <v>0</v>
      </c>
      <c r="V64" s="78">
        <f t="shared" si="2"/>
        <v>0</v>
      </c>
      <c r="X64" s="99">
        <v>6500</v>
      </c>
      <c r="Z64" s="78">
        <f t="shared" si="3"/>
        <v>8.8150522034172293E-4</v>
      </c>
      <c r="AB64" s="99">
        <v>0</v>
      </c>
      <c r="AD64" s="78">
        <f t="shared" si="0"/>
        <v>0</v>
      </c>
      <c r="AF64" s="99">
        <f t="shared" si="13"/>
        <v>12800</v>
      </c>
      <c r="AH64" s="78">
        <f t="shared" si="1"/>
        <v>1.1748678978076773E-4</v>
      </c>
    </row>
    <row r="65" spans="2:34" x14ac:dyDescent="0.25">
      <c r="E65" t="s">
        <v>86</v>
      </c>
      <c r="H65" s="140">
        <f>57573-20263</f>
        <v>37310</v>
      </c>
      <c r="J65" s="79">
        <f>H65/'2011-2012--&gt;IS Jul-Dec'!$G$8</f>
        <v>1.9907086036921214E-3</v>
      </c>
      <c r="K65" s="83"/>
      <c r="L65" s="139">
        <f>44794-21092+20263</f>
        <v>43965</v>
      </c>
      <c r="N65" s="79">
        <f>L65/'2011-2012--&gt;IS Jul-Dec'!$M$4</f>
        <v>2.3576735261658056E-3</v>
      </c>
      <c r="P65" s="140">
        <f>19061+21092</f>
        <v>40153</v>
      </c>
      <c r="R65" s="79">
        <f t="shared" si="4"/>
        <v>2.1414624962733872E-3</v>
      </c>
      <c r="T65" s="100">
        <v>39409</v>
      </c>
      <c r="V65" s="79">
        <f t="shared" si="2"/>
        <v>2.0158864682859917E-3</v>
      </c>
      <c r="X65" s="100">
        <v>45896</v>
      </c>
      <c r="Z65" s="79">
        <f t="shared" si="3"/>
        <v>6.2242405527390332E-3</v>
      </c>
      <c r="AB65" s="100">
        <v>60703</v>
      </c>
      <c r="AD65" s="79">
        <f t="shared" si="0"/>
        <v>4.3924731925848006E-3</v>
      </c>
      <c r="AF65" s="100">
        <f t="shared" si="13"/>
        <v>267436</v>
      </c>
      <c r="AH65" s="79">
        <f t="shared" si="1"/>
        <v>2.454702899360109E-3</v>
      </c>
    </row>
    <row r="66" spans="2:34" s="118" customFormat="1" x14ac:dyDescent="0.25">
      <c r="B66" s="124"/>
      <c r="C66" s="124"/>
      <c r="H66" s="120"/>
      <c r="J66" s="123">
        <f>H66/'2011-2012--&gt;IS Jul-Dec'!$G$8</f>
        <v>0</v>
      </c>
      <c r="K66" s="83"/>
      <c r="L66" s="125"/>
      <c r="N66" s="123"/>
      <c r="P66" s="120"/>
      <c r="R66" s="123"/>
      <c r="T66" s="120"/>
      <c r="V66" s="123">
        <f t="shared" si="2"/>
        <v>0</v>
      </c>
      <c r="X66" s="120"/>
      <c r="Z66" s="123">
        <f t="shared" si="3"/>
        <v>0</v>
      </c>
      <c r="AB66" s="120"/>
      <c r="AD66" s="123">
        <f t="shared" si="0"/>
        <v>0</v>
      </c>
      <c r="AF66" s="120"/>
      <c r="AH66" s="123">
        <f t="shared" si="1"/>
        <v>0</v>
      </c>
    </row>
    <row r="67" spans="2:34" x14ac:dyDescent="0.25">
      <c r="B67" s="82">
        <v>11</v>
      </c>
      <c r="C67" s="82" t="s">
        <v>135</v>
      </c>
      <c r="D67" s="50" t="s">
        <v>105</v>
      </c>
      <c r="H67" s="93">
        <v>139300</v>
      </c>
      <c r="J67" s="74">
        <f>H67/'2011-2012--&gt;IS Jul-Dec'!$G$8</f>
        <v>7.4324767755109223E-3</v>
      </c>
      <c r="K67" s="83">
        <v>11</v>
      </c>
      <c r="L67" s="109">
        <v>14225</v>
      </c>
      <c r="N67" s="74">
        <f>L67/'2011-2012--&gt;IS Jul-Dec'!$M$4</f>
        <v>7.6283193243963576E-4</v>
      </c>
      <c r="P67" s="93">
        <v>20000</v>
      </c>
      <c r="R67" s="74">
        <f t="shared" si="4"/>
        <v>1.0666513068878474E-3</v>
      </c>
      <c r="T67" s="93">
        <v>0</v>
      </c>
      <c r="V67" s="74">
        <f t="shared" si="2"/>
        <v>0</v>
      </c>
      <c r="X67" s="93">
        <v>74875</v>
      </c>
      <c r="Z67" s="74">
        <f t="shared" si="3"/>
        <v>1.0154262057397924E-2</v>
      </c>
      <c r="AB67" s="93">
        <v>0</v>
      </c>
      <c r="AD67" s="74">
        <f t="shared" si="0"/>
        <v>0</v>
      </c>
      <c r="AF67" s="93">
        <f t="shared" ref="AF67" si="14">AB67+X67+T67+P67+L67+H67</f>
        <v>248400</v>
      </c>
      <c r="AH67" s="74">
        <f t="shared" si="1"/>
        <v>2.2799780141830235E-3</v>
      </c>
    </row>
    <row r="68" spans="2:34" s="118" customFormat="1" x14ac:dyDescent="0.25">
      <c r="B68" s="124"/>
      <c r="C68" s="124"/>
      <c r="H68" s="120"/>
      <c r="J68" s="123">
        <f>H68/'2011-2012--&gt;IS Jul-Dec'!$G$8</f>
        <v>0</v>
      </c>
      <c r="K68" s="83"/>
      <c r="L68" s="125"/>
      <c r="N68" s="123"/>
      <c r="P68" s="120"/>
      <c r="R68" s="123"/>
      <c r="T68" s="120"/>
      <c r="V68" s="123">
        <f t="shared" si="2"/>
        <v>0</v>
      </c>
      <c r="X68" s="120"/>
      <c r="Z68" s="123">
        <f t="shared" si="3"/>
        <v>0</v>
      </c>
      <c r="AB68" s="120"/>
      <c r="AD68" s="123">
        <f t="shared" si="0"/>
        <v>0</v>
      </c>
      <c r="AF68" s="120"/>
      <c r="AH68" s="123">
        <f t="shared" si="1"/>
        <v>0</v>
      </c>
    </row>
    <row r="69" spans="2:34" x14ac:dyDescent="0.25">
      <c r="B69" s="82">
        <v>12</v>
      </c>
      <c r="C69" s="82" t="s">
        <v>135</v>
      </c>
      <c r="D69" s="50" t="s">
        <v>107</v>
      </c>
      <c r="E69" s="50"/>
      <c r="F69" s="50"/>
      <c r="G69" s="50"/>
      <c r="H69" s="93">
        <f>SUM(H70:H71)</f>
        <v>220292</v>
      </c>
      <c r="J69" s="74">
        <f>H69/'2011-2012--&gt;IS Jul-Dec'!$G$8</f>
        <v>1.1753877773372952E-2</v>
      </c>
      <c r="K69" s="83">
        <v>12</v>
      </c>
      <c r="L69" s="109">
        <f>SUM(L70:L71)</f>
        <v>182542</v>
      </c>
      <c r="N69" s="74">
        <f>L69/'2011-2012--&gt;IS Jul-Dec'!$M$4</f>
        <v>9.7890240148608785E-3</v>
      </c>
      <c r="P69" s="93">
        <f>SUM(P70:P71)</f>
        <v>385397</v>
      </c>
      <c r="R69" s="74">
        <f t="shared" si="4"/>
        <v>2.0554210686032789E-2</v>
      </c>
      <c r="T69" s="93">
        <f>SUM(T70:T71)</f>
        <v>366065</v>
      </c>
      <c r="V69" s="74">
        <f t="shared" si="2"/>
        <v>1.8725303357433873E-2</v>
      </c>
      <c r="X69" s="93">
        <f>SUM(X70:X71)</f>
        <v>364554</v>
      </c>
      <c r="Z69" s="74">
        <f t="shared" si="3"/>
        <v>4.943942370714715E-2</v>
      </c>
      <c r="AB69" s="93">
        <f>SUM(AB70:AB71)</f>
        <v>491811</v>
      </c>
      <c r="AD69" s="74">
        <f t="shared" si="0"/>
        <v>3.5587477279843224E-2</v>
      </c>
      <c r="AF69" s="93">
        <f>SUM(AF70:AF71)</f>
        <v>2010661</v>
      </c>
      <c r="AH69" s="74">
        <f t="shared" si="1"/>
        <v>1.8455164549014705E-2</v>
      </c>
    </row>
    <row r="70" spans="2:34" x14ac:dyDescent="0.25">
      <c r="E70" t="s">
        <v>12</v>
      </c>
      <c r="H70" s="98">
        <v>144792</v>
      </c>
      <c r="J70" s="77">
        <f>H70/'2011-2012--&gt;IS Jul-Dec'!$G$8</f>
        <v>7.7255073745856251E-3</v>
      </c>
      <c r="K70" s="83"/>
      <c r="L70" s="111">
        <f>182542-52274</f>
        <v>130268</v>
      </c>
      <c r="N70" s="77">
        <f>L70/'2011-2012--&gt;IS Jul-Dec'!$M$4</f>
        <v>6.9857708383160959E-3</v>
      </c>
      <c r="P70" s="98">
        <f>385397-P71</f>
        <v>309170</v>
      </c>
      <c r="R70" s="77">
        <f t="shared" si="4"/>
        <v>1.648882922752579E-2</v>
      </c>
      <c r="T70" s="98">
        <f>366065-T71</f>
        <v>270147</v>
      </c>
      <c r="V70" s="77">
        <f t="shared" si="2"/>
        <v>1.3818815035856169E-2</v>
      </c>
      <c r="X70" s="98">
        <f>364554-X71</f>
        <v>322494</v>
      </c>
      <c r="Z70" s="77">
        <f t="shared" si="3"/>
        <v>4.3735406850597479E-2</v>
      </c>
      <c r="AB70" s="98">
        <f>491811-AB71</f>
        <v>431091</v>
      </c>
      <c r="AD70" s="77">
        <f t="shared" si="0"/>
        <v>3.1193773966106689E-2</v>
      </c>
      <c r="AF70" s="98">
        <f t="shared" ref="AF70:AF71" si="15">AB70+X70+T70+P70+L70+H70</f>
        <v>1607962</v>
      </c>
      <c r="AH70" s="77">
        <f t="shared" si="1"/>
        <v>1.4758929177301783E-2</v>
      </c>
    </row>
    <row r="71" spans="2:34" x14ac:dyDescent="0.25">
      <c r="E71" t="s">
        <v>13</v>
      </c>
      <c r="H71" s="100">
        <v>75500</v>
      </c>
      <c r="J71" s="79">
        <f>H71/'2011-2012--&gt;IS Jul-Dec'!$G$8</f>
        <v>4.0283703987873268E-3</v>
      </c>
      <c r="K71" s="83"/>
      <c r="L71" s="113">
        <f>22650+1222+28402</f>
        <v>52274</v>
      </c>
      <c r="N71" s="79">
        <f>L71/'2011-2012--&gt;IS Jul-Dec'!$M$4</f>
        <v>2.8032531765447817E-3</v>
      </c>
      <c r="P71" s="100">
        <f>76227</f>
        <v>76227</v>
      </c>
      <c r="R71" s="79">
        <f t="shared" si="4"/>
        <v>4.0653814585069978E-3</v>
      </c>
      <c r="T71" s="100">
        <v>95918</v>
      </c>
      <c r="V71" s="79">
        <f t="shared" si="2"/>
        <v>4.9064883215777042E-3</v>
      </c>
      <c r="X71" s="100">
        <v>42060</v>
      </c>
      <c r="Z71" s="79">
        <f t="shared" si="3"/>
        <v>5.7040168565496716E-3</v>
      </c>
      <c r="AB71" s="100">
        <v>60720</v>
      </c>
      <c r="AD71" s="79">
        <f t="shared" si="0"/>
        <v>4.3937033137365382E-3</v>
      </c>
      <c r="AF71" s="100">
        <f t="shared" si="15"/>
        <v>402699</v>
      </c>
      <c r="AH71" s="79">
        <f t="shared" si="1"/>
        <v>3.6962353717129204E-3</v>
      </c>
    </row>
    <row r="72" spans="2:34" s="118" customFormat="1" x14ac:dyDescent="0.25">
      <c r="B72" s="124"/>
      <c r="C72" s="124"/>
      <c r="H72" s="120"/>
      <c r="J72" s="123">
        <f>H72/'2011-2012--&gt;IS Jul-Dec'!$G$8</f>
        <v>0</v>
      </c>
      <c r="K72" s="83"/>
      <c r="L72" s="125"/>
      <c r="N72" s="123"/>
      <c r="P72" s="120"/>
      <c r="R72" s="123"/>
      <c r="T72" s="120"/>
      <c r="V72" s="123">
        <f t="shared" si="2"/>
        <v>0</v>
      </c>
      <c r="X72" s="120"/>
      <c r="Z72" s="123">
        <f t="shared" ref="Z72:Z101" si="16">X72/$Z$4</f>
        <v>0</v>
      </c>
      <c r="AB72" s="120"/>
      <c r="AD72" s="123">
        <f t="shared" ref="AD72:AD100" si="17">AB72/$AD$4</f>
        <v>0</v>
      </c>
      <c r="AF72" s="120"/>
      <c r="AH72" s="123">
        <f t="shared" ref="AH72:AH101" si="18">AF72/$AH$3</f>
        <v>0</v>
      </c>
    </row>
    <row r="73" spans="2:34" x14ac:dyDescent="0.25">
      <c r="B73" s="82">
        <v>13</v>
      </c>
      <c r="C73" s="82" t="s">
        <v>135</v>
      </c>
      <c r="D73" s="50" t="s">
        <v>130</v>
      </c>
      <c r="E73" s="50"/>
      <c r="F73" s="50"/>
      <c r="G73" s="50"/>
      <c r="H73" s="93">
        <f>SUM(H74:H76)</f>
        <v>299456</v>
      </c>
      <c r="J73" s="74">
        <f>H73/'2011-2012--&gt;IS Jul-Dec'!$G$8</f>
        <v>1.5977744187274937E-2</v>
      </c>
      <c r="K73" s="83">
        <v>13</v>
      </c>
      <c r="L73" s="109">
        <f>SUM(L74:L76)</f>
        <v>39741</v>
      </c>
      <c r="N73" s="74">
        <f>L73/'2011-2012--&gt;IS Jul-Dec'!$M$4</f>
        <v>2.131156683802008E-3</v>
      </c>
      <c r="P73" s="93">
        <f>SUM(P74:P76)</f>
        <v>81345</v>
      </c>
      <c r="R73" s="74">
        <f t="shared" si="4"/>
        <v>4.3383375279395977E-3</v>
      </c>
      <c r="T73" s="93">
        <f>SUM(T74:T76)</f>
        <v>138957</v>
      </c>
      <c r="V73" s="74">
        <f t="shared" ref="V73:V101" si="19">T73/$V$4</f>
        <v>7.1080599856280678E-3</v>
      </c>
      <c r="X73" s="93">
        <f>SUM(X74:X76)</f>
        <v>51550</v>
      </c>
      <c r="Z73" s="74">
        <f t="shared" si="16"/>
        <v>6.9910144782485877E-3</v>
      </c>
      <c r="AB73" s="93">
        <f>SUM(AB74:AB76)</f>
        <v>15625</v>
      </c>
      <c r="AD73" s="74">
        <f t="shared" si="17"/>
        <v>1.1306260585825661E-3</v>
      </c>
      <c r="AF73" s="93">
        <f>SUM(AF74:AF76)</f>
        <v>626674</v>
      </c>
      <c r="AH73" s="74">
        <f t="shared" si="18"/>
        <v>5.7520247264900648E-3</v>
      </c>
    </row>
    <row r="74" spans="2:34" x14ac:dyDescent="0.25">
      <c r="E74" t="s">
        <v>108</v>
      </c>
      <c r="H74" s="98">
        <f>74746+1300</f>
        <v>76046</v>
      </c>
      <c r="J74" s="77">
        <f>H74/'2011-2012--&gt;IS Jul-Dec'!$G$8</f>
        <v>4.0575027198169683E-3</v>
      </c>
      <c r="K74" s="83"/>
      <c r="L74" s="111">
        <v>16530</v>
      </c>
      <c r="N74" s="77">
        <f>L74/'2011-2012--&gt;IS Jul-Dec'!$M$4</f>
        <v>8.8644019987537282E-4</v>
      </c>
      <c r="P74" s="98">
        <v>46125</v>
      </c>
      <c r="R74" s="77">
        <f t="shared" si="4"/>
        <v>2.4599645765100982E-3</v>
      </c>
      <c r="T74" s="98">
        <v>104923</v>
      </c>
      <c r="V74" s="77">
        <f t="shared" si="19"/>
        <v>5.3671206047342258E-3</v>
      </c>
      <c r="X74" s="98">
        <v>0</v>
      </c>
      <c r="Z74" s="77">
        <f t="shared" si="16"/>
        <v>0</v>
      </c>
      <c r="AB74" s="98">
        <v>0</v>
      </c>
      <c r="AD74" s="77">
        <f t="shared" si="17"/>
        <v>0</v>
      </c>
      <c r="AF74" s="98">
        <f t="shared" ref="AF74:AF78" si="20">AB74+X74+T74+P74+L74+H74</f>
        <v>243624</v>
      </c>
      <c r="AH74" s="77">
        <f t="shared" si="18"/>
        <v>2.2361407557460748E-3</v>
      </c>
    </row>
    <row r="75" spans="2:34" x14ac:dyDescent="0.25">
      <c r="E75" t="s">
        <v>131</v>
      </c>
      <c r="H75" s="99">
        <v>34810</v>
      </c>
      <c r="J75" s="78">
        <f>H75/'2011-2012--&gt;IS Jul-Dec'!$G$8</f>
        <v>1.8573188553879054E-3</v>
      </c>
      <c r="K75" s="83"/>
      <c r="L75" s="112">
        <v>23211</v>
      </c>
      <c r="N75" s="78">
        <f>L75/'2011-2012--&gt;IS Jul-Dec'!$M$4</f>
        <v>1.2447164839266352E-3</v>
      </c>
      <c r="P75" s="99">
        <v>35220</v>
      </c>
      <c r="R75" s="78">
        <f t="shared" si="4"/>
        <v>1.8783729514294993E-3</v>
      </c>
      <c r="T75" s="99">
        <v>15534</v>
      </c>
      <c r="V75" s="78">
        <f t="shared" si="19"/>
        <v>7.9460987079993384E-4</v>
      </c>
      <c r="X75" s="99">
        <v>47350</v>
      </c>
      <c r="Z75" s="78">
        <f t="shared" si="16"/>
        <v>6.4214264897200892E-3</v>
      </c>
      <c r="AB75" s="99">
        <v>14625</v>
      </c>
      <c r="AD75" s="78">
        <f t="shared" si="17"/>
        <v>1.0582659908332818E-3</v>
      </c>
      <c r="AF75" s="99">
        <f t="shared" si="20"/>
        <v>170750</v>
      </c>
      <c r="AH75" s="78">
        <f t="shared" si="18"/>
        <v>1.5672554183645381E-3</v>
      </c>
    </row>
    <row r="76" spans="2:34" x14ac:dyDescent="0.25">
      <c r="E76" t="s">
        <v>109</v>
      </c>
      <c r="H76" s="100">
        <v>188600</v>
      </c>
      <c r="J76" s="79">
        <f>H76/'2011-2012--&gt;IS Jul-Dec'!$G$8</f>
        <v>1.0062922612070065E-2</v>
      </c>
      <c r="K76" s="83"/>
      <c r="L76" s="113">
        <v>0</v>
      </c>
      <c r="N76" s="79">
        <f>L76/'2011-2012--&gt;IS Jul-Dec'!$M$4</f>
        <v>0</v>
      </c>
      <c r="P76" s="100">
        <v>0</v>
      </c>
      <c r="R76" s="79">
        <f t="shared" ref="R76:R101" si="21">P76/$R$4</f>
        <v>0</v>
      </c>
      <c r="T76" s="100">
        <v>18500</v>
      </c>
      <c r="V76" s="79">
        <f t="shared" si="19"/>
        <v>9.4632951009390861E-4</v>
      </c>
      <c r="X76" s="100">
        <v>4200</v>
      </c>
      <c r="Z76" s="79">
        <f t="shared" si="16"/>
        <v>5.6958798852849786E-4</v>
      </c>
      <c r="AB76" s="100">
        <v>1000</v>
      </c>
      <c r="AD76" s="79">
        <f t="shared" si="17"/>
        <v>7.2360067749284229E-5</v>
      </c>
      <c r="AF76" s="100">
        <f t="shared" si="20"/>
        <v>212300</v>
      </c>
      <c r="AH76" s="79">
        <f t="shared" si="18"/>
        <v>1.9486285523794521E-3</v>
      </c>
    </row>
    <row r="77" spans="2:34" s="118" customFormat="1" x14ac:dyDescent="0.25">
      <c r="B77" s="124"/>
      <c r="C77" s="124"/>
      <c r="H77" s="120"/>
      <c r="J77" s="123">
        <f>H77/'2011-2012--&gt;IS Jul-Dec'!$G$8</f>
        <v>0</v>
      </c>
      <c r="K77" s="83"/>
      <c r="L77" s="125"/>
      <c r="N77" s="123"/>
      <c r="P77" s="120"/>
      <c r="R77" s="123"/>
      <c r="T77" s="120"/>
      <c r="V77" s="123">
        <f t="shared" si="19"/>
        <v>0</v>
      </c>
      <c r="X77" s="120"/>
      <c r="Z77" s="123">
        <f t="shared" si="16"/>
        <v>0</v>
      </c>
      <c r="AB77" s="120"/>
      <c r="AD77" s="123">
        <f t="shared" si="17"/>
        <v>0</v>
      </c>
      <c r="AF77" s="120"/>
      <c r="AH77" s="123">
        <f t="shared" si="18"/>
        <v>0</v>
      </c>
    </row>
    <row r="78" spans="2:34" x14ac:dyDescent="0.25">
      <c r="B78" s="82">
        <v>14</v>
      </c>
      <c r="C78" s="82" t="s">
        <v>135</v>
      </c>
      <c r="D78" s="50" t="s">
        <v>110</v>
      </c>
      <c r="E78" s="50"/>
      <c r="F78" s="50"/>
      <c r="G78" s="50"/>
      <c r="H78" s="93">
        <v>412500</v>
      </c>
      <c r="J78" s="74">
        <f>H78/'2011-2012--&gt;IS Jul-Dec'!$G$8</f>
        <v>2.2009308470195662E-2</v>
      </c>
      <c r="K78" s="83">
        <v>14</v>
      </c>
      <c r="L78" s="109">
        <v>412500</v>
      </c>
      <c r="N78" s="74">
        <f>L78/'2011-2012--&gt;IS Jul-Dec'!$M$4</f>
        <v>2.2120785387089611E-2</v>
      </c>
      <c r="P78" s="93">
        <v>412500</v>
      </c>
      <c r="R78" s="74">
        <f t="shared" si="21"/>
        <v>2.1999683204561853E-2</v>
      </c>
      <c r="T78" s="93">
        <v>412500</v>
      </c>
      <c r="V78" s="74">
        <f t="shared" si="19"/>
        <v>2.1100590427769583E-2</v>
      </c>
      <c r="X78" s="93">
        <v>412500</v>
      </c>
      <c r="Z78" s="74">
        <f>X78/$Z$4</f>
        <v>5.5941677444763187E-2</v>
      </c>
      <c r="AB78" s="93">
        <v>412500</v>
      </c>
      <c r="AD78" s="74">
        <f t="shared" si="17"/>
        <v>2.9848527946579745E-2</v>
      </c>
      <c r="AF78" s="93">
        <f t="shared" si="20"/>
        <v>2475000</v>
      </c>
      <c r="AH78" s="74">
        <f t="shared" si="18"/>
        <v>2.2717172242765635E-2</v>
      </c>
    </row>
    <row r="79" spans="2:34" s="118" customFormat="1" x14ac:dyDescent="0.25">
      <c r="B79" s="124"/>
      <c r="C79" s="124"/>
      <c r="H79" s="120"/>
      <c r="J79" s="123">
        <f>H79/'2011-2012--&gt;IS Jul-Dec'!$G$8</f>
        <v>0</v>
      </c>
      <c r="K79" s="83"/>
      <c r="L79" s="125"/>
      <c r="N79" s="123"/>
      <c r="P79" s="120"/>
      <c r="R79" s="123"/>
      <c r="T79" s="120"/>
      <c r="V79" s="123">
        <f t="shared" si="19"/>
        <v>0</v>
      </c>
      <c r="X79" s="120"/>
      <c r="Z79" s="123">
        <f t="shared" si="16"/>
        <v>0</v>
      </c>
      <c r="AB79" s="120"/>
      <c r="AD79" s="123">
        <f t="shared" si="17"/>
        <v>0</v>
      </c>
      <c r="AF79" s="120"/>
      <c r="AH79" s="123">
        <f t="shared" si="18"/>
        <v>0</v>
      </c>
    </row>
    <row r="80" spans="2:34" x14ac:dyDescent="0.25">
      <c r="B80" s="82">
        <v>15</v>
      </c>
      <c r="C80" s="82" t="s">
        <v>135</v>
      </c>
      <c r="D80" s="50" t="s">
        <v>113</v>
      </c>
      <c r="E80" s="50"/>
      <c r="F80" s="50"/>
      <c r="G80" s="50"/>
      <c r="H80" s="93">
        <f>SUM(H81)</f>
        <v>8396</v>
      </c>
      <c r="J80" s="74">
        <f>H80/'2011-2012--&gt;IS Jul-Dec'!$G$8</f>
        <v>4.4797613070487948E-4</v>
      </c>
      <c r="K80" s="83">
        <v>15</v>
      </c>
      <c r="L80" s="109">
        <f>SUM(L81)</f>
        <v>8139</v>
      </c>
      <c r="N80" s="74">
        <f>L80/'2011-2012--&gt;IS Jul-Dec'!$M$4</f>
        <v>4.3646320549217541E-4</v>
      </c>
      <c r="P80" s="93">
        <f>SUM(P81)</f>
        <v>9000</v>
      </c>
      <c r="R80" s="74">
        <f t="shared" si="21"/>
        <v>4.7999308809953137E-4</v>
      </c>
      <c r="T80" s="93">
        <f>SUM(T81)</f>
        <v>8537</v>
      </c>
      <c r="V80" s="74">
        <f t="shared" si="19"/>
        <v>4.3669270419847018E-4</v>
      </c>
      <c r="X80" s="93">
        <f>SUM(X81)</f>
        <v>13834</v>
      </c>
      <c r="Z80" s="74">
        <f t="shared" si="16"/>
        <v>1.8761143412626762E-3</v>
      </c>
      <c r="AB80" s="93">
        <f>SUM(AB81)</f>
        <v>5559</v>
      </c>
      <c r="AD80" s="74">
        <f t="shared" si="17"/>
        <v>4.0224961661827107E-4</v>
      </c>
      <c r="AF80" s="93">
        <f>SUM(AF81)</f>
        <v>53465</v>
      </c>
      <c r="AH80" s="74">
        <f t="shared" si="18"/>
        <v>4.9073681372099583E-4</v>
      </c>
    </row>
    <row r="81" spans="2:34" x14ac:dyDescent="0.25">
      <c r="D81" s="60"/>
      <c r="E81" t="s">
        <v>114</v>
      </c>
      <c r="H81" s="97">
        <v>8396</v>
      </c>
      <c r="J81" s="76">
        <f>H81/'2011-2012--&gt;IS Jul-Dec'!$G$8</f>
        <v>4.4797613070487948E-4</v>
      </c>
      <c r="K81" s="83"/>
      <c r="L81" s="110">
        <v>8139</v>
      </c>
      <c r="N81" s="76">
        <f>L81/'2011-2012--&gt;IS Jul-Dec'!$M$4</f>
        <v>4.3646320549217541E-4</v>
      </c>
      <c r="P81" s="97">
        <v>9000</v>
      </c>
      <c r="R81" s="76">
        <f t="shared" si="21"/>
        <v>4.7999308809953137E-4</v>
      </c>
      <c r="T81" s="97">
        <v>8537</v>
      </c>
      <c r="V81" s="76">
        <f t="shared" si="19"/>
        <v>4.3669270419847018E-4</v>
      </c>
      <c r="X81" s="97">
        <v>13834</v>
      </c>
      <c r="Z81" s="76">
        <f t="shared" si="16"/>
        <v>1.8761143412626762E-3</v>
      </c>
      <c r="AB81" s="97">
        <v>5559</v>
      </c>
      <c r="AD81" s="76">
        <f t="shared" si="17"/>
        <v>4.0224961661827107E-4</v>
      </c>
      <c r="AF81" s="97">
        <f t="shared" ref="AF81" si="22">AB81+X81+T81+P81+L81+H81</f>
        <v>53465</v>
      </c>
      <c r="AH81" s="76">
        <f t="shared" si="18"/>
        <v>4.9073681372099583E-4</v>
      </c>
    </row>
    <row r="82" spans="2:34" s="118" customFormat="1" x14ac:dyDescent="0.25">
      <c r="B82" s="124"/>
      <c r="C82" s="124"/>
      <c r="H82" s="120"/>
      <c r="J82" s="123">
        <f>H82/'2011-2012--&gt;IS Jul-Dec'!$G$8</f>
        <v>0</v>
      </c>
      <c r="K82" s="83"/>
      <c r="L82" s="125"/>
      <c r="N82" s="123"/>
      <c r="P82" s="120"/>
      <c r="R82" s="123"/>
      <c r="T82" s="120"/>
      <c r="V82" s="123">
        <f t="shared" si="19"/>
        <v>0</v>
      </c>
      <c r="X82" s="120"/>
      <c r="Z82" s="123">
        <f t="shared" si="16"/>
        <v>0</v>
      </c>
      <c r="AB82" s="120"/>
      <c r="AD82" s="123">
        <f t="shared" si="17"/>
        <v>0</v>
      </c>
      <c r="AF82" s="120"/>
      <c r="AH82" s="123">
        <f t="shared" si="18"/>
        <v>0</v>
      </c>
    </row>
    <row r="83" spans="2:34" x14ac:dyDescent="0.25">
      <c r="B83" s="82">
        <v>16</v>
      </c>
      <c r="C83" s="82" t="s">
        <v>135</v>
      </c>
      <c r="D83" s="50" t="s">
        <v>112</v>
      </c>
      <c r="E83" s="50"/>
      <c r="F83" s="50"/>
      <c r="G83" s="50"/>
      <c r="H83" s="93">
        <f>SUM(H84:H87)</f>
        <v>24732</v>
      </c>
      <c r="J83" s="74">
        <f>H83/'2011-2012--&gt;IS Jul-Dec'!$G$8</f>
        <v>1.3195981020239494E-3</v>
      </c>
      <c r="K83" s="83">
        <v>16</v>
      </c>
      <c r="L83" s="109">
        <f>SUM(L84:L87)</f>
        <v>26255</v>
      </c>
      <c r="N83" s="74">
        <f>L83/'2011-2012--&gt;IS Jul-Dec'!$M$4</f>
        <v>1.4079544735467583E-3</v>
      </c>
      <c r="P83" s="93">
        <f>SUM(P84:P87)</f>
        <v>10440</v>
      </c>
      <c r="R83" s="74">
        <f t="shared" si="21"/>
        <v>5.5679198219545643E-4</v>
      </c>
      <c r="T83" s="93">
        <f>SUM(T84:T87)</f>
        <v>76115</v>
      </c>
      <c r="V83" s="74">
        <f t="shared" si="19"/>
        <v>3.8935065222052896E-3</v>
      </c>
      <c r="X83" s="93">
        <f>SUM(X84:X87)</f>
        <v>97844</v>
      </c>
      <c r="Z83" s="74">
        <f t="shared" si="16"/>
        <v>1.3269230273710084E-2</v>
      </c>
      <c r="AB83" s="93">
        <f>SUM(AB84:AB87)</f>
        <v>2910</v>
      </c>
      <c r="AD83" s="74">
        <f t="shared" si="17"/>
        <v>2.1056779715041712E-4</v>
      </c>
      <c r="AF83" s="93">
        <f>SUM(AF84:AF87)</f>
        <v>238296</v>
      </c>
      <c r="AH83" s="74">
        <f t="shared" si="18"/>
        <v>2.1872368794998301E-3</v>
      </c>
    </row>
    <row r="84" spans="2:34" x14ac:dyDescent="0.25">
      <c r="D84" s="50"/>
      <c r="E84" s="60" t="s">
        <v>119</v>
      </c>
      <c r="F84" s="50"/>
      <c r="G84" s="50"/>
      <c r="H84" s="105">
        <v>90</v>
      </c>
      <c r="J84" s="77">
        <f>H84/'2011-2012--&gt;IS Jul-Dec'!$G$8</f>
        <v>4.8020309389517806E-6</v>
      </c>
      <c r="K84" s="83"/>
      <c r="L84" s="114">
        <v>7775</v>
      </c>
      <c r="N84" s="77">
        <f>L84/'2011-2012--&gt;IS Jul-Dec'!$M$4</f>
        <v>4.1694328820514358E-4</v>
      </c>
      <c r="P84" s="105">
        <v>0</v>
      </c>
      <c r="R84" s="77">
        <f t="shared" si="21"/>
        <v>0</v>
      </c>
      <c r="T84" s="105">
        <v>0</v>
      </c>
      <c r="V84" s="77">
        <f t="shared" si="19"/>
        <v>0</v>
      </c>
      <c r="X84" s="105">
        <v>6630</v>
      </c>
      <c r="Z84" s="77">
        <f t="shared" si="16"/>
        <v>8.9913532474855738E-4</v>
      </c>
      <c r="AB84" s="105">
        <v>0</v>
      </c>
      <c r="AD84" s="77">
        <f t="shared" si="17"/>
        <v>0</v>
      </c>
      <c r="AF84" s="105">
        <f t="shared" ref="AF84:AF87" si="23">AB84+X84+T84+P84+L84+H84</f>
        <v>14495</v>
      </c>
      <c r="AH84" s="77">
        <f t="shared" si="18"/>
        <v>1.3304461077126781E-4</v>
      </c>
    </row>
    <row r="85" spans="2:34" x14ac:dyDescent="0.25">
      <c r="D85" s="50"/>
      <c r="E85" t="s">
        <v>140</v>
      </c>
      <c r="F85" s="50"/>
      <c r="G85" s="50"/>
      <c r="H85" s="106">
        <v>0</v>
      </c>
      <c r="J85" s="78">
        <f>H85/'2011-2012--&gt;IS Jul-Dec'!$G$8</f>
        <v>0</v>
      </c>
      <c r="K85" s="83"/>
      <c r="L85" s="115">
        <v>500</v>
      </c>
      <c r="N85" s="78">
        <f>L85/'2011-2012--&gt;IS Jul-Dec'!$M$4</f>
        <v>2.6813073196472259E-5</v>
      </c>
      <c r="P85" s="106">
        <v>1000</v>
      </c>
      <c r="R85" s="78">
        <f t="shared" si="21"/>
        <v>5.3332565344392377E-5</v>
      </c>
      <c r="T85" s="106">
        <v>0</v>
      </c>
      <c r="V85" s="78">
        <f t="shared" si="19"/>
        <v>0</v>
      </c>
      <c r="X85" s="106">
        <v>500</v>
      </c>
      <c r="Z85" s="78">
        <f t="shared" si="16"/>
        <v>6.7808093872440229E-5</v>
      </c>
      <c r="AB85" s="106">
        <v>500</v>
      </c>
      <c r="AD85" s="78">
        <f t="shared" si="17"/>
        <v>3.6180033874642114E-5</v>
      </c>
      <c r="AF85" s="106">
        <f t="shared" si="23"/>
        <v>2500</v>
      </c>
      <c r="AH85" s="78">
        <f t="shared" si="18"/>
        <v>2.2946638629056196E-5</v>
      </c>
    </row>
    <row r="86" spans="2:34" x14ac:dyDescent="0.25">
      <c r="D86" s="50"/>
      <c r="E86" t="s">
        <v>143</v>
      </c>
      <c r="F86" s="50"/>
      <c r="G86" s="50"/>
      <c r="H86" s="106">
        <v>0</v>
      </c>
      <c r="J86" s="78">
        <f>H86/'2011-2012--&gt;IS Jul-Dec'!$G$8</f>
        <v>0</v>
      </c>
      <c r="K86" s="83"/>
      <c r="L86" s="115">
        <v>0</v>
      </c>
      <c r="N86" s="78">
        <f>L86/'2011-2012--&gt;IS Jul-Dec'!$M$4</f>
        <v>0</v>
      </c>
      <c r="P86" s="106">
        <v>6090</v>
      </c>
      <c r="R86" s="78">
        <f t="shared" si="21"/>
        <v>3.2479532294734954E-4</v>
      </c>
      <c r="T86" s="106">
        <v>38829</v>
      </c>
      <c r="V86" s="78">
        <f t="shared" si="19"/>
        <v>1.9862177593208854E-3</v>
      </c>
      <c r="X86" s="106">
        <v>78964</v>
      </c>
      <c r="Z86" s="78">
        <f t="shared" si="16"/>
        <v>1.0708796649086741E-2</v>
      </c>
      <c r="AB86" s="106">
        <v>1010</v>
      </c>
      <c r="AD86" s="78">
        <f t="shared" si="17"/>
        <v>7.3083668426777068E-5</v>
      </c>
      <c r="AF86" s="106">
        <f t="shared" si="23"/>
        <v>124893</v>
      </c>
      <c r="AH86" s="78">
        <f t="shared" si="18"/>
        <v>1.1463498153194863E-3</v>
      </c>
    </row>
    <row r="87" spans="2:34" x14ac:dyDescent="0.25">
      <c r="D87" s="50"/>
      <c r="E87" t="s">
        <v>29</v>
      </c>
      <c r="F87" s="50"/>
      <c r="G87" s="50"/>
      <c r="H87" s="107">
        <v>24642</v>
      </c>
      <c r="J87" s="79">
        <f>H87/'2011-2012--&gt;IS Jul-Dec'!$G$8</f>
        <v>1.3147960710849975E-3</v>
      </c>
      <c r="K87" s="83"/>
      <c r="L87" s="116">
        <v>17980</v>
      </c>
      <c r="N87" s="79">
        <f>L87/'2011-2012--&gt;IS Jul-Dec'!$M$4</f>
        <v>9.6419811214514233E-4</v>
      </c>
      <c r="P87" s="107">
        <v>3350</v>
      </c>
      <c r="R87" s="79">
        <f t="shared" si="21"/>
        <v>1.7866409390371446E-4</v>
      </c>
      <c r="T87" s="107">
        <v>37286</v>
      </c>
      <c r="V87" s="79">
        <f t="shared" si="19"/>
        <v>1.9072887628844041E-3</v>
      </c>
      <c r="X87" s="107">
        <v>11750</v>
      </c>
      <c r="Z87" s="79">
        <f t="shared" si="16"/>
        <v>1.5934902060023453E-3</v>
      </c>
      <c r="AB87" s="107">
        <v>1400</v>
      </c>
      <c r="AD87" s="79">
        <f t="shared" si="17"/>
        <v>1.0130409484899792E-4</v>
      </c>
      <c r="AF87" s="107">
        <f t="shared" si="23"/>
        <v>96408</v>
      </c>
      <c r="AH87" s="79">
        <f t="shared" si="18"/>
        <v>8.8489581478001984E-4</v>
      </c>
    </row>
    <row r="88" spans="2:34" s="118" customFormat="1" x14ac:dyDescent="0.25">
      <c r="B88" s="124"/>
      <c r="C88" s="124"/>
      <c r="H88" s="120"/>
      <c r="J88" s="123">
        <f>H88/'2011-2012--&gt;IS Jul-Dec'!$G$8</f>
        <v>0</v>
      </c>
      <c r="K88" s="83"/>
      <c r="L88" s="125"/>
      <c r="N88" s="123"/>
      <c r="P88" s="120"/>
      <c r="R88" s="123"/>
      <c r="T88" s="120"/>
      <c r="V88" s="123">
        <f t="shared" si="19"/>
        <v>0</v>
      </c>
      <c r="X88" s="120"/>
      <c r="Z88" s="123">
        <f t="shared" si="16"/>
        <v>0</v>
      </c>
      <c r="AB88" s="120"/>
      <c r="AD88" s="123">
        <f t="shared" si="17"/>
        <v>0</v>
      </c>
      <c r="AF88" s="120"/>
      <c r="AH88" s="123">
        <f t="shared" si="18"/>
        <v>0</v>
      </c>
    </row>
    <row r="89" spans="2:34" x14ac:dyDescent="0.25">
      <c r="B89" s="82">
        <v>17</v>
      </c>
      <c r="C89" s="82" t="s">
        <v>135</v>
      </c>
      <c r="D89" s="50" t="s">
        <v>115</v>
      </c>
      <c r="H89" s="93">
        <f>SUM(H91)</f>
        <v>40000</v>
      </c>
      <c r="J89" s="74">
        <f>H89/'2011-2012--&gt;IS Jul-Dec'!$G$8</f>
        <v>2.134235972867458E-3</v>
      </c>
      <c r="K89" s="83">
        <v>17</v>
      </c>
      <c r="L89" s="109">
        <f>SUM(L90:L91)</f>
        <v>73000</v>
      </c>
      <c r="N89" s="74">
        <f>L89/'2011-2012--&gt;IS Jul-Dec'!$M$4</f>
        <v>3.9147086866849496E-3</v>
      </c>
      <c r="P89" s="93">
        <f>SUM(P90:P91)</f>
        <v>69000</v>
      </c>
      <c r="R89" s="74">
        <f t="shared" si="21"/>
        <v>3.6799470087630739E-3</v>
      </c>
      <c r="T89" s="93">
        <f>SUM(T91)</f>
        <v>40000</v>
      </c>
      <c r="V89" s="74">
        <f t="shared" si="19"/>
        <v>2.0461178596625053E-3</v>
      </c>
      <c r="X89" s="93">
        <f>SUM(X91)</f>
        <v>40000</v>
      </c>
      <c r="Z89" s="74">
        <f t="shared" si="16"/>
        <v>5.4246475097952185E-3</v>
      </c>
      <c r="AB89" s="93">
        <f>SUM(AB91)</f>
        <v>40000</v>
      </c>
      <c r="AD89" s="74">
        <f t="shared" si="17"/>
        <v>2.8944027099713694E-3</v>
      </c>
      <c r="AF89" s="93">
        <f>SUM(AF90:AF91)</f>
        <v>302000</v>
      </c>
      <c r="AH89" s="74">
        <f t="shared" si="18"/>
        <v>2.7719539463899883E-3</v>
      </c>
    </row>
    <row r="90" spans="2:34" x14ac:dyDescent="0.25">
      <c r="D90" s="50"/>
      <c r="E90" t="s">
        <v>141</v>
      </c>
      <c r="H90" s="105">
        <v>0</v>
      </c>
      <c r="I90" s="60"/>
      <c r="J90" s="77">
        <f>H90/'2011-2012--&gt;IS Jul-Dec'!$G$8</f>
        <v>0</v>
      </c>
      <c r="K90" s="83"/>
      <c r="L90" s="114">
        <v>18000</v>
      </c>
      <c r="M90" s="60"/>
      <c r="N90" s="77">
        <f>L90/'2011-2012--&gt;IS Jul-Dec'!$M$4</f>
        <v>9.652706350730013E-4</v>
      </c>
      <c r="O90" s="60"/>
      <c r="P90" s="105">
        <v>29000</v>
      </c>
      <c r="Q90" s="60"/>
      <c r="R90" s="77">
        <f t="shared" si="21"/>
        <v>1.5466443949873788E-3</v>
      </c>
      <c r="S90" s="60"/>
      <c r="T90" s="105">
        <v>0</v>
      </c>
      <c r="U90" s="60"/>
      <c r="V90" s="77">
        <f t="shared" si="19"/>
        <v>0</v>
      </c>
      <c r="W90" s="60"/>
      <c r="X90" s="105">
        <v>0</v>
      </c>
      <c r="Y90" s="60"/>
      <c r="Z90" s="77">
        <f t="shared" si="16"/>
        <v>0</v>
      </c>
      <c r="AA90" s="60"/>
      <c r="AB90" s="105">
        <v>0</v>
      </c>
      <c r="AC90" s="60"/>
      <c r="AD90" s="77">
        <f t="shared" si="17"/>
        <v>0</v>
      </c>
      <c r="AE90" s="60"/>
      <c r="AF90" s="105">
        <f t="shared" ref="AF90:AF91" si="24">AB90+X90+T90+P90+L90+H90</f>
        <v>47000</v>
      </c>
      <c r="AG90" s="60"/>
      <c r="AH90" s="77">
        <f t="shared" si="18"/>
        <v>4.3139680622625651E-4</v>
      </c>
    </row>
    <row r="91" spans="2:34" x14ac:dyDescent="0.25">
      <c r="E91" t="s">
        <v>116</v>
      </c>
      <c r="H91" s="100">
        <v>40000</v>
      </c>
      <c r="J91" s="79">
        <f>H91/'2011-2012--&gt;IS Jul-Dec'!$G$8</f>
        <v>2.134235972867458E-3</v>
      </c>
      <c r="K91" s="83"/>
      <c r="L91" s="113">
        <v>55000</v>
      </c>
      <c r="N91" s="79">
        <f>L91/'2011-2012--&gt;IS Jul-Dec'!$M$4</f>
        <v>2.9494380516119482E-3</v>
      </c>
      <c r="P91" s="140">
        <v>40000</v>
      </c>
      <c r="R91" s="79">
        <f t="shared" si="21"/>
        <v>2.1333026137756949E-3</v>
      </c>
      <c r="T91" s="100">
        <v>40000</v>
      </c>
      <c r="V91" s="79">
        <f t="shared" si="19"/>
        <v>2.0461178596625053E-3</v>
      </c>
      <c r="X91" s="100">
        <v>40000</v>
      </c>
      <c r="Z91" s="79">
        <f t="shared" si="16"/>
        <v>5.4246475097952185E-3</v>
      </c>
      <c r="AB91" s="100">
        <v>40000</v>
      </c>
      <c r="AD91" s="79">
        <f t="shared" si="17"/>
        <v>2.8944027099713694E-3</v>
      </c>
      <c r="AF91" s="100">
        <f t="shared" si="24"/>
        <v>255000</v>
      </c>
      <c r="AH91" s="79">
        <f t="shared" si="18"/>
        <v>2.3405571401637318E-3</v>
      </c>
    </row>
    <row r="92" spans="2:34" s="118" customFormat="1" x14ac:dyDescent="0.25">
      <c r="B92" s="124"/>
      <c r="C92" s="124"/>
      <c r="H92" s="120"/>
      <c r="J92" s="123">
        <f>H92/'2011-2012--&gt;IS Jul-Dec'!$G$8</f>
        <v>0</v>
      </c>
      <c r="K92" s="83"/>
      <c r="L92" s="125"/>
      <c r="N92" s="123"/>
      <c r="P92" s="120"/>
      <c r="R92" s="123"/>
      <c r="T92" s="120"/>
      <c r="V92" s="123">
        <f t="shared" si="19"/>
        <v>0</v>
      </c>
      <c r="X92" s="120"/>
      <c r="Z92" s="123">
        <f t="shared" si="16"/>
        <v>0</v>
      </c>
      <c r="AB92" s="120"/>
      <c r="AD92" s="123">
        <f t="shared" si="17"/>
        <v>0</v>
      </c>
      <c r="AF92" s="120"/>
      <c r="AH92" s="123">
        <f t="shared" si="18"/>
        <v>0</v>
      </c>
    </row>
    <row r="93" spans="2:34" x14ac:dyDescent="0.25">
      <c r="B93" s="82">
        <v>18</v>
      </c>
      <c r="C93" s="82" t="s">
        <v>135</v>
      </c>
      <c r="D93" s="50" t="s">
        <v>117</v>
      </c>
      <c r="H93" s="93">
        <f>SUM(H94)</f>
        <v>36323</v>
      </c>
      <c r="J93" s="74">
        <f>H93/'2011-2012--&gt;IS Jul-Dec'!$G$8</f>
        <v>1.938046331061617E-3</v>
      </c>
      <c r="K93" s="83">
        <v>18</v>
      </c>
      <c r="L93" s="109">
        <f>SUM(L94)</f>
        <v>9450</v>
      </c>
      <c r="N93" s="74">
        <f>L93/'2011-2012--&gt;IS Jul-Dec'!$M$4</f>
        <v>5.0676708341332571E-4</v>
      </c>
      <c r="P93" s="93">
        <f>SUM(P94)</f>
        <v>0</v>
      </c>
      <c r="R93" s="74">
        <f t="shared" si="21"/>
        <v>0</v>
      </c>
      <c r="T93" s="93">
        <f>SUM(T94)</f>
        <v>0</v>
      </c>
      <c r="V93" s="74">
        <f t="shared" si="19"/>
        <v>0</v>
      </c>
      <c r="X93" s="93">
        <f>SUM(X94)</f>
        <v>0</v>
      </c>
      <c r="Z93" s="74">
        <f t="shared" si="16"/>
        <v>0</v>
      </c>
      <c r="AB93" s="93">
        <f>SUM(AB94)</f>
        <v>334505</v>
      </c>
      <c r="AD93" s="74">
        <f t="shared" si="17"/>
        <v>2.4204804462474323E-2</v>
      </c>
      <c r="AF93" s="93">
        <f>SUM(AF94)</f>
        <v>380278</v>
      </c>
      <c r="AH93" s="74">
        <f t="shared" si="18"/>
        <v>3.4904407378320928E-3</v>
      </c>
    </row>
    <row r="94" spans="2:34" x14ac:dyDescent="0.25">
      <c r="E94" t="s">
        <v>118</v>
      </c>
      <c r="H94" s="97">
        <v>36323</v>
      </c>
      <c r="J94" s="76">
        <f>H94/'2011-2012--&gt;IS Jul-Dec'!$G$8</f>
        <v>1.938046331061617E-3</v>
      </c>
      <c r="K94" s="83"/>
      <c r="L94" s="110">
        <v>9450</v>
      </c>
      <c r="N94" s="76">
        <f>L94/'2011-2012--&gt;IS Jul-Dec'!$M$4</f>
        <v>5.0676708341332571E-4</v>
      </c>
      <c r="P94" s="97">
        <v>0</v>
      </c>
      <c r="R94" s="76">
        <f t="shared" si="21"/>
        <v>0</v>
      </c>
      <c r="T94" s="97">
        <v>0</v>
      </c>
      <c r="V94" s="76">
        <f t="shared" si="19"/>
        <v>0</v>
      </c>
      <c r="X94" s="97">
        <v>0</v>
      </c>
      <c r="Z94" s="76">
        <f t="shared" si="16"/>
        <v>0</v>
      </c>
      <c r="AB94" s="97">
        <v>334505</v>
      </c>
      <c r="AD94" s="76">
        <f t="shared" si="17"/>
        <v>2.4204804462474323E-2</v>
      </c>
      <c r="AF94" s="97">
        <f t="shared" ref="AF94" si="25">AB94+X94+T94+P94+L94+H94</f>
        <v>380278</v>
      </c>
      <c r="AH94" s="76">
        <f t="shared" si="18"/>
        <v>3.4904407378320928E-3</v>
      </c>
    </row>
    <row r="95" spans="2:34" s="118" customFormat="1" x14ac:dyDescent="0.25">
      <c r="B95" s="124"/>
      <c r="C95" s="124"/>
      <c r="H95" s="120"/>
      <c r="J95" s="123">
        <f>H95/'2011-2012--&gt;IS Jul-Dec'!$G$8</f>
        <v>0</v>
      </c>
      <c r="K95" s="83"/>
      <c r="L95" s="125"/>
      <c r="N95" s="123"/>
      <c r="P95" s="120"/>
      <c r="R95" s="123"/>
      <c r="T95" s="120"/>
      <c r="V95" s="123">
        <f t="shared" si="19"/>
        <v>0</v>
      </c>
      <c r="X95" s="120"/>
      <c r="Z95" s="123">
        <f t="shared" si="16"/>
        <v>0</v>
      </c>
      <c r="AB95" s="120"/>
      <c r="AD95" s="123">
        <f t="shared" si="17"/>
        <v>0</v>
      </c>
      <c r="AF95" s="120"/>
      <c r="AH95" s="123">
        <f t="shared" si="18"/>
        <v>0</v>
      </c>
    </row>
    <row r="96" spans="2:34" x14ac:dyDescent="0.25">
      <c r="B96" s="82">
        <v>19</v>
      </c>
      <c r="C96" s="82" t="s">
        <v>135</v>
      </c>
      <c r="D96" s="50" t="s">
        <v>132</v>
      </c>
      <c r="H96" s="93">
        <f>SUM(H97)</f>
        <v>106240</v>
      </c>
      <c r="J96" s="74">
        <f>H96/'2011-2012--&gt;IS Jul-Dec'!$G$8</f>
        <v>5.668530743935969E-3</v>
      </c>
      <c r="K96" s="83">
        <v>19</v>
      </c>
      <c r="L96" s="109">
        <f>SUM(L97)</f>
        <v>0</v>
      </c>
      <c r="N96" s="74">
        <f>L96/'2011-2012--&gt;IS Jul-Dec'!$M$4</f>
        <v>0</v>
      </c>
      <c r="P96" s="93">
        <f>SUM(P97)</f>
        <v>35700</v>
      </c>
      <c r="R96" s="74">
        <f t="shared" si="21"/>
        <v>1.9039725827948077E-3</v>
      </c>
      <c r="T96" s="93">
        <f>SUM(T97)</f>
        <v>0</v>
      </c>
      <c r="V96" s="74">
        <f t="shared" si="19"/>
        <v>0</v>
      </c>
      <c r="X96" s="93">
        <f>SUM(X97)</f>
        <v>89400</v>
      </c>
      <c r="Z96" s="74">
        <f t="shared" si="16"/>
        <v>1.2124087184392313E-2</v>
      </c>
      <c r="AB96" s="93">
        <f>SUM(AB97)</f>
        <v>0</v>
      </c>
      <c r="AD96" s="74">
        <f t="shared" si="17"/>
        <v>0</v>
      </c>
      <c r="AF96" s="93">
        <f>SUM(AF97)</f>
        <v>231340</v>
      </c>
      <c r="AH96" s="74">
        <f t="shared" si="18"/>
        <v>2.1233901521783443E-3</v>
      </c>
    </row>
    <row r="97" spans="1:34" x14ac:dyDescent="0.25">
      <c r="E97" t="s">
        <v>122</v>
      </c>
      <c r="H97" s="97">
        <v>106240</v>
      </c>
      <c r="J97" s="76">
        <f>H97/'2011-2012--&gt;IS Jul-Dec'!$G$8</f>
        <v>5.668530743935969E-3</v>
      </c>
      <c r="K97" s="83"/>
      <c r="L97" s="97">
        <v>0</v>
      </c>
      <c r="N97" s="76">
        <f>L97/'2011-2012--&gt;IS Jul-Dec'!$M$4</f>
        <v>0</v>
      </c>
      <c r="P97" s="97">
        <v>35700</v>
      </c>
      <c r="R97" s="76">
        <f t="shared" si="21"/>
        <v>1.9039725827948077E-3</v>
      </c>
      <c r="T97" s="97">
        <v>0</v>
      </c>
      <c r="V97" s="76">
        <f t="shared" si="19"/>
        <v>0</v>
      </c>
      <c r="X97" s="97">
        <v>89400</v>
      </c>
      <c r="Z97" s="76">
        <f t="shared" si="16"/>
        <v>1.2124087184392313E-2</v>
      </c>
      <c r="AB97" s="97">
        <v>0</v>
      </c>
      <c r="AD97" s="76">
        <f t="shared" si="17"/>
        <v>0</v>
      </c>
      <c r="AF97" s="97">
        <f t="shared" ref="AF97" si="26">AB97+X97+T97+P97+L97+H97</f>
        <v>231340</v>
      </c>
      <c r="AH97" s="76">
        <f t="shared" si="18"/>
        <v>2.1233901521783443E-3</v>
      </c>
    </row>
    <row r="98" spans="1:34" s="118" customFormat="1" x14ac:dyDescent="0.25">
      <c r="B98" s="124"/>
      <c r="C98" s="124"/>
      <c r="H98" s="120"/>
      <c r="J98" s="123">
        <f>H98/'2011-2012--&gt;IS Jul-Dec'!$G$8</f>
        <v>0</v>
      </c>
      <c r="K98" s="83"/>
      <c r="L98" s="120"/>
      <c r="N98" s="123"/>
      <c r="P98" s="120"/>
      <c r="R98" s="123"/>
      <c r="T98" s="120"/>
      <c r="V98" s="123">
        <f t="shared" si="19"/>
        <v>0</v>
      </c>
      <c r="X98" s="120"/>
      <c r="Z98" s="123">
        <f t="shared" si="16"/>
        <v>0</v>
      </c>
      <c r="AB98" s="120"/>
      <c r="AD98" s="123">
        <f t="shared" si="17"/>
        <v>0</v>
      </c>
      <c r="AF98" s="120"/>
      <c r="AH98" s="123">
        <f t="shared" si="18"/>
        <v>0</v>
      </c>
    </row>
    <row r="99" spans="1:34" s="128" customFormat="1" x14ac:dyDescent="0.25">
      <c r="B99" s="127">
        <v>20</v>
      </c>
      <c r="C99" s="127" t="s">
        <v>135</v>
      </c>
      <c r="D99" s="129" t="s">
        <v>142</v>
      </c>
      <c r="E99" s="129"/>
      <c r="F99" s="129"/>
      <c r="H99" s="130">
        <v>0</v>
      </c>
      <c r="J99" s="131">
        <f>H99/'2011-2012--&gt;IS Jul-Dec'!$G$8</f>
        <v>0</v>
      </c>
      <c r="K99" s="83">
        <v>20</v>
      </c>
      <c r="L99" s="130">
        <v>0</v>
      </c>
      <c r="N99" s="131">
        <f>L99/'2011-2012--&gt;IS Jul-Dec'!$M$4</f>
        <v>0</v>
      </c>
      <c r="P99" s="130">
        <v>12600</v>
      </c>
      <c r="R99" s="131">
        <f t="shared" si="21"/>
        <v>6.7199032333934393E-4</v>
      </c>
      <c r="T99" s="130">
        <v>1500</v>
      </c>
      <c r="V99" s="131">
        <f t="shared" si="19"/>
        <v>7.6729419737343939E-5</v>
      </c>
      <c r="X99" s="130">
        <v>0</v>
      </c>
      <c r="Z99" s="131">
        <f t="shared" si="16"/>
        <v>0</v>
      </c>
      <c r="AB99" s="130">
        <v>0</v>
      </c>
      <c r="AD99" s="131">
        <f t="shared" si="17"/>
        <v>0</v>
      </c>
      <c r="AF99" s="130">
        <f t="shared" ref="AF99" si="27">AB99+X99+T99+P99+L99+H99</f>
        <v>14100</v>
      </c>
      <c r="AH99" s="131">
        <f t="shared" si="18"/>
        <v>1.2941904186787695E-4</v>
      </c>
    </row>
    <row r="100" spans="1:34" s="118" customFormat="1" x14ac:dyDescent="0.25">
      <c r="B100" s="82"/>
      <c r="C100" s="82"/>
      <c r="D100" s="50"/>
      <c r="E100"/>
      <c r="F100"/>
      <c r="H100" s="120"/>
      <c r="J100" s="123">
        <f>H100/'2011-2012--&gt;IS Jul-Dec'!$G$8</f>
        <v>0</v>
      </c>
      <c r="K100" s="83"/>
      <c r="L100" s="120"/>
      <c r="N100" s="123"/>
      <c r="P100" s="120"/>
      <c r="R100" s="123"/>
      <c r="T100" s="120"/>
      <c r="V100" s="123">
        <f t="shared" si="19"/>
        <v>0</v>
      </c>
      <c r="X100" s="120"/>
      <c r="Z100" s="123">
        <f t="shared" si="16"/>
        <v>0</v>
      </c>
      <c r="AB100" s="120"/>
      <c r="AD100" s="123">
        <f t="shared" si="17"/>
        <v>0</v>
      </c>
      <c r="AF100" s="120"/>
      <c r="AH100" s="123">
        <f t="shared" si="18"/>
        <v>0</v>
      </c>
    </row>
    <row r="101" spans="1:34" ht="15.75" thickBot="1" x14ac:dyDescent="0.3">
      <c r="D101" s="50" t="s">
        <v>123</v>
      </c>
      <c r="H101" s="108">
        <f>H96+H93+H89+H83+H80+H78+H73+H69+H67+H62+H60+H54+H47+H37+H32+H25+H18+H15+H7</f>
        <v>11770583</v>
      </c>
      <c r="J101" s="73">
        <f>H101/'2011-2012--&gt;IS Jul-Dec'!$G$8</f>
        <v>0.62803004150555408</v>
      </c>
      <c r="K101" s="83"/>
      <c r="L101" s="108">
        <f>L96+L93+L89+L83+L80+L78+L73+L69+L67+L62+L60+L54+L47+L37+L32+L25+L18+L15+L7</f>
        <v>11586094</v>
      </c>
      <c r="N101" s="73">
        <f>L101/'2011-2012--&gt;IS Jul-Dec'!$M$4</f>
        <v>0.6213175729664161</v>
      </c>
      <c r="P101" s="108">
        <f>P96+P93+P89+P83+P80+P78+P73+P69+P67+P62+P60+P54+P47+P37+P32+P25+P18+P15+P7+P99</f>
        <v>12238498</v>
      </c>
      <c r="R101" s="73">
        <f t="shared" si="21"/>
        <v>0.65271049430221539</v>
      </c>
      <c r="T101" s="108">
        <f>T96+T93+T89+T83+T80+T78+T73+T69+T67+T62+T60+T54+T47+T37+T32+T25+T18+T15+T7+T99</f>
        <v>11594880</v>
      </c>
      <c r="V101" s="73">
        <f t="shared" si="19"/>
        <v>0.59311227621608964</v>
      </c>
      <c r="X101" s="108">
        <f>X96+X93+X89+X83+X80+X78+X73+X69+X67+X62+X60+X54+X47+X37+X32+X25+X18+X15+X7</f>
        <v>12952944</v>
      </c>
      <c r="Z101" s="73">
        <f t="shared" si="16"/>
        <v>1.7566288853529228</v>
      </c>
      <c r="AB101" s="108">
        <f>AB96+AB93+AB89+AB83+AB80+AB78+AB73+AB69+AB67+AB62+AB60+AB54+AB47+AB37+AB32+AB25+AB18+AB15+AB7</f>
        <v>10482216</v>
      </c>
      <c r="AD101" s="73">
        <f>AB101/$AD$4</f>
        <v>0.75849385992263119</v>
      </c>
      <c r="AF101" s="108">
        <f>AF96+AF93+AF89+AF83+AF80+AF78+AF73+AF69+AF67+AF62+AF60+AF54+AF47+AF37+AF32+AF25+AF18+AF15+AF7+AF99</f>
        <v>70625215</v>
      </c>
      <c r="AH101" s="73">
        <f t="shared" si="18"/>
        <v>0.64824451468175959</v>
      </c>
    </row>
    <row r="102" spans="1:34" ht="15.75" thickTop="1" x14ac:dyDescent="0.25">
      <c r="J102" s="71"/>
      <c r="K102" s="83"/>
    </row>
    <row r="103" spans="1:34" x14ac:dyDescent="0.25">
      <c r="J103" s="71"/>
    </row>
    <row r="104" spans="1:34" s="118" customFormat="1" x14ac:dyDescent="0.25">
      <c r="A104" s="128"/>
      <c r="B104" s="127"/>
      <c r="C104" s="127"/>
      <c r="D104" s="128"/>
      <c r="E104" s="128"/>
      <c r="F104" s="128"/>
      <c r="G104" s="128"/>
      <c r="H104" s="130">
        <v>14280948</v>
      </c>
      <c r="I104" s="128"/>
      <c r="J104" s="133"/>
      <c r="K104" s="128"/>
      <c r="L104" s="130">
        <v>13588043</v>
      </c>
      <c r="M104" s="128"/>
      <c r="N104" s="128"/>
      <c r="O104" s="128"/>
      <c r="P104" s="130">
        <v>14188726</v>
      </c>
      <c r="Q104" s="128"/>
      <c r="R104" s="128"/>
      <c r="S104" s="128"/>
      <c r="T104" s="130">
        <v>13615650</v>
      </c>
      <c r="U104" s="128"/>
      <c r="V104" s="128"/>
      <c r="W104" s="128"/>
      <c r="X104" s="130">
        <v>15236039</v>
      </c>
      <c r="Y104" s="128"/>
      <c r="Z104" s="128"/>
      <c r="AA104" s="128"/>
      <c r="AB104" s="130">
        <v>14059473</v>
      </c>
      <c r="AC104" s="128"/>
      <c r="AD104" s="128"/>
      <c r="AF104" s="130">
        <f>'2011-2012--&gt;IS Jul-Dec'!AE14</f>
        <v>70625215</v>
      </c>
    </row>
    <row r="105" spans="1:34" s="118" customFormat="1" x14ac:dyDescent="0.25">
      <c r="A105" s="128"/>
      <c r="B105" s="127"/>
      <c r="C105" s="127"/>
      <c r="D105" s="128"/>
      <c r="E105" s="128"/>
      <c r="F105" s="128"/>
      <c r="G105" s="128"/>
      <c r="H105" s="130">
        <f>H104-H101</f>
        <v>2510365</v>
      </c>
      <c r="I105" s="128"/>
      <c r="J105" s="133"/>
      <c r="K105" s="128"/>
      <c r="L105" s="130">
        <f>L104-L101</f>
        <v>2001949</v>
      </c>
      <c r="M105" s="128"/>
      <c r="N105" s="128"/>
      <c r="O105" s="128"/>
      <c r="P105" s="130">
        <f>P104-P101</f>
        <v>1950228</v>
      </c>
      <c r="Q105" s="128"/>
      <c r="R105" s="128"/>
      <c r="S105" s="128"/>
      <c r="T105" s="130">
        <f>T104-T101</f>
        <v>2020770</v>
      </c>
      <c r="U105" s="128"/>
      <c r="V105" s="128"/>
      <c r="W105" s="128"/>
      <c r="X105" s="130">
        <f>X104-X101</f>
        <v>2283095</v>
      </c>
      <c r="Y105" s="128"/>
      <c r="Z105" s="128"/>
      <c r="AA105" s="128"/>
      <c r="AB105" s="130">
        <f>AB104-AB101</f>
        <v>3577257</v>
      </c>
      <c r="AC105" s="128"/>
      <c r="AD105" s="128"/>
      <c r="AF105" s="130">
        <f>AF104-AF101</f>
        <v>0</v>
      </c>
    </row>
    <row r="106" spans="1:34" x14ac:dyDescent="0.25">
      <c r="A106" s="128"/>
      <c r="B106" s="127"/>
      <c r="C106" s="127"/>
      <c r="D106" s="128"/>
      <c r="E106" s="128"/>
      <c r="F106" s="128"/>
      <c r="G106" s="128"/>
      <c r="H106" s="130"/>
      <c r="I106" s="128"/>
      <c r="J106" s="133"/>
      <c r="K106" s="128"/>
      <c r="L106" s="130"/>
      <c r="M106" s="128"/>
      <c r="N106" s="128"/>
      <c r="O106" s="128"/>
      <c r="P106" s="130"/>
      <c r="Q106" s="128"/>
      <c r="R106" s="128"/>
      <c r="S106" s="128"/>
      <c r="T106" s="130"/>
      <c r="U106" s="128"/>
      <c r="V106" s="128"/>
      <c r="W106" s="128"/>
      <c r="X106" s="130"/>
      <c r="Y106" s="128"/>
      <c r="Z106" s="128"/>
      <c r="AA106" s="128"/>
      <c r="AB106" s="130"/>
      <c r="AC106" s="128"/>
      <c r="AD106" s="128"/>
    </row>
    <row r="107" spans="1:34" x14ac:dyDescent="0.25">
      <c r="A107" s="128"/>
      <c r="B107" s="127"/>
      <c r="C107" s="127"/>
      <c r="D107" s="128"/>
      <c r="E107" s="128"/>
      <c r="F107" s="128"/>
      <c r="G107" s="128"/>
      <c r="H107" s="130"/>
      <c r="I107" s="128"/>
      <c r="J107" s="133"/>
      <c r="K107" s="128"/>
      <c r="L107" s="130"/>
      <c r="M107" s="128"/>
      <c r="N107" s="128"/>
      <c r="O107" s="128"/>
      <c r="P107" s="130"/>
      <c r="Q107" s="128"/>
      <c r="R107" s="128"/>
      <c r="S107" s="128"/>
      <c r="T107" s="130"/>
      <c r="U107" s="128"/>
      <c r="V107" s="128"/>
      <c r="W107" s="128"/>
      <c r="X107" s="130"/>
      <c r="Y107" s="128"/>
      <c r="Z107" s="128"/>
      <c r="AA107" s="128"/>
      <c r="AB107" s="130"/>
      <c r="AC107" s="128"/>
      <c r="AD107" s="128"/>
    </row>
  </sheetData>
  <mergeCells count="8">
    <mergeCell ref="AF5:AH5"/>
    <mergeCell ref="AF4:AH4"/>
    <mergeCell ref="AB5:AD5"/>
    <mergeCell ref="H5:J5"/>
    <mergeCell ref="L5:N5"/>
    <mergeCell ref="P5:R5"/>
    <mergeCell ref="T5:V5"/>
    <mergeCell ref="X5:Z5"/>
  </mergeCells>
  <pageMargins left="0.17" right="0.18" top="0.37" bottom="0.43" header="0.17" footer="0.3"/>
  <pageSetup scale="65" orientation="landscape" verticalDpi="0" r:id="rId1"/>
  <headerFoot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6" zoomScaleNormal="86" workbookViewId="0">
      <selection activeCell="N12" sqref="N12"/>
    </sheetView>
  </sheetViews>
  <sheetFormatPr defaultRowHeight="15" x14ac:dyDescent="0.25"/>
  <cols>
    <col min="1" max="2" width="2.85546875" customWidth="1"/>
    <col min="6" max="6" width="4.140625" style="84" bestFit="1" customWidth="1"/>
    <col min="7" max="7" width="14.28515625" style="92" customWidth="1"/>
    <col min="8" max="12" width="14.28515625" customWidth="1"/>
  </cols>
  <sheetData>
    <row r="1" spans="1:12" ht="18" x14ac:dyDescent="0.25">
      <c r="A1" s="61" t="s">
        <v>146</v>
      </c>
    </row>
    <row r="2" spans="1:12" ht="16.5" x14ac:dyDescent="0.25">
      <c r="A2" s="62" t="s">
        <v>1</v>
      </c>
    </row>
    <row r="3" spans="1:12" ht="16.5" x14ac:dyDescent="0.25">
      <c r="A3" s="62" t="s">
        <v>147</v>
      </c>
    </row>
    <row r="5" spans="1:12" x14ac:dyDescent="0.25">
      <c r="G5" s="141" t="s">
        <v>153</v>
      </c>
      <c r="H5" s="141" t="s">
        <v>152</v>
      </c>
      <c r="I5" s="141" t="s">
        <v>151</v>
      </c>
      <c r="J5" s="141" t="s">
        <v>150</v>
      </c>
      <c r="K5" s="141" t="s">
        <v>149</v>
      </c>
      <c r="L5" s="141" t="s">
        <v>148</v>
      </c>
    </row>
    <row r="6" spans="1:12" x14ac:dyDescent="0.25">
      <c r="H6" s="92"/>
      <c r="I6" s="92"/>
      <c r="J6" s="92"/>
      <c r="K6" s="92"/>
      <c r="L6" s="92"/>
    </row>
    <row r="7" spans="1:12" x14ac:dyDescent="0.25">
      <c r="B7" s="50" t="s">
        <v>3</v>
      </c>
      <c r="C7" s="50"/>
      <c r="D7" s="50"/>
      <c r="E7" s="50"/>
      <c r="F7" s="85"/>
      <c r="G7" s="93">
        <f>HLOOKUP(G$5,'2011-2012--&gt;IS Jul-Dec'!$G$5:$AC$40,3,FALSE)</f>
        <v>13875834</v>
      </c>
      <c r="H7" s="93">
        <f>HLOOKUP(H$5,'2011-2012--&gt;IS Jul-Dec'!$G$5:$AC$40,3,FALSE)</f>
        <v>23013418</v>
      </c>
      <c r="I7" s="93">
        <f>HLOOKUP(I$5,'2011-2012--&gt;IS Jul-Dec'!$G$5:$AC$40,3,FALSE)</f>
        <v>19697866</v>
      </c>
      <c r="J7" s="93">
        <f>HLOOKUP(J$5,'2011-2012--&gt;IS Jul-Dec'!$G$5:$AC$40,3,FALSE)</f>
        <v>18891878</v>
      </c>
      <c r="K7" s="93">
        <f>HLOOKUP(K$5,'2011-2012--&gt;IS Jul-Dec'!$G$5:$AC$40,3,FALSE)</f>
        <v>18687330</v>
      </c>
      <c r="L7" s="93">
        <f>HLOOKUP(L$5,'2011-2012--&gt;IS Jul-Dec'!$G$5:$AC$40,3,FALSE)</f>
        <v>18792170</v>
      </c>
    </row>
    <row r="8" spans="1:12" s="118" customFormat="1" x14ac:dyDescent="0.25">
      <c r="A8"/>
      <c r="F8" s="119"/>
      <c r="G8" s="120"/>
      <c r="H8" s="120"/>
      <c r="I8" s="120"/>
      <c r="J8" s="120"/>
      <c r="K8" s="120"/>
      <c r="L8" s="120"/>
    </row>
    <row r="9" spans="1:12" x14ac:dyDescent="0.25">
      <c r="B9" s="50" t="s">
        <v>124</v>
      </c>
      <c r="C9" s="50"/>
      <c r="D9" s="50"/>
      <c r="E9" s="50"/>
      <c r="F9" s="85"/>
      <c r="G9" s="93">
        <f>HLOOKUP(G$5,'2011-2012--&gt;IS Jul-Dec'!$G$5:$AC$40,10,FALSE)</f>
        <v>10482216</v>
      </c>
      <c r="H9" s="93">
        <f>HLOOKUP(H$5,'2011-2012--&gt;IS Jul-Dec'!$G$5:$AC$40,10,FALSE)</f>
        <v>12952944</v>
      </c>
      <c r="I9" s="93">
        <f>HLOOKUP(I$5,'2011-2012--&gt;IS Jul-Dec'!$G$5:$AC$40,10,FALSE)</f>
        <v>11594880</v>
      </c>
      <c r="J9" s="93">
        <f>HLOOKUP(J$5,'2011-2012--&gt;IS Jul-Dec'!$G$5:$AC$40,10,FALSE)</f>
        <v>12238498</v>
      </c>
      <c r="K9" s="93">
        <f>HLOOKUP(K$5,'2011-2012--&gt;IS Jul-Dec'!$G$5:$AC$40,10,FALSE)</f>
        <v>11586094</v>
      </c>
      <c r="L9" s="93">
        <f>HLOOKUP(L$5,'2011-2012--&gt;IS Jul-Dec'!$G$5:$AC$40,10,FALSE)</f>
        <v>11770583</v>
      </c>
    </row>
    <row r="10" spans="1:12" s="118" customFormat="1" x14ac:dyDescent="0.25">
      <c r="A10"/>
      <c r="F10" s="119"/>
      <c r="G10" s="120"/>
      <c r="H10" s="120"/>
      <c r="I10" s="120"/>
      <c r="J10" s="120"/>
      <c r="K10" s="120"/>
      <c r="L10" s="120"/>
    </row>
    <row r="11" spans="1:12" x14ac:dyDescent="0.25">
      <c r="B11" s="50" t="s">
        <v>72</v>
      </c>
      <c r="G11" s="117">
        <f>G7-G9</f>
        <v>3393618</v>
      </c>
      <c r="H11" s="117">
        <f t="shared" ref="H11:L11" si="0">H7-H9</f>
        <v>10060474</v>
      </c>
      <c r="I11" s="117">
        <f t="shared" si="0"/>
        <v>8102986</v>
      </c>
      <c r="J11" s="117">
        <f t="shared" si="0"/>
        <v>6653380</v>
      </c>
      <c r="K11" s="117">
        <f t="shared" si="0"/>
        <v>7101236</v>
      </c>
      <c r="L11" s="117">
        <f t="shared" si="0"/>
        <v>7021587</v>
      </c>
    </row>
    <row r="12" spans="1:12" s="118" customFormat="1" x14ac:dyDescent="0.25">
      <c r="A12"/>
      <c r="F12" s="119"/>
      <c r="G12" s="120"/>
      <c r="H12" s="120"/>
      <c r="I12" s="120"/>
      <c r="J12" s="120"/>
      <c r="K12" s="120"/>
      <c r="L12" s="120"/>
    </row>
    <row r="13" spans="1:12" x14ac:dyDescent="0.25">
      <c r="B13" t="s">
        <v>126</v>
      </c>
      <c r="G13" s="92">
        <f>HLOOKUP(G$5,'2011-2012--&gt;IS Jul-Dec'!$G$5:$AC$40,34,FALSE)</f>
        <v>1138698.5</v>
      </c>
      <c r="H13" s="92">
        <f>HLOOKUP(H$5,'2011-2012--&gt;IS Jul-Dec'!$G$5:$AC$40,34,FALSE)</f>
        <v>2353311</v>
      </c>
      <c r="I13" s="92">
        <f>HLOOKUP(I$5,'2011-2012--&gt;IS Jul-Dec'!$G$5:$AC$40,34,FALSE)</f>
        <v>2353311</v>
      </c>
      <c r="J13" s="92">
        <f>HLOOKUP(J$5,'2011-2012--&gt;IS Jul-Dec'!$G$5:$AC$40,34,FALSE)</f>
        <v>2285274</v>
      </c>
      <c r="K13" s="92">
        <f>HLOOKUP(K$5,'2011-2012--&gt;IS Jul-Dec'!$G$5:$AC$40,34,FALSE)</f>
        <v>2285274</v>
      </c>
      <c r="L13" s="92">
        <f>HLOOKUP(L$5,'2011-2012--&gt;IS Jul-Dec'!$G$5:$AC$40,34,FALSE)</f>
        <v>2319292.5</v>
      </c>
    </row>
    <row r="14" spans="1:12" s="118" customFormat="1" x14ac:dyDescent="0.25">
      <c r="A14"/>
      <c r="F14" s="119"/>
      <c r="G14" s="120"/>
      <c r="H14" s="120"/>
      <c r="I14" s="120"/>
      <c r="J14" s="120"/>
      <c r="K14" s="120"/>
      <c r="L14" s="120"/>
    </row>
    <row r="15" spans="1:12" ht="15.75" thickBot="1" x14ac:dyDescent="0.3">
      <c r="B15" s="50" t="s">
        <v>125</v>
      </c>
      <c r="E15" s="50"/>
      <c r="F15" s="85"/>
      <c r="G15" s="108">
        <f>G11-G13</f>
        <v>2254919.5</v>
      </c>
      <c r="H15" s="108">
        <f t="shared" ref="H15:L15" si="1">H11-H13</f>
        <v>7707163</v>
      </c>
      <c r="I15" s="108">
        <f t="shared" si="1"/>
        <v>5749675</v>
      </c>
      <c r="J15" s="108">
        <f t="shared" si="1"/>
        <v>4368106</v>
      </c>
      <c r="K15" s="108">
        <f t="shared" si="1"/>
        <v>4815962</v>
      </c>
      <c r="L15" s="108">
        <f t="shared" si="1"/>
        <v>4702294.5</v>
      </c>
    </row>
    <row r="16" spans="1:12" ht="15.75" thickTop="1" x14ac:dyDescent="0.25"/>
  </sheetData>
  <pageMargins left="0.17" right="0.18" top="0.47" bottom="0.42" header="1.1200000000000001" footer="0.17"/>
  <pageSetup scale="6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workbookViewId="0">
      <selection activeCell="L4" sqref="L4:L13"/>
    </sheetView>
  </sheetViews>
  <sheetFormatPr defaultRowHeight="12.75" x14ac:dyDescent="0.2"/>
  <cols>
    <col min="1" max="1" width="1.42578125" style="142" customWidth="1"/>
    <col min="2" max="4" width="7.140625" style="142" customWidth="1"/>
    <col min="5" max="7" width="11.42578125" style="142" customWidth="1"/>
    <col min="8" max="8" width="1.42578125" style="142" customWidth="1"/>
    <col min="9" max="9" width="1.28515625" style="142" customWidth="1"/>
    <col min="10" max="13" width="11.42578125" style="142" customWidth="1"/>
    <col min="14" max="16384" width="9.140625" style="142"/>
  </cols>
  <sheetData>
    <row r="1" spans="2:12" ht="7.5" customHeight="1" x14ac:dyDescent="0.2"/>
    <row r="2" spans="2:12" ht="16.5" thickBot="1" x14ac:dyDescent="0.3">
      <c r="B2" s="168" t="s">
        <v>165</v>
      </c>
      <c r="C2" s="148"/>
      <c r="D2" s="148"/>
      <c r="E2" s="148"/>
      <c r="F2" s="148"/>
      <c r="I2" s="215" t="s">
        <v>164</v>
      </c>
      <c r="J2" s="215"/>
      <c r="K2" s="215"/>
    </row>
    <row r="3" spans="2:12" x14ac:dyDescent="0.2">
      <c r="B3" s="170" t="s">
        <v>159</v>
      </c>
      <c r="C3" s="171" t="s">
        <v>160</v>
      </c>
      <c r="D3" s="171" t="s">
        <v>166</v>
      </c>
      <c r="E3" s="171" t="s">
        <v>167</v>
      </c>
      <c r="F3" s="171" t="s">
        <v>161</v>
      </c>
      <c r="G3" s="171" t="s">
        <v>168</v>
      </c>
      <c r="H3" s="169"/>
      <c r="J3" s="147" t="s">
        <v>162</v>
      </c>
      <c r="K3" s="147" t="s">
        <v>163</v>
      </c>
      <c r="L3" s="147" t="s">
        <v>161</v>
      </c>
    </row>
    <row r="4" spans="2:12" x14ac:dyDescent="0.2">
      <c r="B4" s="172" t="s">
        <v>169</v>
      </c>
      <c r="C4" s="173">
        <v>39</v>
      </c>
      <c r="D4" s="173">
        <v>700</v>
      </c>
      <c r="E4" s="174">
        <f t="shared" ref="E4:E17" si="0">C4*D4</f>
        <v>27300</v>
      </c>
      <c r="F4" s="176">
        <f>VLOOKUP(E4,$J$4:$L$13,3,TRUE)</f>
        <v>0.05</v>
      </c>
      <c r="G4" s="175">
        <f>VLOOKUP(E4,$J$4:$L$13,3)*E4</f>
        <v>1365</v>
      </c>
      <c r="H4" s="156"/>
      <c r="J4" s="143">
        <v>0</v>
      </c>
      <c r="K4" s="143">
        <v>5000</v>
      </c>
      <c r="L4" s="144">
        <v>0.01</v>
      </c>
    </row>
    <row r="5" spans="2:12" x14ac:dyDescent="0.2">
      <c r="B5" s="153" t="s">
        <v>169</v>
      </c>
      <c r="C5" s="154">
        <v>15</v>
      </c>
      <c r="D5" s="154">
        <v>778</v>
      </c>
      <c r="E5" s="155">
        <f t="shared" si="0"/>
        <v>11670</v>
      </c>
      <c r="F5" s="177">
        <f t="shared" ref="F5:F17" si="1">VLOOKUP(E5,$J$4:$L$13,3,TRUE)</f>
        <v>0.04</v>
      </c>
      <c r="G5" s="156">
        <f t="shared" ref="G5:G6" si="2">VLOOKUP(E5,$J$4:$L$13,3)*E5</f>
        <v>466.8</v>
      </c>
      <c r="H5" s="156"/>
      <c r="J5" s="145">
        <v>5001</v>
      </c>
      <c r="K5" s="145">
        <v>10000</v>
      </c>
      <c r="L5" s="146">
        <v>2.5000000000000001E-2</v>
      </c>
    </row>
    <row r="6" spans="2:12" x14ac:dyDescent="0.2">
      <c r="B6" s="160" t="s">
        <v>170</v>
      </c>
      <c r="C6" s="161">
        <v>36</v>
      </c>
      <c r="D6" s="161">
        <v>551</v>
      </c>
      <c r="E6" s="162">
        <f t="shared" si="0"/>
        <v>19836</v>
      </c>
      <c r="F6" s="178">
        <f t="shared" si="1"/>
        <v>0.04</v>
      </c>
      <c r="G6" s="163">
        <f t="shared" si="2"/>
        <v>793.44</v>
      </c>
      <c r="H6" s="156"/>
      <c r="J6" s="143">
        <v>10001</v>
      </c>
      <c r="K6" s="143">
        <v>20000</v>
      </c>
      <c r="L6" s="144">
        <v>0.04</v>
      </c>
    </row>
    <row r="7" spans="2:12" x14ac:dyDescent="0.2">
      <c r="B7" s="153" t="s">
        <v>170</v>
      </c>
      <c r="C7" s="154">
        <v>48</v>
      </c>
      <c r="D7" s="154">
        <v>733</v>
      </c>
      <c r="E7" s="155">
        <f t="shared" si="0"/>
        <v>35184</v>
      </c>
      <c r="F7" s="177">
        <f t="shared" si="1"/>
        <v>5.5E-2</v>
      </c>
      <c r="G7" s="156">
        <f t="shared" ref="G7:G17" si="3">VLOOKUP(E7,$J$4:$L$13,3)*E7</f>
        <v>1935.1200000000001</v>
      </c>
      <c r="H7" s="156"/>
      <c r="J7" s="145">
        <v>20001</v>
      </c>
      <c r="K7" s="145">
        <v>30000</v>
      </c>
      <c r="L7" s="146">
        <v>0.05</v>
      </c>
    </row>
    <row r="8" spans="2:12" x14ac:dyDescent="0.2">
      <c r="B8" s="160" t="s">
        <v>171</v>
      </c>
      <c r="C8" s="161">
        <v>26</v>
      </c>
      <c r="D8" s="161">
        <v>568</v>
      </c>
      <c r="E8" s="162">
        <f t="shared" si="0"/>
        <v>14768</v>
      </c>
      <c r="F8" s="178">
        <f t="shared" si="1"/>
        <v>0.04</v>
      </c>
      <c r="G8" s="163">
        <f t="shared" si="3"/>
        <v>590.72</v>
      </c>
      <c r="H8" s="156"/>
      <c r="J8" s="143">
        <v>30001</v>
      </c>
      <c r="K8" s="143">
        <v>40000</v>
      </c>
      <c r="L8" s="144">
        <v>5.5E-2</v>
      </c>
    </row>
    <row r="9" spans="2:12" x14ac:dyDescent="0.2">
      <c r="B9" s="153" t="s">
        <v>171</v>
      </c>
      <c r="C9" s="154">
        <v>25</v>
      </c>
      <c r="D9" s="154">
        <v>639</v>
      </c>
      <c r="E9" s="155">
        <f t="shared" si="0"/>
        <v>15975</v>
      </c>
      <c r="F9" s="177">
        <f t="shared" si="1"/>
        <v>0.04</v>
      </c>
      <c r="G9" s="156">
        <f t="shared" si="3"/>
        <v>639</v>
      </c>
      <c r="H9" s="156"/>
      <c r="J9" s="145">
        <v>40001</v>
      </c>
      <c r="K9" s="145">
        <v>50000</v>
      </c>
      <c r="L9" s="146">
        <v>0.06</v>
      </c>
    </row>
    <row r="10" spans="2:12" x14ac:dyDescent="0.2">
      <c r="B10" s="160" t="s">
        <v>172</v>
      </c>
      <c r="C10" s="161">
        <v>28</v>
      </c>
      <c r="D10" s="161">
        <v>686</v>
      </c>
      <c r="E10" s="162">
        <f t="shared" si="0"/>
        <v>19208</v>
      </c>
      <c r="F10" s="178">
        <f t="shared" si="1"/>
        <v>0.04</v>
      </c>
      <c r="G10" s="163">
        <f t="shared" si="3"/>
        <v>768.32</v>
      </c>
      <c r="H10" s="156"/>
      <c r="J10" s="143">
        <v>50001</v>
      </c>
      <c r="K10" s="143">
        <v>60000</v>
      </c>
      <c r="L10" s="144">
        <v>7.0000000000000007E-2</v>
      </c>
    </row>
    <row r="11" spans="2:12" x14ac:dyDescent="0.2">
      <c r="B11" s="153" t="s">
        <v>173</v>
      </c>
      <c r="C11" s="154">
        <v>24</v>
      </c>
      <c r="D11" s="154">
        <v>744</v>
      </c>
      <c r="E11" s="155">
        <f t="shared" si="0"/>
        <v>17856</v>
      </c>
      <c r="F11" s="177">
        <f t="shared" si="1"/>
        <v>0.04</v>
      </c>
      <c r="G11" s="156">
        <f t="shared" si="3"/>
        <v>714.24</v>
      </c>
      <c r="H11" s="156"/>
      <c r="J11" s="145">
        <v>60001</v>
      </c>
      <c r="K11" s="145">
        <v>70000</v>
      </c>
      <c r="L11" s="146">
        <v>0.08</v>
      </c>
    </row>
    <row r="12" spans="2:12" x14ac:dyDescent="0.2">
      <c r="B12" s="160" t="s">
        <v>169</v>
      </c>
      <c r="C12" s="161">
        <v>49</v>
      </c>
      <c r="D12" s="161">
        <v>715</v>
      </c>
      <c r="E12" s="162">
        <f t="shared" si="0"/>
        <v>35035</v>
      </c>
      <c r="F12" s="178">
        <f t="shared" si="1"/>
        <v>5.5E-2</v>
      </c>
      <c r="G12" s="163">
        <f t="shared" si="3"/>
        <v>1926.925</v>
      </c>
      <c r="H12" s="156"/>
      <c r="J12" s="143">
        <v>70001</v>
      </c>
      <c r="K12" s="143">
        <v>80000</v>
      </c>
      <c r="L12" s="144">
        <v>0.09</v>
      </c>
    </row>
    <row r="13" spans="2:12" x14ac:dyDescent="0.2">
      <c r="B13" s="153" t="s">
        <v>170</v>
      </c>
      <c r="C13" s="154">
        <v>10</v>
      </c>
      <c r="D13" s="154">
        <v>616</v>
      </c>
      <c r="E13" s="155">
        <f t="shared" si="0"/>
        <v>6160</v>
      </c>
      <c r="F13" s="177">
        <f t="shared" si="1"/>
        <v>2.5000000000000001E-2</v>
      </c>
      <c r="G13" s="156">
        <f t="shared" si="3"/>
        <v>154</v>
      </c>
      <c r="H13" s="156"/>
      <c r="J13" s="145">
        <v>80000</v>
      </c>
      <c r="K13" s="145"/>
      <c r="L13" s="146">
        <v>0.1</v>
      </c>
    </row>
    <row r="14" spans="2:12" x14ac:dyDescent="0.2">
      <c r="B14" s="160" t="s">
        <v>172</v>
      </c>
      <c r="C14" s="161">
        <v>350</v>
      </c>
      <c r="D14" s="161">
        <v>635</v>
      </c>
      <c r="E14" s="162">
        <f t="shared" si="0"/>
        <v>222250</v>
      </c>
      <c r="F14" s="178">
        <f t="shared" si="1"/>
        <v>0.1</v>
      </c>
      <c r="G14" s="163">
        <f t="shared" si="3"/>
        <v>22225</v>
      </c>
      <c r="H14" s="156"/>
    </row>
    <row r="15" spans="2:12" x14ac:dyDescent="0.2">
      <c r="B15" s="153" t="s">
        <v>173</v>
      </c>
      <c r="C15" s="154">
        <v>45</v>
      </c>
      <c r="D15" s="154">
        <v>731</v>
      </c>
      <c r="E15" s="155">
        <f t="shared" si="0"/>
        <v>32895</v>
      </c>
      <c r="F15" s="177">
        <f t="shared" si="1"/>
        <v>5.5E-2</v>
      </c>
      <c r="G15" s="156">
        <f t="shared" si="3"/>
        <v>1809.2249999999999</v>
      </c>
      <c r="H15" s="156"/>
    </row>
    <row r="16" spans="2:12" x14ac:dyDescent="0.2">
      <c r="B16" s="160" t="s">
        <v>174</v>
      </c>
      <c r="C16" s="161">
        <v>23</v>
      </c>
      <c r="D16" s="161">
        <v>788</v>
      </c>
      <c r="E16" s="162">
        <f t="shared" si="0"/>
        <v>18124</v>
      </c>
      <c r="F16" s="178">
        <f t="shared" si="1"/>
        <v>0.04</v>
      </c>
      <c r="G16" s="163">
        <f t="shared" si="3"/>
        <v>724.96</v>
      </c>
      <c r="H16" s="156"/>
    </row>
    <row r="17" spans="2:8" x14ac:dyDescent="0.2">
      <c r="B17" s="164" t="s">
        <v>169</v>
      </c>
      <c r="C17" s="165">
        <v>48</v>
      </c>
      <c r="D17" s="165">
        <v>747</v>
      </c>
      <c r="E17" s="166">
        <f t="shared" si="0"/>
        <v>35856</v>
      </c>
      <c r="F17" s="179">
        <f t="shared" si="1"/>
        <v>5.5E-2</v>
      </c>
      <c r="G17" s="167">
        <f t="shared" si="3"/>
        <v>1972.08</v>
      </c>
      <c r="H17" s="156"/>
    </row>
    <row r="18" spans="2:8" ht="13.5" thickBot="1" x14ac:dyDescent="0.25">
      <c r="G18" s="151">
        <f>SUM(G4:G17)</f>
        <v>36084.83</v>
      </c>
    </row>
    <row r="19" spans="2:8" ht="13.5" thickTop="1" x14ac:dyDescent="0.2"/>
    <row r="20" spans="2:8" x14ac:dyDescent="0.2">
      <c r="D20" s="158" t="s">
        <v>175</v>
      </c>
      <c r="E20" s="159"/>
      <c r="F20" s="152" t="s">
        <v>167</v>
      </c>
      <c r="G20" s="152" t="s">
        <v>176</v>
      </c>
    </row>
    <row r="21" spans="2:8" x14ac:dyDescent="0.2">
      <c r="E21" s="157" t="s">
        <v>169</v>
      </c>
      <c r="F21" s="149">
        <f t="shared" ref="F21:F26" si="4">SUMIF($B$4:$B$17,E21,$G$4:$G$17)</f>
        <v>5730.8050000000003</v>
      </c>
      <c r="G21" s="149">
        <f t="shared" ref="G21:G26" si="5">AVERAGEIF($B$4:$B$17,E21,$G$4:$G$17)</f>
        <v>1432.7012500000001</v>
      </c>
    </row>
    <row r="22" spans="2:8" x14ac:dyDescent="0.2">
      <c r="E22" s="157" t="s">
        <v>170</v>
      </c>
      <c r="F22" s="149">
        <f t="shared" si="4"/>
        <v>2882.5600000000004</v>
      </c>
      <c r="G22" s="149">
        <f t="shared" si="5"/>
        <v>960.85333333333347</v>
      </c>
      <c r="H22" s="150"/>
    </row>
    <row r="23" spans="2:8" x14ac:dyDescent="0.2">
      <c r="E23" s="157" t="s">
        <v>171</v>
      </c>
      <c r="F23" s="149">
        <f t="shared" si="4"/>
        <v>1229.72</v>
      </c>
      <c r="G23" s="149">
        <f t="shared" si="5"/>
        <v>614.86</v>
      </c>
    </row>
    <row r="24" spans="2:8" x14ac:dyDescent="0.2">
      <c r="E24" s="157" t="s">
        <v>172</v>
      </c>
      <c r="F24" s="149">
        <f t="shared" si="4"/>
        <v>22993.32</v>
      </c>
      <c r="G24" s="149">
        <f t="shared" si="5"/>
        <v>11496.66</v>
      </c>
    </row>
    <row r="25" spans="2:8" x14ac:dyDescent="0.2">
      <c r="E25" s="157" t="s">
        <v>173</v>
      </c>
      <c r="F25" s="149">
        <f t="shared" si="4"/>
        <v>2523.4650000000001</v>
      </c>
      <c r="G25" s="149">
        <f t="shared" si="5"/>
        <v>1261.7325000000001</v>
      </c>
    </row>
    <row r="26" spans="2:8" x14ac:dyDescent="0.2">
      <c r="E26" s="157" t="s">
        <v>174</v>
      </c>
      <c r="F26" s="149">
        <f t="shared" si="4"/>
        <v>724.96</v>
      </c>
      <c r="G26" s="149">
        <f t="shared" si="5"/>
        <v>724.96</v>
      </c>
    </row>
    <row r="27" spans="2:8" ht="13.5" thickBot="1" x14ac:dyDescent="0.25">
      <c r="F27" s="151">
        <f>SUM(F21:F26)</f>
        <v>36084.829999999994</v>
      </c>
      <c r="G27" s="151">
        <f>AVERAGE(G4:G17)</f>
        <v>2577.4878571428571</v>
      </c>
    </row>
    <row r="28" spans="2:8" ht="13.5" thickTop="1" x14ac:dyDescent="0.2"/>
  </sheetData>
  <mergeCells count="1">
    <mergeCell ref="I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workbookViewId="0">
      <selection activeCell="J8" sqref="J8"/>
    </sheetView>
  </sheetViews>
  <sheetFormatPr defaultRowHeight="12.75" x14ac:dyDescent="0.2"/>
  <cols>
    <col min="1" max="1" width="1.42578125" style="142" customWidth="1"/>
    <col min="2" max="4" width="7.140625" style="142" customWidth="1"/>
    <col min="5" max="7" width="12.85546875" style="142" customWidth="1"/>
    <col min="8" max="8" width="1.42578125" style="142" customWidth="1"/>
    <col min="9" max="9" width="1.28515625" style="142" customWidth="1"/>
    <col min="10" max="10" width="13" style="142" customWidth="1"/>
    <col min="11" max="20" width="8.5703125" style="142" customWidth="1"/>
    <col min="21" max="16384" width="9.140625" style="142"/>
  </cols>
  <sheetData>
    <row r="1" spans="2:22" ht="7.5" customHeight="1" x14ac:dyDescent="0.2"/>
    <row r="2" spans="2:22" ht="16.5" thickBot="1" x14ac:dyDescent="0.3">
      <c r="B2" s="218" t="s">
        <v>165</v>
      </c>
      <c r="C2" s="218"/>
      <c r="D2" s="218"/>
      <c r="E2" s="218"/>
      <c r="F2" s="148"/>
      <c r="I2" s="215" t="s">
        <v>164</v>
      </c>
      <c r="J2" s="215"/>
      <c r="K2" s="215"/>
      <c r="L2" s="215"/>
    </row>
    <row r="3" spans="2:22" x14ac:dyDescent="0.2">
      <c r="B3" s="170" t="s">
        <v>159</v>
      </c>
      <c r="C3" s="171" t="s">
        <v>160</v>
      </c>
      <c r="D3" s="171" t="s">
        <v>166</v>
      </c>
      <c r="E3" s="171" t="s">
        <v>167</v>
      </c>
      <c r="F3" s="171" t="s">
        <v>161</v>
      </c>
      <c r="G3" s="171" t="s">
        <v>168</v>
      </c>
      <c r="H3" s="169"/>
      <c r="I3" s="180"/>
      <c r="J3" s="184" t="s">
        <v>162</v>
      </c>
      <c r="K3" s="181">
        <v>0</v>
      </c>
      <c r="L3" s="181">
        <v>5001</v>
      </c>
      <c r="M3" s="181">
        <v>10001</v>
      </c>
      <c r="N3" s="181">
        <v>20001</v>
      </c>
      <c r="O3" s="181">
        <v>30001</v>
      </c>
      <c r="P3" s="181">
        <v>40001</v>
      </c>
      <c r="Q3" s="181">
        <v>50001</v>
      </c>
      <c r="R3" s="181">
        <v>60001</v>
      </c>
      <c r="S3" s="181">
        <v>70001</v>
      </c>
      <c r="T3" s="181">
        <v>80000</v>
      </c>
      <c r="U3" s="180"/>
      <c r="V3" s="180"/>
    </row>
    <row r="4" spans="2:22" x14ac:dyDescent="0.2">
      <c r="B4" s="172" t="s">
        <v>169</v>
      </c>
      <c r="C4" s="173">
        <v>39</v>
      </c>
      <c r="D4" s="173">
        <v>700</v>
      </c>
      <c r="E4" s="174">
        <f t="shared" ref="E4:E17" si="0">C4*D4</f>
        <v>27300</v>
      </c>
      <c r="F4" s="189">
        <f>HLOOKUP(E4,$K$3:$T$5,3,TRUE)</f>
        <v>0.05</v>
      </c>
      <c r="G4" s="175">
        <f>HLOOKUP(E4,$K$3:$T$5,3)*E4</f>
        <v>1365</v>
      </c>
      <c r="H4" s="156"/>
      <c r="I4" s="180"/>
      <c r="J4" s="185" t="s">
        <v>163</v>
      </c>
      <c r="K4" s="183">
        <v>5000</v>
      </c>
      <c r="L4" s="183">
        <v>10000</v>
      </c>
      <c r="M4" s="183">
        <v>20000</v>
      </c>
      <c r="N4" s="183">
        <v>30000</v>
      </c>
      <c r="O4" s="183">
        <v>40000</v>
      </c>
      <c r="P4" s="183">
        <v>50000</v>
      </c>
      <c r="Q4" s="183">
        <v>60000</v>
      </c>
      <c r="R4" s="183">
        <v>70000</v>
      </c>
      <c r="S4" s="183">
        <v>80000</v>
      </c>
      <c r="T4" s="183"/>
      <c r="U4" s="180"/>
      <c r="V4" s="180"/>
    </row>
    <row r="5" spans="2:22" x14ac:dyDescent="0.2">
      <c r="B5" s="153" t="s">
        <v>169</v>
      </c>
      <c r="C5" s="154">
        <v>15</v>
      </c>
      <c r="D5" s="154">
        <v>778</v>
      </c>
      <c r="E5" s="155">
        <f t="shared" si="0"/>
        <v>11670</v>
      </c>
      <c r="F5" s="144">
        <f t="shared" ref="F5:F17" si="1">HLOOKUP(E5,$K$3:$T$5,3,TRUE)</f>
        <v>0.04</v>
      </c>
      <c r="G5" s="156">
        <f t="shared" ref="G5:G17" si="2">HLOOKUP(E5,$K$3:$T$5,3)*E5</f>
        <v>466.8</v>
      </c>
      <c r="H5" s="156"/>
      <c r="I5" s="180"/>
      <c r="J5" s="186"/>
      <c r="K5" s="182">
        <v>0.01</v>
      </c>
      <c r="L5" s="182">
        <v>2.5000000000000001E-2</v>
      </c>
      <c r="M5" s="182">
        <v>0.04</v>
      </c>
      <c r="N5" s="182">
        <v>0.05</v>
      </c>
      <c r="O5" s="182">
        <v>5.5E-2</v>
      </c>
      <c r="P5" s="182">
        <v>0.06</v>
      </c>
      <c r="Q5" s="182">
        <v>7.0000000000000007E-2</v>
      </c>
      <c r="R5" s="182">
        <v>0.08</v>
      </c>
      <c r="S5" s="182">
        <v>0.09</v>
      </c>
      <c r="T5" s="182">
        <v>0.1</v>
      </c>
      <c r="U5" s="182"/>
      <c r="V5" s="180"/>
    </row>
    <row r="6" spans="2:22" x14ac:dyDescent="0.2">
      <c r="B6" s="160" t="s">
        <v>170</v>
      </c>
      <c r="C6" s="161">
        <v>36</v>
      </c>
      <c r="D6" s="161">
        <v>551</v>
      </c>
      <c r="E6" s="162">
        <f t="shared" si="0"/>
        <v>19836</v>
      </c>
      <c r="F6" s="187">
        <f t="shared" si="1"/>
        <v>0.04</v>
      </c>
      <c r="G6" s="163">
        <f t="shared" si="2"/>
        <v>793.44</v>
      </c>
      <c r="H6" s="156"/>
      <c r="I6" s="180"/>
      <c r="J6" s="181"/>
      <c r="K6" s="181"/>
      <c r="L6" s="181"/>
      <c r="M6" s="182"/>
      <c r="N6" s="180"/>
      <c r="O6" s="180"/>
      <c r="P6" s="180"/>
      <c r="Q6" s="180"/>
      <c r="R6" s="180"/>
      <c r="S6" s="180"/>
      <c r="T6" s="180"/>
      <c r="U6" s="180"/>
      <c r="V6" s="180"/>
    </row>
    <row r="7" spans="2:22" x14ac:dyDescent="0.2">
      <c r="B7" s="153" t="s">
        <v>170</v>
      </c>
      <c r="C7" s="154">
        <v>48</v>
      </c>
      <c r="D7" s="154">
        <v>733</v>
      </c>
      <c r="E7" s="155">
        <f t="shared" si="0"/>
        <v>35184</v>
      </c>
      <c r="F7" s="144">
        <f t="shared" si="1"/>
        <v>5.5E-2</v>
      </c>
      <c r="G7" s="156">
        <f t="shared" si="2"/>
        <v>1935.1200000000001</v>
      </c>
      <c r="H7" s="156"/>
      <c r="I7" s="180"/>
      <c r="J7" s="181"/>
      <c r="K7" s="181"/>
      <c r="L7" s="181"/>
      <c r="M7" s="182"/>
      <c r="N7" s="180"/>
      <c r="O7" s="180"/>
      <c r="P7" s="180"/>
      <c r="Q7" s="180"/>
      <c r="R7" s="180"/>
      <c r="S7" s="180"/>
      <c r="T7" s="180"/>
      <c r="U7" s="180"/>
      <c r="V7" s="180"/>
    </row>
    <row r="8" spans="2:22" x14ac:dyDescent="0.2">
      <c r="B8" s="160" t="s">
        <v>171</v>
      </c>
      <c r="C8" s="161">
        <v>26</v>
      </c>
      <c r="D8" s="161">
        <v>568</v>
      </c>
      <c r="E8" s="162">
        <f t="shared" si="0"/>
        <v>14768</v>
      </c>
      <c r="F8" s="187">
        <f t="shared" si="1"/>
        <v>0.04</v>
      </c>
      <c r="G8" s="163">
        <f t="shared" si="2"/>
        <v>590.72</v>
      </c>
      <c r="H8" s="156"/>
      <c r="I8" s="180"/>
      <c r="J8" s="181"/>
      <c r="K8" s="181"/>
      <c r="L8" s="181"/>
      <c r="M8" s="182"/>
      <c r="N8" s="180"/>
      <c r="O8" s="180"/>
      <c r="P8" s="180"/>
      <c r="Q8" s="180"/>
      <c r="R8" s="180"/>
      <c r="S8" s="180"/>
      <c r="T8" s="180"/>
      <c r="U8" s="180"/>
      <c r="V8" s="180"/>
    </row>
    <row r="9" spans="2:22" x14ac:dyDescent="0.2">
      <c r="B9" s="153" t="s">
        <v>171</v>
      </c>
      <c r="C9" s="154">
        <v>25</v>
      </c>
      <c r="D9" s="154">
        <v>639</v>
      </c>
      <c r="E9" s="155">
        <f t="shared" si="0"/>
        <v>15975</v>
      </c>
      <c r="F9" s="144">
        <f t="shared" si="1"/>
        <v>0.04</v>
      </c>
      <c r="G9" s="156">
        <f t="shared" si="2"/>
        <v>639</v>
      </c>
      <c r="H9" s="156"/>
      <c r="I9" s="180"/>
      <c r="J9" s="181"/>
      <c r="K9" s="181"/>
      <c r="L9" s="181"/>
      <c r="M9" s="182"/>
      <c r="N9" s="180"/>
      <c r="O9" s="180"/>
      <c r="P9" s="180"/>
      <c r="Q9" s="180"/>
      <c r="R9" s="180"/>
      <c r="S9" s="180"/>
      <c r="T9" s="180"/>
      <c r="U9" s="180"/>
      <c r="V9" s="180"/>
    </row>
    <row r="10" spans="2:22" x14ac:dyDescent="0.2">
      <c r="B10" s="160" t="s">
        <v>172</v>
      </c>
      <c r="C10" s="161">
        <v>28</v>
      </c>
      <c r="D10" s="161">
        <v>686</v>
      </c>
      <c r="E10" s="162">
        <f t="shared" si="0"/>
        <v>19208</v>
      </c>
      <c r="F10" s="187">
        <f t="shared" si="1"/>
        <v>0.04</v>
      </c>
      <c r="G10" s="163">
        <f t="shared" si="2"/>
        <v>768.32</v>
      </c>
      <c r="H10" s="156"/>
      <c r="I10" s="180"/>
      <c r="J10" s="181"/>
      <c r="K10" s="181"/>
      <c r="L10" s="181"/>
      <c r="M10" s="182"/>
      <c r="N10" s="180"/>
      <c r="O10" s="180"/>
      <c r="P10" s="180"/>
      <c r="Q10" s="180"/>
      <c r="R10" s="180"/>
      <c r="S10" s="180"/>
      <c r="T10" s="180"/>
      <c r="U10" s="180"/>
      <c r="V10" s="180"/>
    </row>
    <row r="11" spans="2:22" x14ac:dyDescent="0.2">
      <c r="B11" s="153" t="s">
        <v>173</v>
      </c>
      <c r="C11" s="154">
        <v>24</v>
      </c>
      <c r="D11" s="154">
        <v>744</v>
      </c>
      <c r="E11" s="155">
        <f t="shared" si="0"/>
        <v>17856</v>
      </c>
      <c r="F11" s="144">
        <f t="shared" si="1"/>
        <v>0.04</v>
      </c>
      <c r="G11" s="156">
        <f t="shared" si="2"/>
        <v>714.24</v>
      </c>
      <c r="H11" s="156"/>
      <c r="I11" s="180"/>
      <c r="J11" s="181"/>
      <c r="K11" s="181"/>
      <c r="L11" s="181"/>
      <c r="M11" s="182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2:22" x14ac:dyDescent="0.2">
      <c r="B12" s="160" t="s">
        <v>169</v>
      </c>
      <c r="C12" s="161">
        <v>49</v>
      </c>
      <c r="D12" s="161">
        <v>715</v>
      </c>
      <c r="E12" s="162">
        <f t="shared" si="0"/>
        <v>35035</v>
      </c>
      <c r="F12" s="187">
        <f t="shared" si="1"/>
        <v>5.5E-2</v>
      </c>
      <c r="G12" s="163">
        <f t="shared" si="2"/>
        <v>1926.925</v>
      </c>
      <c r="H12" s="156"/>
      <c r="I12" s="180"/>
      <c r="J12" s="181"/>
      <c r="K12" s="181"/>
      <c r="L12" s="181"/>
      <c r="M12" s="182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2:22" x14ac:dyDescent="0.2">
      <c r="B13" s="153" t="s">
        <v>170</v>
      </c>
      <c r="C13" s="154">
        <v>10</v>
      </c>
      <c r="D13" s="154">
        <v>616</v>
      </c>
      <c r="E13" s="155">
        <f t="shared" si="0"/>
        <v>6160</v>
      </c>
      <c r="F13" s="144">
        <f t="shared" si="1"/>
        <v>2.5000000000000001E-2</v>
      </c>
      <c r="G13" s="156">
        <f t="shared" si="2"/>
        <v>154</v>
      </c>
      <c r="H13" s="156"/>
      <c r="I13" s="180"/>
      <c r="J13" s="181"/>
      <c r="K13" s="181"/>
      <c r="L13" s="181"/>
      <c r="M13" s="182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2:22" x14ac:dyDescent="0.2">
      <c r="B14" s="160" t="s">
        <v>172</v>
      </c>
      <c r="C14" s="161">
        <v>350</v>
      </c>
      <c r="D14" s="161">
        <v>635</v>
      </c>
      <c r="E14" s="162">
        <f t="shared" si="0"/>
        <v>222250</v>
      </c>
      <c r="F14" s="187">
        <f t="shared" si="1"/>
        <v>0.1</v>
      </c>
      <c r="G14" s="163">
        <f t="shared" si="2"/>
        <v>22225</v>
      </c>
      <c r="H14" s="156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2:22" x14ac:dyDescent="0.2">
      <c r="B15" s="153" t="s">
        <v>173</v>
      </c>
      <c r="C15" s="154">
        <v>45</v>
      </c>
      <c r="D15" s="154">
        <v>731</v>
      </c>
      <c r="E15" s="155">
        <f t="shared" si="0"/>
        <v>32895</v>
      </c>
      <c r="F15" s="144">
        <f t="shared" si="1"/>
        <v>5.5E-2</v>
      </c>
      <c r="G15" s="156">
        <f t="shared" si="2"/>
        <v>1809.2249999999999</v>
      </c>
      <c r="H15" s="156"/>
    </row>
    <row r="16" spans="2:22" x14ac:dyDescent="0.2">
      <c r="B16" s="160" t="s">
        <v>174</v>
      </c>
      <c r="C16" s="161">
        <v>23</v>
      </c>
      <c r="D16" s="161">
        <v>788</v>
      </c>
      <c r="E16" s="162">
        <f t="shared" si="0"/>
        <v>18124</v>
      </c>
      <c r="F16" s="187">
        <f t="shared" si="1"/>
        <v>0.04</v>
      </c>
      <c r="G16" s="163">
        <f t="shared" si="2"/>
        <v>724.96</v>
      </c>
      <c r="H16" s="156"/>
    </row>
    <row r="17" spans="2:8" x14ac:dyDescent="0.2">
      <c r="B17" s="164" t="s">
        <v>169</v>
      </c>
      <c r="C17" s="165">
        <v>48</v>
      </c>
      <c r="D17" s="165">
        <v>747</v>
      </c>
      <c r="E17" s="166">
        <f t="shared" si="0"/>
        <v>35856</v>
      </c>
      <c r="F17" s="188">
        <f t="shared" si="1"/>
        <v>5.5E-2</v>
      </c>
      <c r="G17" s="167">
        <f t="shared" si="2"/>
        <v>1972.08</v>
      </c>
      <c r="H17" s="156"/>
    </row>
    <row r="18" spans="2:8" ht="13.5" thickBot="1" x14ac:dyDescent="0.25">
      <c r="G18" s="151">
        <f>SUM(G4:G17)</f>
        <v>36084.83</v>
      </c>
    </row>
    <row r="19" spans="2:8" ht="13.5" thickTop="1" x14ac:dyDescent="0.2"/>
    <row r="20" spans="2:8" x14ac:dyDescent="0.2">
      <c r="D20" s="158" t="s">
        <v>175</v>
      </c>
      <c r="E20" s="159"/>
      <c r="F20" s="152" t="s">
        <v>167</v>
      </c>
      <c r="G20" s="152" t="s">
        <v>176</v>
      </c>
    </row>
    <row r="21" spans="2:8" x14ac:dyDescent="0.2">
      <c r="E21" s="157" t="s">
        <v>169</v>
      </c>
      <c r="F21" s="149">
        <f t="shared" ref="F21:F26" si="3">SUMIF($B$4:$B$17,E21,$G$4:$G$17)</f>
        <v>5730.8050000000003</v>
      </c>
      <c r="G21" s="149">
        <f t="shared" ref="G21:G26" si="4">AVERAGEIF($B$4:$B$17,E21,$G$4:$G$17)</f>
        <v>1432.7012500000001</v>
      </c>
    </row>
    <row r="22" spans="2:8" x14ac:dyDescent="0.2">
      <c r="E22" s="157" t="s">
        <v>170</v>
      </c>
      <c r="F22" s="149">
        <f t="shared" si="3"/>
        <v>2882.5600000000004</v>
      </c>
      <c r="G22" s="149">
        <f t="shared" si="4"/>
        <v>960.85333333333347</v>
      </c>
      <c r="H22" s="150"/>
    </row>
    <row r="23" spans="2:8" x14ac:dyDescent="0.2">
      <c r="E23" s="157" t="s">
        <v>171</v>
      </c>
      <c r="F23" s="149">
        <f t="shared" si="3"/>
        <v>1229.72</v>
      </c>
      <c r="G23" s="149">
        <f t="shared" si="4"/>
        <v>614.86</v>
      </c>
    </row>
    <row r="24" spans="2:8" x14ac:dyDescent="0.2">
      <c r="E24" s="157" t="s">
        <v>172</v>
      </c>
      <c r="F24" s="149">
        <f t="shared" si="3"/>
        <v>22993.32</v>
      </c>
      <c r="G24" s="149">
        <f t="shared" si="4"/>
        <v>11496.66</v>
      </c>
    </row>
    <row r="25" spans="2:8" x14ac:dyDescent="0.2">
      <c r="E25" s="157" t="s">
        <v>173</v>
      </c>
      <c r="F25" s="149">
        <f t="shared" si="3"/>
        <v>2523.4650000000001</v>
      </c>
      <c r="G25" s="149">
        <f t="shared" si="4"/>
        <v>1261.7325000000001</v>
      </c>
    </row>
    <row r="26" spans="2:8" x14ac:dyDescent="0.2">
      <c r="E26" s="157" t="s">
        <v>174</v>
      </c>
      <c r="F26" s="149">
        <f t="shared" si="3"/>
        <v>724.96</v>
      </c>
      <c r="G26" s="149">
        <f t="shared" si="4"/>
        <v>724.96</v>
      </c>
    </row>
    <row r="27" spans="2:8" ht="13.5" thickBot="1" x14ac:dyDescent="0.25">
      <c r="F27" s="151">
        <f>SUM(F21:F26)</f>
        <v>36084.829999999994</v>
      </c>
      <c r="G27" s="151">
        <f>AVERAGE(G4:G17)</f>
        <v>2577.4878571428571</v>
      </c>
    </row>
    <row r="28" spans="2:8" ht="13.5" thickTop="1" x14ac:dyDescent="0.2"/>
  </sheetData>
  <mergeCells count="2">
    <mergeCell ref="I2:L2"/>
    <mergeCell ref="B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E13" sqref="E13"/>
    </sheetView>
  </sheetViews>
  <sheetFormatPr defaultRowHeight="15" x14ac:dyDescent="0.25"/>
  <cols>
    <col min="1" max="1" width="1.42578125" customWidth="1"/>
    <col min="2" max="6" width="8.5703125" customWidth="1"/>
  </cols>
  <sheetData>
    <row r="1" spans="2:9" ht="7.5" customHeight="1" x14ac:dyDescent="0.25"/>
    <row r="2" spans="2:9" x14ac:dyDescent="0.25">
      <c r="B2" s="216" t="s">
        <v>181</v>
      </c>
      <c r="C2" s="216"/>
      <c r="D2" s="216"/>
      <c r="E2" s="216"/>
      <c r="F2" s="216"/>
      <c r="G2" s="194"/>
      <c r="H2" s="217" t="s">
        <v>184</v>
      </c>
      <c r="I2" s="217"/>
    </row>
    <row r="3" spans="2:9" ht="15.75" thickBot="1" x14ac:dyDescent="0.3">
      <c r="B3" s="195" t="s">
        <v>159</v>
      </c>
      <c r="C3" s="208" t="s">
        <v>177</v>
      </c>
      <c r="D3" s="208" t="s">
        <v>178</v>
      </c>
      <c r="E3" s="208" t="s">
        <v>179</v>
      </c>
      <c r="F3" s="208" t="s">
        <v>180</v>
      </c>
      <c r="G3" s="208" t="s">
        <v>182</v>
      </c>
      <c r="H3" s="209" t="s">
        <v>183</v>
      </c>
      <c r="I3" s="193" t="s">
        <v>167</v>
      </c>
    </row>
    <row r="4" spans="2:9" x14ac:dyDescent="0.25">
      <c r="B4" s="190" t="s">
        <v>169</v>
      </c>
      <c r="C4" s="200">
        <v>25</v>
      </c>
      <c r="D4" s="200">
        <v>25</v>
      </c>
      <c r="E4" s="200">
        <v>13</v>
      </c>
      <c r="F4" s="200">
        <v>13</v>
      </c>
      <c r="G4" s="200">
        <v>13</v>
      </c>
      <c r="H4" s="201">
        <v>21</v>
      </c>
      <c r="I4" s="200">
        <f>SUM(C4:H4)</f>
        <v>110</v>
      </c>
    </row>
    <row r="5" spans="2:9" x14ac:dyDescent="0.25">
      <c r="B5" s="191" t="s">
        <v>170</v>
      </c>
      <c r="C5" s="202">
        <v>14</v>
      </c>
      <c r="D5" s="202">
        <v>16</v>
      </c>
      <c r="E5" s="202">
        <v>11</v>
      </c>
      <c r="F5" s="202">
        <v>14</v>
      </c>
      <c r="G5" s="202">
        <v>20</v>
      </c>
      <c r="H5" s="203">
        <v>24</v>
      </c>
      <c r="I5" s="204">
        <f t="shared" ref="I5:I9" si="0">SUM(C5:H5)</f>
        <v>99</v>
      </c>
    </row>
    <row r="6" spans="2:9" x14ac:dyDescent="0.25">
      <c r="B6" s="192" t="s">
        <v>171</v>
      </c>
      <c r="C6" s="200">
        <v>18</v>
      </c>
      <c r="D6" s="200">
        <v>12</v>
      </c>
      <c r="E6" s="200">
        <v>22</v>
      </c>
      <c r="F6" s="200">
        <v>19</v>
      </c>
      <c r="G6" s="200">
        <v>22</v>
      </c>
      <c r="H6" s="201">
        <v>12</v>
      </c>
      <c r="I6" s="200">
        <f t="shared" si="0"/>
        <v>105</v>
      </c>
    </row>
    <row r="7" spans="2:9" x14ac:dyDescent="0.25">
      <c r="B7" s="191" t="s">
        <v>172</v>
      </c>
      <c r="C7" s="202">
        <v>22</v>
      </c>
      <c r="D7" s="202">
        <v>22</v>
      </c>
      <c r="E7" s="202">
        <v>25</v>
      </c>
      <c r="F7" s="202">
        <v>23</v>
      </c>
      <c r="G7" s="202">
        <v>23</v>
      </c>
      <c r="H7" s="203">
        <v>21</v>
      </c>
      <c r="I7" s="204">
        <f t="shared" si="0"/>
        <v>136</v>
      </c>
    </row>
    <row r="8" spans="2:9" x14ac:dyDescent="0.25">
      <c r="B8" s="192" t="s">
        <v>173</v>
      </c>
      <c r="C8" s="200">
        <v>16</v>
      </c>
      <c r="D8" s="200">
        <v>17</v>
      </c>
      <c r="E8" s="200">
        <v>16</v>
      </c>
      <c r="F8" s="200">
        <v>12</v>
      </c>
      <c r="G8" s="200">
        <v>18</v>
      </c>
      <c r="H8" s="201">
        <v>12</v>
      </c>
      <c r="I8" s="200">
        <f t="shared" si="0"/>
        <v>91</v>
      </c>
    </row>
    <row r="9" spans="2:9" ht="15.75" thickBot="1" x14ac:dyDescent="0.3">
      <c r="C9" s="205">
        <f>SUM(C4:C8)</f>
        <v>95</v>
      </c>
      <c r="D9" s="205">
        <f t="shared" ref="D9:H9" si="1">SUM(D4:D8)</f>
        <v>92</v>
      </c>
      <c r="E9" s="205">
        <f t="shared" si="1"/>
        <v>87</v>
      </c>
      <c r="F9" s="205">
        <f t="shared" si="1"/>
        <v>81</v>
      </c>
      <c r="G9" s="205">
        <f t="shared" si="1"/>
        <v>96</v>
      </c>
      <c r="H9" s="206">
        <f t="shared" si="1"/>
        <v>90</v>
      </c>
      <c r="I9" s="205">
        <f t="shared" si="0"/>
        <v>541</v>
      </c>
    </row>
    <row r="10" spans="2:9" ht="15.75" thickTop="1" x14ac:dyDescent="0.25"/>
    <row r="11" spans="2:9" x14ac:dyDescent="0.25">
      <c r="B11" s="216" t="s">
        <v>187</v>
      </c>
      <c r="C11" s="216"/>
      <c r="D11" s="216"/>
    </row>
    <row r="12" spans="2:9" x14ac:dyDescent="0.25">
      <c r="B12" s="198" t="s">
        <v>159</v>
      </c>
      <c r="C12" s="197" t="s">
        <v>185</v>
      </c>
      <c r="D12" s="198" t="s">
        <v>186</v>
      </c>
    </row>
    <row r="13" spans="2:9" x14ac:dyDescent="0.25">
      <c r="B13" s="196" t="s">
        <v>171</v>
      </c>
      <c r="C13" s="207" t="s">
        <v>177</v>
      </c>
      <c r="D13" s="199">
        <f>VLOOKUP(B13,B4:H8,MATCH(C13,B3:H3,0),FALSE)</f>
        <v>18</v>
      </c>
    </row>
  </sheetData>
  <mergeCells count="3">
    <mergeCell ref="B2:F2"/>
    <mergeCell ref="H2:I2"/>
    <mergeCell ref="B11:D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86" zoomScaleNormal="86" workbookViewId="0">
      <selection activeCell="G7" sqref="G7"/>
    </sheetView>
  </sheetViews>
  <sheetFormatPr defaultRowHeight="15" x14ac:dyDescent="0.25"/>
  <cols>
    <col min="1" max="2" width="2.85546875" customWidth="1"/>
    <col min="6" max="6" width="4.140625" style="84" bestFit="1" customWidth="1"/>
    <col min="7" max="7" width="14.28515625" style="92" customWidth="1"/>
    <col min="8" max="12" width="14.28515625" customWidth="1"/>
  </cols>
  <sheetData>
    <row r="1" spans="1:12" ht="18" x14ac:dyDescent="0.25">
      <c r="A1" s="61" t="s">
        <v>146</v>
      </c>
    </row>
    <row r="2" spans="1:12" ht="16.5" x14ac:dyDescent="0.25">
      <c r="A2" s="62" t="s">
        <v>1</v>
      </c>
    </row>
    <row r="3" spans="1:12" ht="16.5" x14ac:dyDescent="0.25">
      <c r="A3" s="62" t="s">
        <v>147</v>
      </c>
    </row>
    <row r="5" spans="1:12" x14ac:dyDescent="0.25">
      <c r="G5" s="210" t="s">
        <v>153</v>
      </c>
      <c r="H5" s="210" t="s">
        <v>152</v>
      </c>
      <c r="I5" s="210" t="s">
        <v>151</v>
      </c>
      <c r="J5" s="210" t="s">
        <v>150</v>
      </c>
      <c r="K5" s="210" t="s">
        <v>149</v>
      </c>
      <c r="L5" s="210" t="s">
        <v>148</v>
      </c>
    </row>
    <row r="6" spans="1:12" x14ac:dyDescent="0.25">
      <c r="H6" s="92"/>
      <c r="I6" s="92"/>
      <c r="J6" s="92"/>
      <c r="K6" s="92"/>
      <c r="L6" s="92"/>
    </row>
    <row r="7" spans="1:12" x14ac:dyDescent="0.25">
      <c r="B7" s="50" t="s">
        <v>3</v>
      </c>
      <c r="C7" s="50"/>
      <c r="D7" s="50"/>
      <c r="E7" s="50"/>
      <c r="F7" s="85"/>
      <c r="G7" s="93">
        <f>VLOOKUP($B7,'2011-2012--&gt;IS Jul-Dec'!$B$7:$AC$40,MATCH('Vlookup-Match'!G$5,'2011-2012--&gt;IS Jul-Dec'!$B$5:$AC$5,0),FALSE)</f>
        <v>13875834</v>
      </c>
      <c r="H7" s="93">
        <f>VLOOKUP($B7,'2011-2012--&gt;IS Jul-Dec'!$B$7:$AC$40,MATCH('Vlookup-Match'!H$5,'2011-2012--&gt;IS Jul-Dec'!$B$5:$AC$5,0),FALSE)</f>
        <v>23013418</v>
      </c>
      <c r="I7" s="93">
        <f>VLOOKUP($B7,'2011-2012--&gt;IS Jul-Dec'!$B$7:$AC$40,MATCH('Vlookup-Match'!I$5,'2011-2012--&gt;IS Jul-Dec'!$B$5:$AC$5,0),FALSE)</f>
        <v>19697866</v>
      </c>
      <c r="J7" s="93">
        <f>VLOOKUP($B7,'2011-2012--&gt;IS Jul-Dec'!$B$7:$AC$40,MATCH('Vlookup-Match'!J$5,'2011-2012--&gt;IS Jul-Dec'!$B$5:$AC$5,0),FALSE)</f>
        <v>18891878</v>
      </c>
      <c r="K7" s="93">
        <f>VLOOKUP($B7,'2011-2012--&gt;IS Jul-Dec'!$B$7:$AC$40,MATCH('Vlookup-Match'!K$5,'2011-2012--&gt;IS Jul-Dec'!$B$5:$AC$5,0),FALSE)</f>
        <v>18687330</v>
      </c>
      <c r="L7" s="93">
        <f>VLOOKUP($B7,'2011-2012--&gt;IS Jul-Dec'!$B$7:$AC$40,MATCH('Vlookup-Match'!L$5,'2011-2012--&gt;IS Jul-Dec'!$B$5:$AC$5,0),FALSE)</f>
        <v>18792170</v>
      </c>
    </row>
    <row r="8" spans="1:12" s="118" customFormat="1" x14ac:dyDescent="0.25">
      <c r="A8"/>
      <c r="F8" s="119"/>
      <c r="G8" s="93"/>
      <c r="H8" s="93"/>
      <c r="I8" s="93"/>
      <c r="J8" s="93"/>
      <c r="K8" s="93"/>
      <c r="L8" s="93"/>
    </row>
    <row r="9" spans="1:12" x14ac:dyDescent="0.25">
      <c r="B9" s="50" t="s">
        <v>124</v>
      </c>
      <c r="C9" s="50"/>
      <c r="D9" s="50"/>
      <c r="E9" s="50"/>
      <c r="F9" s="85"/>
      <c r="G9" s="93">
        <f>VLOOKUP($B9,'2011-2012--&gt;IS Jul-Dec'!$B$7:$AC$40,MATCH('Vlookup-Match'!G$5,'2011-2012--&gt;IS Jul-Dec'!$B$5:$AC$5,0),FALSE)</f>
        <v>10482216</v>
      </c>
      <c r="H9" s="93">
        <f>VLOOKUP($B9,'2011-2012--&gt;IS Jul-Dec'!$B$7:$AC$40,MATCH('Vlookup-Match'!H$5,'2011-2012--&gt;IS Jul-Dec'!$B$5:$AC$5,0),FALSE)</f>
        <v>12952944</v>
      </c>
      <c r="I9" s="93">
        <f>VLOOKUP($B9,'2011-2012--&gt;IS Jul-Dec'!$B$7:$AC$40,MATCH('Vlookup-Match'!I$5,'2011-2012--&gt;IS Jul-Dec'!$B$5:$AC$5,0),FALSE)</f>
        <v>11594880</v>
      </c>
      <c r="J9" s="93">
        <f>VLOOKUP($B9,'2011-2012--&gt;IS Jul-Dec'!$B$7:$AC$40,MATCH('Vlookup-Match'!J$5,'2011-2012--&gt;IS Jul-Dec'!$B$5:$AC$5,0),FALSE)</f>
        <v>12238498</v>
      </c>
      <c r="K9" s="93">
        <f>VLOOKUP($B9,'2011-2012--&gt;IS Jul-Dec'!$B$7:$AC$40,MATCH('Vlookup-Match'!K$5,'2011-2012--&gt;IS Jul-Dec'!$B$5:$AC$5,0),FALSE)</f>
        <v>11586094</v>
      </c>
      <c r="L9" s="93">
        <f>VLOOKUP($B9,'2011-2012--&gt;IS Jul-Dec'!$B$7:$AC$40,MATCH('Vlookup-Match'!L$5,'2011-2012--&gt;IS Jul-Dec'!$B$5:$AC$5,0),FALSE)</f>
        <v>11770583</v>
      </c>
    </row>
    <row r="10" spans="1:12" s="118" customFormat="1" x14ac:dyDescent="0.25">
      <c r="A10"/>
      <c r="F10" s="119"/>
      <c r="G10" s="120"/>
      <c r="H10" s="120"/>
      <c r="I10" s="120"/>
      <c r="J10" s="120"/>
      <c r="K10" s="120"/>
      <c r="L10" s="120"/>
    </row>
    <row r="11" spans="1:12" x14ac:dyDescent="0.25">
      <c r="B11" s="50" t="s">
        <v>72</v>
      </c>
      <c r="G11" s="117">
        <f>G7-G9</f>
        <v>3393618</v>
      </c>
      <c r="H11" s="117">
        <f t="shared" ref="H11:L11" si="0">H7-H9</f>
        <v>10060474</v>
      </c>
      <c r="I11" s="117">
        <f t="shared" si="0"/>
        <v>8102986</v>
      </c>
      <c r="J11" s="117">
        <f t="shared" si="0"/>
        <v>6653380</v>
      </c>
      <c r="K11" s="117">
        <f t="shared" si="0"/>
        <v>7101236</v>
      </c>
      <c r="L11" s="117">
        <f t="shared" si="0"/>
        <v>7021587</v>
      </c>
    </row>
    <row r="12" spans="1:12" s="118" customFormat="1" x14ac:dyDescent="0.25">
      <c r="A12"/>
      <c r="F12" s="119"/>
      <c r="G12" s="120"/>
      <c r="H12" s="120"/>
      <c r="I12" s="120"/>
      <c r="J12" s="120"/>
      <c r="K12" s="120"/>
      <c r="L12" s="120"/>
    </row>
    <row r="13" spans="1:12" x14ac:dyDescent="0.25">
      <c r="B13" t="s">
        <v>126</v>
      </c>
      <c r="G13" s="92">
        <f>VLOOKUP($B13,'2011-2012--&gt;IS Jul-Dec'!$B$7:$AC$40,MATCH('Vlookup-Match'!G$5,'2011-2012--&gt;IS Jul-Dec'!$B$5:$AC$5,0),FALSE)</f>
        <v>1138698.5</v>
      </c>
      <c r="H13" s="92">
        <f>VLOOKUP($B13,'2011-2012--&gt;IS Jul-Dec'!$B$7:$AC$40,MATCH('Vlookup-Match'!H$5,'2011-2012--&gt;IS Jul-Dec'!$B$5:$AC$5,0),FALSE)</f>
        <v>2353311</v>
      </c>
      <c r="I13" s="92">
        <f>VLOOKUP($B13,'2011-2012--&gt;IS Jul-Dec'!$B$7:$AC$40,MATCH('Vlookup-Match'!I$5,'2011-2012--&gt;IS Jul-Dec'!$B$5:$AC$5,0),FALSE)</f>
        <v>2353311</v>
      </c>
      <c r="J13" s="92">
        <f>VLOOKUP($B13,'2011-2012--&gt;IS Jul-Dec'!$B$7:$AC$40,MATCH('Vlookup-Match'!J$5,'2011-2012--&gt;IS Jul-Dec'!$B$5:$AC$5,0),FALSE)</f>
        <v>2285274</v>
      </c>
      <c r="K13" s="92">
        <f>VLOOKUP($B13,'2011-2012--&gt;IS Jul-Dec'!$B$7:$AC$40,MATCH('Vlookup-Match'!K$5,'2011-2012--&gt;IS Jul-Dec'!$B$5:$AC$5,0),FALSE)</f>
        <v>2285274</v>
      </c>
      <c r="L13" s="92">
        <f>VLOOKUP($B13,'2011-2012--&gt;IS Jul-Dec'!$B$7:$AC$40,MATCH('Vlookup-Match'!L$5,'2011-2012--&gt;IS Jul-Dec'!$B$5:$AC$5,0),FALSE)</f>
        <v>2319292.5</v>
      </c>
    </row>
    <row r="14" spans="1:12" s="118" customFormat="1" x14ac:dyDescent="0.25">
      <c r="A14"/>
      <c r="F14" s="119"/>
      <c r="G14" s="120"/>
      <c r="H14" s="120"/>
      <c r="I14" s="120"/>
      <c r="J14" s="120"/>
      <c r="K14" s="120"/>
      <c r="L14" s="120"/>
    </row>
    <row r="15" spans="1:12" ht="15.75" thickBot="1" x14ac:dyDescent="0.3">
      <c r="B15" s="50" t="s">
        <v>125</v>
      </c>
      <c r="E15" s="50"/>
      <c r="F15" s="85"/>
      <c r="G15" s="108">
        <f>G11-G13</f>
        <v>2254919.5</v>
      </c>
      <c r="H15" s="108">
        <f t="shared" ref="H15:L15" si="1">H11-H13</f>
        <v>7707163</v>
      </c>
      <c r="I15" s="108">
        <f t="shared" si="1"/>
        <v>5749675</v>
      </c>
      <c r="J15" s="108">
        <f t="shared" si="1"/>
        <v>4368106</v>
      </c>
      <c r="K15" s="108">
        <f t="shared" si="1"/>
        <v>4815962</v>
      </c>
      <c r="L15" s="108">
        <f t="shared" si="1"/>
        <v>4702294.5</v>
      </c>
    </row>
    <row r="16" spans="1:12" ht="15.75" thickTop="1" x14ac:dyDescent="0.25"/>
  </sheetData>
  <pageMargins left="0.17" right="0.18" top="0.47" bottom="0.42" header="1.1200000000000001" footer="0.17"/>
  <pageSetup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Dec-2011 (O)</vt:lpstr>
      <vt:lpstr>IS (Dec 2011)</vt:lpstr>
      <vt:lpstr>2011-2012--&gt;IS Jul-Dec</vt:lpstr>
      <vt:lpstr>N Jul-Dec</vt:lpstr>
      <vt:lpstr>OneMonth</vt:lpstr>
      <vt:lpstr>Approximate-V</vt:lpstr>
      <vt:lpstr>Approximate-H</vt:lpstr>
      <vt:lpstr>Vlookup-Find</vt:lpstr>
      <vt:lpstr>Vlookup-Match</vt:lpstr>
      <vt:lpstr>'2011-2012--&gt;IS Jul-Dec'!Print_Area</vt:lpstr>
      <vt:lpstr>'N Jul-Dec'!Print_Area</vt:lpstr>
      <vt:lpstr>OneMonth!Print_Area</vt:lpstr>
      <vt:lpstr>'Vlookup-Match'!Print_Area</vt:lpstr>
      <vt:lpstr>'2011-2012--&gt;IS Jul-Dec'!Print_Titles</vt:lpstr>
      <vt:lpstr>'IS (Dec 2011)'!Print_Titles</vt:lpstr>
      <vt:lpstr>'N Jul-Dec'!Print_Titles</vt:lpstr>
      <vt:lpstr>OneMonth!Print_Titles</vt:lpstr>
      <vt:lpstr>'Vlookup-Match'!Print_Titles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2012-12-19T06:12:18Z</dcterms:modified>
</cp:coreProperties>
</file>