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tas EBTKE\Website Lintas EBTKE\Bahan dari direktorat\Attachments_2016628(1) bioenergi\"/>
    </mc:Choice>
  </mc:AlternateContent>
  <bookViews>
    <workbookView xWindow="0" yWindow="0" windowWidth="21570" windowHeight="8265" activeTab="1"/>
  </bookViews>
  <sheets>
    <sheet name="10 TPA" sheetId="1" r:id="rId1"/>
    <sheet name="Sheet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" i="2" l="1"/>
  <c r="AD9" i="2"/>
  <c r="AE9" i="2"/>
  <c r="AF9" i="2"/>
  <c r="AG9" i="2"/>
  <c r="AH9" i="2"/>
  <c r="AI9" i="2"/>
  <c r="AJ9" i="2"/>
  <c r="AK9" i="2"/>
  <c r="AL9" i="2"/>
  <c r="AM9" i="2"/>
  <c r="AN9" i="2"/>
  <c r="AB9" i="2"/>
  <c r="AA3" i="2"/>
  <c r="P12" i="2"/>
  <c r="P13" i="2"/>
  <c r="Q13" i="2"/>
  <c r="R13" i="2" s="1"/>
  <c r="S13" i="2" s="1"/>
  <c r="AK13" i="2" s="1"/>
  <c r="P14" i="2"/>
  <c r="Q14" i="2" s="1"/>
  <c r="R14" i="2" s="1"/>
  <c r="S14" i="2" s="1"/>
  <c r="P15" i="2"/>
  <c r="Q15" i="2" s="1"/>
  <c r="R15" i="2" s="1"/>
  <c r="S15" i="2" s="1"/>
  <c r="P16" i="2"/>
  <c r="Q16" i="2" s="1"/>
  <c r="R16" i="2" s="1"/>
  <c r="S16" i="2" s="1"/>
  <c r="P17" i="2"/>
  <c r="Q17" i="2" s="1"/>
  <c r="R17" i="2" s="1"/>
  <c r="S17" i="2" s="1"/>
  <c r="AK17" i="2" s="1"/>
  <c r="P18" i="2"/>
  <c r="Q18" i="2" s="1"/>
  <c r="R18" i="2" s="1"/>
  <c r="S18" i="2" s="1"/>
  <c r="P19" i="2"/>
  <c r="Q19" i="2" s="1"/>
  <c r="R19" i="2" s="1"/>
  <c r="S19" i="2" s="1"/>
  <c r="AG19" i="2" s="1"/>
  <c r="P20" i="2"/>
  <c r="Q20" i="2" s="1"/>
  <c r="R20" i="2" s="1"/>
  <c r="S20" i="2" s="1"/>
  <c r="AB20" i="2" s="1"/>
  <c r="P21" i="2"/>
  <c r="Q21" i="2" s="1"/>
  <c r="R21" i="2" s="1"/>
  <c r="S21" i="2" s="1"/>
  <c r="AC21" i="2" s="1"/>
  <c r="P22" i="2"/>
  <c r="Q22" i="2" s="1"/>
  <c r="R22" i="2" s="1"/>
  <c r="S22" i="2" s="1"/>
  <c r="P23" i="2"/>
  <c r="Q23" i="2" s="1"/>
  <c r="R23" i="2" s="1"/>
  <c r="S23" i="2" s="1"/>
  <c r="P24" i="2"/>
  <c r="Q24" i="2" s="1"/>
  <c r="R24" i="2" s="1"/>
  <c r="S24" i="2" s="1"/>
  <c r="P25" i="2"/>
  <c r="Q25" i="2" s="1"/>
  <c r="R25" i="2" s="1"/>
  <c r="S25" i="2" s="1"/>
  <c r="P26" i="2"/>
  <c r="Q26" i="2" s="1"/>
  <c r="R26" i="2" s="1"/>
  <c r="S26" i="2" s="1"/>
  <c r="P27" i="2"/>
  <c r="Q27" i="2" s="1"/>
  <c r="R27" i="2" s="1"/>
  <c r="S27" i="2" s="1"/>
  <c r="AG27" i="2" s="1"/>
  <c r="P28" i="2"/>
  <c r="Q28" i="2" s="1"/>
  <c r="R28" i="2" s="1"/>
  <c r="S28" i="2" s="1"/>
  <c r="AB28" i="2" s="1"/>
  <c r="P29" i="2"/>
  <c r="Q29" i="2" s="1"/>
  <c r="R29" i="2" s="1"/>
  <c r="S29" i="2" s="1"/>
  <c r="P30" i="2"/>
  <c r="Q30" i="2" s="1"/>
  <c r="R30" i="2" s="1"/>
  <c r="S30" i="2" s="1"/>
  <c r="P31" i="2"/>
  <c r="Q31" i="2" s="1"/>
  <c r="R31" i="2" s="1"/>
  <c r="S31" i="2" s="1"/>
  <c r="P32" i="2"/>
  <c r="Q32" i="2" s="1"/>
  <c r="R32" i="2" s="1"/>
  <c r="S32" i="2" s="1"/>
  <c r="AJ32" i="2" s="1"/>
  <c r="P33" i="2"/>
  <c r="Q33" i="2" s="1"/>
  <c r="R33" i="2" s="1"/>
  <c r="S33" i="2" s="1"/>
  <c r="AC33" i="2" s="1"/>
  <c r="P34" i="2"/>
  <c r="Q34" i="2" s="1"/>
  <c r="R34" i="2" s="1"/>
  <c r="S34" i="2" s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T35" i="2"/>
  <c r="V35" i="2"/>
  <c r="W35" i="2"/>
  <c r="X35" i="2"/>
  <c r="P38" i="2"/>
  <c r="Q38" i="2" s="1"/>
  <c r="P39" i="2"/>
  <c r="P40" i="2"/>
  <c r="Q40" i="2" s="1"/>
  <c r="R40" i="2" s="1"/>
  <c r="S40" i="2" s="1"/>
  <c r="P41" i="2"/>
  <c r="Q41" i="2" s="1"/>
  <c r="R41" i="2" s="1"/>
  <c r="S41" i="2" s="1"/>
  <c r="AC41" i="2" s="1"/>
  <c r="P42" i="2"/>
  <c r="Q42" i="2" s="1"/>
  <c r="R42" i="2" s="1"/>
  <c r="S42" i="2" s="1"/>
  <c r="P43" i="2"/>
  <c r="Q43" i="2" s="1"/>
  <c r="R43" i="2" s="1"/>
  <c r="S43" i="2" s="1"/>
  <c r="AG43" i="2" s="1"/>
  <c r="P44" i="2"/>
  <c r="Q44" i="2" s="1"/>
  <c r="R44" i="2" s="1"/>
  <c r="S44" i="2" s="1"/>
  <c r="AB44" i="2" s="1"/>
  <c r="P45" i="2"/>
  <c r="Q45" i="2" s="1"/>
  <c r="R45" i="2" s="1"/>
  <c r="S45" i="2" s="1"/>
  <c r="AC45" i="2" s="1"/>
  <c r="P46" i="2"/>
  <c r="Q46" i="2" s="1"/>
  <c r="R46" i="2" s="1"/>
  <c r="S46" i="2" s="1"/>
  <c r="P47" i="2"/>
  <c r="Q47" i="2" s="1"/>
  <c r="R47" i="2" s="1"/>
  <c r="S47" i="2" s="1"/>
  <c r="P48" i="2"/>
  <c r="Q48" i="2" s="1"/>
  <c r="R48" i="2" s="1"/>
  <c r="S48" i="2" s="1"/>
  <c r="AJ48" i="2" s="1"/>
  <c r="P49" i="2"/>
  <c r="Q49" i="2" s="1"/>
  <c r="R49" i="2" s="1"/>
  <c r="S49" i="2" s="1"/>
  <c r="AC49" i="2" s="1"/>
  <c r="P50" i="2"/>
  <c r="Q50" i="2" s="1"/>
  <c r="R50" i="2" s="1"/>
  <c r="S50" i="2" s="1"/>
  <c r="P51" i="2"/>
  <c r="Q51" i="2" s="1"/>
  <c r="R51" i="2" s="1"/>
  <c r="S51" i="2" s="1"/>
  <c r="P52" i="2"/>
  <c r="Q52" i="2" s="1"/>
  <c r="R52" i="2" s="1"/>
  <c r="S52" i="2" s="1"/>
  <c r="AJ52" i="2" s="1"/>
  <c r="P53" i="2"/>
  <c r="Q53" i="2" s="1"/>
  <c r="R53" i="2" s="1"/>
  <c r="S53" i="2" s="1"/>
  <c r="AK53" i="2" s="1"/>
  <c r="P54" i="2"/>
  <c r="Q54" i="2" s="1"/>
  <c r="R54" i="2" s="1"/>
  <c r="S54" i="2" s="1"/>
  <c r="P55" i="2"/>
  <c r="Q55" i="2" s="1"/>
  <c r="R55" i="2" s="1"/>
  <c r="S55" i="2" s="1"/>
  <c r="P56" i="2"/>
  <c r="Q56" i="2" s="1"/>
  <c r="R56" i="2" s="1"/>
  <c r="S56" i="2" s="1"/>
  <c r="AB56" i="2" s="1"/>
  <c r="P57" i="2"/>
  <c r="Q57" i="2" s="1"/>
  <c r="R57" i="2" s="1"/>
  <c r="S57" i="2" s="1"/>
  <c r="AK57" i="2" s="1"/>
  <c r="P58" i="2"/>
  <c r="Q58" i="2" s="1"/>
  <c r="R58" i="2" s="1"/>
  <c r="S58" i="2" s="1"/>
  <c r="P59" i="2"/>
  <c r="Q59" i="2" s="1"/>
  <c r="R59" i="2" s="1"/>
  <c r="S59" i="2" s="1"/>
  <c r="AG59" i="2" s="1"/>
  <c r="P60" i="2"/>
  <c r="Q60" i="2" s="1"/>
  <c r="R60" i="2" s="1"/>
  <c r="S60" i="2" s="1"/>
  <c r="AB60" i="2" s="1"/>
  <c r="P61" i="2"/>
  <c r="Q61" i="2" s="1"/>
  <c r="R61" i="2" s="1"/>
  <c r="S61" i="2" s="1"/>
  <c r="AC61" i="2" s="1"/>
  <c r="P62" i="2"/>
  <c r="Q62" i="2" s="1"/>
  <c r="R62" i="2" s="1"/>
  <c r="S62" i="2" s="1"/>
  <c r="P63" i="2"/>
  <c r="Q63" i="2" s="1"/>
  <c r="R63" i="2" s="1"/>
  <c r="S63" i="2" s="1"/>
  <c r="P64" i="2"/>
  <c r="Q64" i="2" s="1"/>
  <c r="R64" i="2" s="1"/>
  <c r="S64" i="2" s="1"/>
  <c r="AJ64" i="2" s="1"/>
  <c r="P65" i="2"/>
  <c r="Q65" i="2" s="1"/>
  <c r="R65" i="2" s="1"/>
  <c r="S65" i="2" s="1"/>
  <c r="AC65" i="2" s="1"/>
  <c r="P66" i="2"/>
  <c r="Q66" i="2" s="1"/>
  <c r="R66" i="2" s="1"/>
  <c r="S66" i="2" s="1"/>
  <c r="P67" i="2"/>
  <c r="Q67" i="2" s="1"/>
  <c r="R67" i="2" s="1"/>
  <c r="S67" i="2" s="1"/>
  <c r="P68" i="2"/>
  <c r="Q68" i="2" s="1"/>
  <c r="R68" i="2" s="1"/>
  <c r="S68" i="2" s="1"/>
  <c r="AJ68" i="2" s="1"/>
  <c r="P69" i="2"/>
  <c r="Q69" i="2" s="1"/>
  <c r="R69" i="2" s="1"/>
  <c r="S69" i="2" s="1"/>
  <c r="AK69" i="2" s="1"/>
  <c r="P70" i="2"/>
  <c r="Q70" i="2" s="1"/>
  <c r="R70" i="2" s="1"/>
  <c r="S70" i="2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T71" i="2"/>
  <c r="V71" i="2"/>
  <c r="W71" i="2"/>
  <c r="X71" i="2"/>
  <c r="P74" i="2"/>
  <c r="P75" i="2"/>
  <c r="Q75" i="2" s="1"/>
  <c r="R75" i="2" s="1"/>
  <c r="S75" i="2" s="1"/>
  <c r="P76" i="2"/>
  <c r="Q76" i="2" s="1"/>
  <c r="R76" i="2" s="1"/>
  <c r="S76" i="2" s="1"/>
  <c r="P77" i="2"/>
  <c r="Q77" i="2" s="1"/>
  <c r="R77" i="2" s="1"/>
  <c r="S77" i="2" s="1"/>
  <c r="AG77" i="2" s="1"/>
  <c r="P78" i="2"/>
  <c r="Q78" i="2" s="1"/>
  <c r="R78" i="2" s="1"/>
  <c r="S78" i="2" s="1"/>
  <c r="P79" i="2"/>
  <c r="Q79" i="2" s="1"/>
  <c r="R79" i="2" s="1"/>
  <c r="S79" i="2" s="1"/>
  <c r="P80" i="2"/>
  <c r="Q80" i="2" s="1"/>
  <c r="R80" i="2" s="1"/>
  <c r="S80" i="2" s="1"/>
  <c r="P81" i="2"/>
  <c r="Q81" i="2" s="1"/>
  <c r="R81" i="2" s="1"/>
  <c r="S81" i="2" s="1"/>
  <c r="AG81" i="2" s="1"/>
  <c r="P82" i="2"/>
  <c r="Q82" i="2" s="1"/>
  <c r="R82" i="2" s="1"/>
  <c r="S82" i="2" s="1"/>
  <c r="P83" i="2"/>
  <c r="Q83" i="2" s="1"/>
  <c r="R83" i="2" s="1"/>
  <c r="S83" i="2" s="1"/>
  <c r="AG83" i="2" s="1"/>
  <c r="P84" i="2"/>
  <c r="Q84" i="2" s="1"/>
  <c r="R84" i="2" s="1"/>
  <c r="S84" i="2" s="1"/>
  <c r="P85" i="2"/>
  <c r="Q85" i="2" s="1"/>
  <c r="R85" i="2" s="1"/>
  <c r="S85" i="2" s="1"/>
  <c r="AK85" i="2" s="1"/>
  <c r="P86" i="2"/>
  <c r="Q86" i="2" s="1"/>
  <c r="R86" i="2" s="1"/>
  <c r="S86" i="2" s="1"/>
  <c r="P87" i="2"/>
  <c r="Q87" i="2" s="1"/>
  <c r="R87" i="2" s="1"/>
  <c r="S87" i="2" s="1"/>
  <c r="P88" i="2"/>
  <c r="Q88" i="2" s="1"/>
  <c r="R88" i="2" s="1"/>
  <c r="S88" i="2" s="1"/>
  <c r="P89" i="2"/>
  <c r="Q89" i="2" s="1"/>
  <c r="R89" i="2" s="1"/>
  <c r="S89" i="2" s="1"/>
  <c r="AK89" i="2" s="1"/>
  <c r="P90" i="2"/>
  <c r="Q90" i="2" s="1"/>
  <c r="R90" i="2" s="1"/>
  <c r="S90" i="2" s="1"/>
  <c r="AF90" i="2" s="1"/>
  <c r="P91" i="2"/>
  <c r="Q91" i="2" s="1"/>
  <c r="R91" i="2" s="1"/>
  <c r="S91" i="2" s="1"/>
  <c r="P92" i="2"/>
  <c r="Q92" i="2" s="1"/>
  <c r="R92" i="2" s="1"/>
  <c r="S92" i="2" s="1"/>
  <c r="C93" i="2"/>
  <c r="D93" i="2"/>
  <c r="E93" i="2"/>
  <c r="F93" i="2"/>
  <c r="G93" i="2"/>
  <c r="H93" i="2"/>
  <c r="M93" i="2"/>
  <c r="N93" i="2"/>
  <c r="O93" i="2"/>
  <c r="P96" i="2"/>
  <c r="Q96" i="2"/>
  <c r="P97" i="2"/>
  <c r="Q97" i="2" s="1"/>
  <c r="R97" i="2" s="1"/>
  <c r="S97" i="2" s="1"/>
  <c r="P98" i="2"/>
  <c r="Q98" i="2" s="1"/>
  <c r="R98" i="2" s="1"/>
  <c r="S98" i="2" s="1"/>
  <c r="AF98" i="2" s="1"/>
  <c r="P99" i="2"/>
  <c r="P100" i="2"/>
  <c r="Q100" i="2" s="1"/>
  <c r="R100" i="2" s="1"/>
  <c r="S100" i="2" s="1"/>
  <c r="P101" i="2"/>
  <c r="Q101" i="2" s="1"/>
  <c r="R101" i="2" s="1"/>
  <c r="S101" i="2" s="1"/>
  <c r="P102" i="2"/>
  <c r="Q102" i="2" s="1"/>
  <c r="R102" i="2" s="1"/>
  <c r="S102" i="2" s="1"/>
  <c r="P103" i="2"/>
  <c r="Q103" i="2" s="1"/>
  <c r="R103" i="2" s="1"/>
  <c r="S103" i="2" s="1"/>
  <c r="P104" i="2"/>
  <c r="Q104" i="2" s="1"/>
  <c r="R104" i="2" s="1"/>
  <c r="S104" i="2" s="1"/>
  <c r="AF104" i="2" s="1"/>
  <c r="P105" i="2"/>
  <c r="Q105" i="2" s="1"/>
  <c r="R105" i="2" s="1"/>
  <c r="S105" i="2" s="1"/>
  <c r="AG105" i="2" s="1"/>
  <c r="P106" i="2"/>
  <c r="Q106" i="2" s="1"/>
  <c r="R106" i="2" s="1"/>
  <c r="S106" i="2" s="1"/>
  <c r="AF106" i="2" s="1"/>
  <c r="P107" i="2"/>
  <c r="Q107" i="2" s="1"/>
  <c r="R107" i="2" s="1"/>
  <c r="S107" i="2" s="1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T108" i="2"/>
  <c r="V108" i="2"/>
  <c r="W108" i="2"/>
  <c r="X108" i="2"/>
  <c r="C118" i="2"/>
  <c r="D118" i="2"/>
  <c r="E118" i="2"/>
  <c r="F118" i="2"/>
  <c r="G118" i="2"/>
  <c r="H118" i="2"/>
  <c r="I118" i="2"/>
  <c r="M118" i="2"/>
  <c r="N118" i="2"/>
  <c r="O118" i="2"/>
  <c r="P121" i="2"/>
  <c r="Q121" i="2"/>
  <c r="P122" i="2"/>
  <c r="Q122" i="2" s="1"/>
  <c r="R122" i="2" s="1"/>
  <c r="S122" i="2" s="1"/>
  <c r="P123" i="2"/>
  <c r="Q123" i="2" s="1"/>
  <c r="R123" i="2" s="1"/>
  <c r="S123" i="2" s="1"/>
  <c r="P124" i="2"/>
  <c r="P125" i="2"/>
  <c r="Q125" i="2" s="1"/>
  <c r="R125" i="2" s="1"/>
  <c r="S125" i="2" s="1"/>
  <c r="P126" i="2"/>
  <c r="Q126" i="2" s="1"/>
  <c r="R126" i="2" s="1"/>
  <c r="S126" i="2" s="1"/>
  <c r="AE126" i="2" s="1"/>
  <c r="P127" i="2"/>
  <c r="Q127" i="2" s="1"/>
  <c r="R127" i="2" s="1"/>
  <c r="S127" i="2" s="1"/>
  <c r="AH127" i="2" s="1"/>
  <c r="P128" i="2"/>
  <c r="Q128" i="2" s="1"/>
  <c r="R128" i="2" s="1"/>
  <c r="S128" i="2" s="1"/>
  <c r="P129" i="2"/>
  <c r="Q129" i="2" s="1"/>
  <c r="R129" i="2" s="1"/>
  <c r="S129" i="2" s="1"/>
  <c r="P130" i="2"/>
  <c r="Q130" i="2" s="1"/>
  <c r="R130" i="2" s="1"/>
  <c r="S130" i="2" s="1"/>
  <c r="P131" i="2"/>
  <c r="Q131" i="2" s="1"/>
  <c r="R131" i="2" s="1"/>
  <c r="S131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T132" i="2"/>
  <c r="V132" i="2"/>
  <c r="W132" i="2"/>
  <c r="X132" i="2"/>
  <c r="P135" i="2"/>
  <c r="P136" i="2"/>
  <c r="Q136" i="2" s="1"/>
  <c r="R136" i="2" s="1"/>
  <c r="S136" i="2" s="1"/>
  <c r="AI136" i="2" s="1"/>
  <c r="P137" i="2"/>
  <c r="Q137" i="2" s="1"/>
  <c r="R137" i="2" s="1"/>
  <c r="S137" i="2" s="1"/>
  <c r="AD137" i="2" s="1"/>
  <c r="P138" i="2"/>
  <c r="Q138" i="2" s="1"/>
  <c r="R138" i="2" s="1"/>
  <c r="S138" i="2" s="1"/>
  <c r="AE138" i="2" s="1"/>
  <c r="P139" i="2"/>
  <c r="Q139" i="2" s="1"/>
  <c r="R139" i="2" s="1"/>
  <c r="S139" i="2" s="1"/>
  <c r="AH139" i="2" s="1"/>
  <c r="P140" i="2"/>
  <c r="Q140" i="2" s="1"/>
  <c r="R140" i="2" s="1"/>
  <c r="S140" i="2" s="1"/>
  <c r="P141" i="2"/>
  <c r="Q141" i="2" s="1"/>
  <c r="R141" i="2" s="1"/>
  <c r="S141" i="2" s="1"/>
  <c r="P142" i="2"/>
  <c r="Q142" i="2" s="1"/>
  <c r="R142" i="2" s="1"/>
  <c r="S142" i="2" s="1"/>
  <c r="P143" i="2"/>
  <c r="Q143" i="2" s="1"/>
  <c r="R143" i="2" s="1"/>
  <c r="S143" i="2" s="1"/>
  <c r="P144" i="2"/>
  <c r="Q144" i="2" s="1"/>
  <c r="R144" i="2" s="1"/>
  <c r="S144" i="2" s="1"/>
  <c r="AI144" i="2" s="1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T145" i="2"/>
  <c r="V145" i="2"/>
  <c r="W145" i="2"/>
  <c r="X145" i="2"/>
  <c r="P148" i="2"/>
  <c r="Q148" i="2" s="1"/>
  <c r="P149" i="2"/>
  <c r="Q149" i="2" s="1"/>
  <c r="R149" i="2" s="1"/>
  <c r="S149" i="2" s="1"/>
  <c r="P150" i="2"/>
  <c r="Q150" i="2" s="1"/>
  <c r="R150" i="2" s="1"/>
  <c r="S150" i="2" s="1"/>
  <c r="P151" i="2"/>
  <c r="Q151" i="2" s="1"/>
  <c r="R151" i="2" s="1"/>
  <c r="S151" i="2" s="1"/>
  <c r="P152" i="2"/>
  <c r="Q152" i="2" s="1"/>
  <c r="R152" i="2" s="1"/>
  <c r="S152" i="2" s="1"/>
  <c r="AI152" i="2" s="1"/>
  <c r="P153" i="2"/>
  <c r="Q153" i="2" s="1"/>
  <c r="R153" i="2" s="1"/>
  <c r="S153" i="2" s="1"/>
  <c r="AD153" i="2" s="1"/>
  <c r="P154" i="2"/>
  <c r="Q154" i="2" s="1"/>
  <c r="R154" i="2" s="1"/>
  <c r="S154" i="2" s="1"/>
  <c r="AE154" i="2" s="1"/>
  <c r="P155" i="2"/>
  <c r="Q155" i="2" s="1"/>
  <c r="R155" i="2" s="1"/>
  <c r="S155" i="2" s="1"/>
  <c r="AH155" i="2" s="1"/>
  <c r="P156" i="2"/>
  <c r="Q156" i="2" s="1"/>
  <c r="R156" i="2" s="1"/>
  <c r="S156" i="2" s="1"/>
  <c r="P157" i="2"/>
  <c r="Q157" i="2" s="1"/>
  <c r="R157" i="2" s="1"/>
  <c r="S157" i="2" s="1"/>
  <c r="P158" i="2"/>
  <c r="Q158" i="2" s="1"/>
  <c r="R158" i="2" s="1"/>
  <c r="S158" i="2" s="1"/>
  <c r="P159" i="2"/>
  <c r="Q159" i="2"/>
  <c r="R159" i="2" s="1"/>
  <c r="S159" i="2" s="1"/>
  <c r="P160" i="2"/>
  <c r="Q160" i="2"/>
  <c r="R160" i="2" s="1"/>
  <c r="S160" i="2" s="1"/>
  <c r="AI160" i="2" s="1"/>
  <c r="P161" i="2"/>
  <c r="Q161" i="2" s="1"/>
  <c r="R161" i="2" s="1"/>
  <c r="S161" i="2" s="1"/>
  <c r="P162" i="2"/>
  <c r="Q162" i="2" s="1"/>
  <c r="R162" i="2" s="1"/>
  <c r="S162" i="2" s="1"/>
  <c r="AE162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T163" i="2"/>
  <c r="V163" i="2"/>
  <c r="W163" i="2"/>
  <c r="X163" i="2"/>
  <c r="P166" i="2"/>
  <c r="P167" i="2"/>
  <c r="Q167" i="2" s="1"/>
  <c r="R167" i="2" s="1"/>
  <c r="S167" i="2" s="1"/>
  <c r="P168" i="2"/>
  <c r="Q168" i="2" s="1"/>
  <c r="R168" i="2" s="1"/>
  <c r="S168" i="2" s="1"/>
  <c r="P169" i="2"/>
  <c r="Q169" i="2" s="1"/>
  <c r="R169" i="2" s="1"/>
  <c r="S169" i="2" s="1"/>
  <c r="P170" i="2"/>
  <c r="Q170" i="2" s="1"/>
  <c r="R170" i="2" s="1"/>
  <c r="S170" i="2" s="1"/>
  <c r="P171" i="2"/>
  <c r="Q171" i="2" s="1"/>
  <c r="R171" i="2" s="1"/>
  <c r="S171" i="2" s="1"/>
  <c r="P172" i="2"/>
  <c r="Q172" i="2" s="1"/>
  <c r="R172" i="2" s="1"/>
  <c r="S172" i="2" s="1"/>
  <c r="AI172" i="2" s="1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T173" i="2"/>
  <c r="V173" i="2"/>
  <c r="W173" i="2"/>
  <c r="X173" i="2"/>
  <c r="P176" i="2"/>
  <c r="Q176" i="2" s="1"/>
  <c r="P177" i="2"/>
  <c r="Q177" i="2" s="1"/>
  <c r="R177" i="2" s="1"/>
  <c r="S177" i="2" s="1"/>
  <c r="P178" i="2"/>
  <c r="Q178" i="2" s="1"/>
  <c r="R178" i="2" s="1"/>
  <c r="S178" i="2" s="1"/>
  <c r="P179" i="2"/>
  <c r="Q179" i="2" s="1"/>
  <c r="R179" i="2" s="1"/>
  <c r="S179" i="2" s="1"/>
  <c r="P180" i="2"/>
  <c r="Q180" i="2" s="1"/>
  <c r="R180" i="2" s="1"/>
  <c r="S180" i="2" s="1"/>
  <c r="P181" i="2"/>
  <c r="Q181" i="2" s="1"/>
  <c r="R181" i="2" s="1"/>
  <c r="S181" i="2" s="1"/>
  <c r="AD181" i="2" s="1"/>
  <c r="P182" i="2"/>
  <c r="Q182" i="2" s="1"/>
  <c r="R182" i="2" s="1"/>
  <c r="S182" i="2" s="1"/>
  <c r="P183" i="2"/>
  <c r="Q183" i="2" s="1"/>
  <c r="R183" i="2" s="1"/>
  <c r="S183" i="2" s="1"/>
  <c r="P184" i="2"/>
  <c r="Q184" i="2" s="1"/>
  <c r="R184" i="2" s="1"/>
  <c r="S184" i="2" s="1"/>
  <c r="AK184" i="2" s="1"/>
  <c r="P185" i="2"/>
  <c r="Q185" i="2"/>
  <c r="R185" i="2" s="1"/>
  <c r="S185" i="2" s="1"/>
  <c r="AF185" i="2" s="1"/>
  <c r="P186" i="2"/>
  <c r="Q186" i="2" s="1"/>
  <c r="R186" i="2" s="1"/>
  <c r="S186" i="2" s="1"/>
  <c r="AI186" i="2" s="1"/>
  <c r="P187" i="2"/>
  <c r="Q187" i="2" s="1"/>
  <c r="R187" i="2" s="1"/>
  <c r="S187" i="2" s="1"/>
  <c r="P188" i="2"/>
  <c r="Q188" i="2" s="1"/>
  <c r="R188" i="2" s="1"/>
  <c r="S188" i="2" s="1"/>
  <c r="AC188" i="2" s="1"/>
  <c r="P189" i="2"/>
  <c r="Q189" i="2" s="1"/>
  <c r="R189" i="2" s="1"/>
  <c r="S189" i="2" s="1"/>
  <c r="AB189" i="2" s="1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T190" i="2"/>
  <c r="V190" i="2"/>
  <c r="W190" i="2"/>
  <c r="X190" i="2"/>
  <c r="P196" i="2"/>
  <c r="Q196" i="2" s="1"/>
  <c r="P197" i="2"/>
  <c r="Q197" i="2" s="1"/>
  <c r="R197" i="2" s="1"/>
  <c r="S197" i="2" s="1"/>
  <c r="P198" i="2"/>
  <c r="Q198" i="2" s="1"/>
  <c r="R198" i="2" s="1"/>
  <c r="S198" i="2" s="1"/>
  <c r="AB198" i="2" s="1"/>
  <c r="P199" i="2"/>
  <c r="Q199" i="2" s="1"/>
  <c r="R199" i="2" s="1"/>
  <c r="S199" i="2" s="1"/>
  <c r="P200" i="2"/>
  <c r="Q200" i="2" s="1"/>
  <c r="R200" i="2" s="1"/>
  <c r="S200" i="2" s="1"/>
  <c r="P201" i="2"/>
  <c r="Q201" i="2" s="1"/>
  <c r="R201" i="2" s="1"/>
  <c r="S201" i="2" s="1"/>
  <c r="AC201" i="2" s="1"/>
  <c r="P202" i="2"/>
  <c r="Q202" i="2" s="1"/>
  <c r="R202" i="2" s="1"/>
  <c r="S202" i="2" s="1"/>
  <c r="P203" i="2"/>
  <c r="Q203" i="2" s="1"/>
  <c r="R203" i="2" s="1"/>
  <c r="S203" i="2" s="1"/>
  <c r="P204" i="2"/>
  <c r="Q204" i="2" s="1"/>
  <c r="R204" i="2" s="1"/>
  <c r="S204" i="2" s="1"/>
  <c r="AH204" i="2" s="1"/>
  <c r="P205" i="2"/>
  <c r="Q205" i="2" s="1"/>
  <c r="R205" i="2" s="1"/>
  <c r="S205" i="2" s="1"/>
  <c r="P206" i="2"/>
  <c r="Q206" i="2" s="1"/>
  <c r="R206" i="2" s="1"/>
  <c r="S206" i="2" s="1"/>
  <c r="AF206" i="2" s="1"/>
  <c r="P207" i="2"/>
  <c r="Q207" i="2" s="1"/>
  <c r="R207" i="2" s="1"/>
  <c r="S207" i="2" s="1"/>
  <c r="P208" i="2"/>
  <c r="Q208" i="2" s="1"/>
  <c r="R208" i="2" s="1"/>
  <c r="S208" i="2" s="1"/>
  <c r="P209" i="2"/>
  <c r="Q209" i="2" s="1"/>
  <c r="R209" i="2" s="1"/>
  <c r="S209" i="2" s="1"/>
  <c r="AK209" i="2" s="1"/>
  <c r="C210" i="2"/>
  <c r="D210" i="2"/>
  <c r="E210" i="2"/>
  <c r="F210" i="2"/>
  <c r="G210" i="2"/>
  <c r="I210" i="2"/>
  <c r="J210" i="2"/>
  <c r="K210" i="2"/>
  <c r="L210" i="2"/>
  <c r="M210" i="2"/>
  <c r="N210" i="2"/>
  <c r="O210" i="2"/>
  <c r="T210" i="2"/>
  <c r="V210" i="2"/>
  <c r="W210" i="2"/>
  <c r="X210" i="2"/>
  <c r="C227" i="2"/>
  <c r="D227" i="2"/>
  <c r="E227" i="2"/>
  <c r="F227" i="2"/>
  <c r="G227" i="2"/>
  <c r="H227" i="2"/>
  <c r="N227" i="2"/>
  <c r="P230" i="2"/>
  <c r="Q230" i="2"/>
  <c r="P231" i="2"/>
  <c r="Q231" i="2" s="1"/>
  <c r="R231" i="2" s="1"/>
  <c r="S231" i="2" s="1"/>
  <c r="P232" i="2"/>
  <c r="Q232" i="2" s="1"/>
  <c r="R232" i="2" s="1"/>
  <c r="S232" i="2" s="1"/>
  <c r="AE232" i="2" s="1"/>
  <c r="P233" i="2"/>
  <c r="Q233" i="2"/>
  <c r="R233" i="2" s="1"/>
  <c r="S233" i="2" s="1"/>
  <c r="P234" i="2"/>
  <c r="Q234" i="2" s="1"/>
  <c r="R234" i="2" s="1"/>
  <c r="S234" i="2" s="1"/>
  <c r="AI234" i="2" s="1"/>
  <c r="P235" i="2"/>
  <c r="Q235" i="2" s="1"/>
  <c r="R235" i="2" s="1"/>
  <c r="S235" i="2" s="1"/>
  <c r="P236" i="2"/>
  <c r="Q236" i="2" s="1"/>
  <c r="R236" i="2" s="1"/>
  <c r="S236" i="2" s="1"/>
  <c r="AG236" i="2" s="1"/>
  <c r="P237" i="2"/>
  <c r="Q237" i="2" s="1"/>
  <c r="R237" i="2" s="1"/>
  <c r="S237" i="2" s="1"/>
  <c r="P238" i="2"/>
  <c r="Q238" i="2" s="1"/>
  <c r="R238" i="2" s="1"/>
  <c r="S238" i="2" s="1"/>
  <c r="AI238" i="2" s="1"/>
  <c r="P239" i="2"/>
  <c r="Q239" i="2" s="1"/>
  <c r="R239" i="2" s="1"/>
  <c r="S239" i="2" s="1"/>
  <c r="AJ239" i="2" s="1"/>
  <c r="P240" i="2"/>
  <c r="Q240" i="2" s="1"/>
  <c r="R240" i="2" s="1"/>
  <c r="S240" i="2" s="1"/>
  <c r="AK240" i="2" s="1"/>
  <c r="P241" i="2"/>
  <c r="Q241" i="2" s="1"/>
  <c r="R241" i="2" s="1"/>
  <c r="S241" i="2" s="1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T242" i="2"/>
  <c r="V242" i="2"/>
  <c r="W242" i="2"/>
  <c r="X242" i="2"/>
  <c r="P245" i="2"/>
  <c r="P246" i="2"/>
  <c r="Q246" i="2" s="1"/>
  <c r="R246" i="2" s="1"/>
  <c r="S246" i="2" s="1"/>
  <c r="P247" i="2"/>
  <c r="Q247" i="2" s="1"/>
  <c r="R247" i="2" s="1"/>
  <c r="S247" i="2" s="1"/>
  <c r="AD247" i="2" s="1"/>
  <c r="P248" i="2"/>
  <c r="Q248" i="2" s="1"/>
  <c r="R248" i="2" s="1"/>
  <c r="S248" i="2" s="1"/>
  <c r="AE248" i="2" s="1"/>
  <c r="P249" i="2"/>
  <c r="Q249" i="2" s="1"/>
  <c r="R249" i="2" s="1"/>
  <c r="S249" i="2" s="1"/>
  <c r="AH249" i="2" s="1"/>
  <c r="P250" i="2"/>
  <c r="Q250" i="2" s="1"/>
  <c r="R250" i="2" s="1"/>
  <c r="S250" i="2" s="1"/>
  <c r="P251" i="2"/>
  <c r="Q251" i="2" s="1"/>
  <c r="R251" i="2" s="1"/>
  <c r="S251" i="2" s="1"/>
  <c r="AB251" i="2" s="1"/>
  <c r="P252" i="2"/>
  <c r="Q252" i="2" s="1"/>
  <c r="R252" i="2" s="1"/>
  <c r="S252" i="2" s="1"/>
  <c r="AC252" i="2" s="1"/>
  <c r="P253" i="2"/>
  <c r="Q253" i="2" s="1"/>
  <c r="R253" i="2" s="1"/>
  <c r="S253" i="2" s="1"/>
  <c r="P254" i="2"/>
  <c r="Q254" i="2" s="1"/>
  <c r="R254" i="2" s="1"/>
  <c r="S254" i="2" s="1"/>
  <c r="P255" i="2"/>
  <c r="Q255" i="2" s="1"/>
  <c r="R255" i="2" s="1"/>
  <c r="S255" i="2" s="1"/>
  <c r="AF255" i="2" s="1"/>
  <c r="P256" i="2"/>
  <c r="Q256" i="2" s="1"/>
  <c r="R256" i="2" s="1"/>
  <c r="S256" i="2" s="1"/>
  <c r="AC256" i="2" s="1"/>
  <c r="P257" i="2"/>
  <c r="Q257" i="2" s="1"/>
  <c r="R257" i="2" s="1"/>
  <c r="S257" i="2" s="1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T258" i="2"/>
  <c r="V258" i="2"/>
  <c r="W258" i="2"/>
  <c r="X258" i="2"/>
  <c r="P265" i="2"/>
  <c r="Q265" i="2" s="1"/>
  <c r="P266" i="2"/>
  <c r="P267" i="2"/>
  <c r="Q267" i="2" s="1"/>
  <c r="R267" i="2" s="1"/>
  <c r="S267" i="2" s="1"/>
  <c r="AD267" i="2" s="1"/>
  <c r="P268" i="2"/>
  <c r="Q268" i="2" s="1"/>
  <c r="R268" i="2" s="1"/>
  <c r="S268" i="2" s="1"/>
  <c r="AB268" i="2" s="1"/>
  <c r="P269" i="2"/>
  <c r="Q269" i="2" s="1"/>
  <c r="R269" i="2" s="1"/>
  <c r="S269" i="2" s="1"/>
  <c r="P270" i="2"/>
  <c r="Q270" i="2" s="1"/>
  <c r="R270" i="2" s="1"/>
  <c r="S270" i="2" s="1"/>
  <c r="AD270" i="2" s="1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T271" i="2"/>
  <c r="V271" i="2"/>
  <c r="W271" i="2"/>
  <c r="X271" i="2"/>
  <c r="P274" i="2"/>
  <c r="P275" i="2"/>
  <c r="Q275" i="2" s="1"/>
  <c r="R275" i="2" s="1"/>
  <c r="S275" i="2" s="1"/>
  <c r="AB275" i="2" s="1"/>
  <c r="P276" i="2"/>
  <c r="Q276" i="2" s="1"/>
  <c r="R276" i="2" s="1"/>
  <c r="S276" i="2" s="1"/>
  <c r="AB276" i="2" s="1"/>
  <c r="P277" i="2"/>
  <c r="Q277" i="2" s="1"/>
  <c r="R277" i="2" s="1"/>
  <c r="S277" i="2" s="1"/>
  <c r="AJ277" i="2" s="1"/>
  <c r="P278" i="2"/>
  <c r="Q278" i="2" s="1"/>
  <c r="R278" i="2" s="1"/>
  <c r="S278" i="2" s="1"/>
  <c r="AI278" i="2" s="1"/>
  <c r="P279" i="2"/>
  <c r="Q279" i="2" s="1"/>
  <c r="R279" i="2" s="1"/>
  <c r="S279" i="2" s="1"/>
  <c r="AB279" i="2" s="1"/>
  <c r="P280" i="2"/>
  <c r="Q280" i="2" s="1"/>
  <c r="R280" i="2" s="1"/>
  <c r="S280" i="2" s="1"/>
  <c r="AG280" i="2" s="1"/>
  <c r="P281" i="2"/>
  <c r="Q281" i="2" s="1"/>
  <c r="R281" i="2" s="1"/>
  <c r="S281" i="2" s="1"/>
  <c r="AJ281" i="2" s="1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T282" i="2"/>
  <c r="V282" i="2"/>
  <c r="W282" i="2"/>
  <c r="X282" i="2"/>
  <c r="P285" i="2"/>
  <c r="Q285" i="2" s="1"/>
  <c r="P286" i="2"/>
  <c r="Q286" i="2" s="1"/>
  <c r="R286" i="2" s="1"/>
  <c r="S286" i="2" s="1"/>
  <c r="AG286" i="2" s="1"/>
  <c r="P287" i="2"/>
  <c r="P288" i="2"/>
  <c r="Q288" i="2" s="1"/>
  <c r="R288" i="2" s="1"/>
  <c r="S288" i="2" s="1"/>
  <c r="AB288" i="2" s="1"/>
  <c r="P289" i="2"/>
  <c r="Q289" i="2" s="1"/>
  <c r="R289" i="2" s="1"/>
  <c r="S289" i="2" s="1"/>
  <c r="P290" i="2"/>
  <c r="Q290" i="2" s="1"/>
  <c r="R290" i="2" s="1"/>
  <c r="S290" i="2" s="1"/>
  <c r="P291" i="2"/>
  <c r="Q291" i="2" s="1"/>
  <c r="R291" i="2" s="1"/>
  <c r="S291" i="2" s="1"/>
  <c r="AB291" i="2" s="1"/>
  <c r="P292" i="2"/>
  <c r="Q292" i="2" s="1"/>
  <c r="R292" i="2" s="1"/>
  <c r="S292" i="2" s="1"/>
  <c r="AB292" i="2" s="1"/>
  <c r="P293" i="2"/>
  <c r="Q293" i="2" s="1"/>
  <c r="R293" i="2" s="1"/>
  <c r="S293" i="2" s="1"/>
  <c r="P294" i="2"/>
  <c r="Q294" i="2" s="1"/>
  <c r="R294" i="2" s="1"/>
  <c r="S294" i="2" s="1"/>
  <c r="AI294" i="2" s="1"/>
  <c r="P295" i="2"/>
  <c r="Q295" i="2" s="1"/>
  <c r="R295" i="2" s="1"/>
  <c r="S295" i="2" s="1"/>
  <c r="AG295" i="2" s="1"/>
  <c r="P296" i="2"/>
  <c r="Q296" i="2" s="1"/>
  <c r="R296" i="2" s="1"/>
  <c r="S296" i="2" s="1"/>
  <c r="AG296" i="2" s="1"/>
  <c r="P297" i="2"/>
  <c r="Q297" i="2" s="1"/>
  <c r="R297" i="2" s="1"/>
  <c r="S297" i="2" s="1"/>
  <c r="P298" i="2"/>
  <c r="Q298" i="2" s="1"/>
  <c r="R298" i="2" s="1"/>
  <c r="S298" i="2" s="1"/>
  <c r="AG298" i="2" s="1"/>
  <c r="P299" i="2"/>
  <c r="Q299" i="2" s="1"/>
  <c r="R299" i="2" s="1"/>
  <c r="S299" i="2" s="1"/>
  <c r="AD299" i="2" s="1"/>
  <c r="P300" i="2"/>
  <c r="Q300" i="2" s="1"/>
  <c r="R300" i="2" s="1"/>
  <c r="S300" i="2" s="1"/>
  <c r="P301" i="2"/>
  <c r="Q301" i="2" s="1"/>
  <c r="R301" i="2" s="1"/>
  <c r="S301" i="2" s="1"/>
  <c r="AJ301" i="2" s="1"/>
  <c r="P302" i="2"/>
  <c r="Q302" i="2" s="1"/>
  <c r="R302" i="2" s="1"/>
  <c r="S302" i="2" s="1"/>
  <c r="AG302" i="2" s="1"/>
  <c r="P303" i="2"/>
  <c r="Q303" i="2" s="1"/>
  <c r="R303" i="2" s="1"/>
  <c r="S303" i="2" s="1"/>
  <c r="P304" i="2"/>
  <c r="Q304" i="2" s="1"/>
  <c r="R304" i="2" s="1"/>
  <c r="S304" i="2" s="1"/>
  <c r="AB304" i="2" s="1"/>
  <c r="P305" i="2"/>
  <c r="Q305" i="2" s="1"/>
  <c r="R305" i="2" s="1"/>
  <c r="S305" i="2" s="1"/>
  <c r="P306" i="2"/>
  <c r="Q306" i="2" s="1"/>
  <c r="R306" i="2" s="1"/>
  <c r="S306" i="2" s="1"/>
  <c r="AG306" i="2" s="1"/>
  <c r="P307" i="2"/>
  <c r="Q307" i="2" s="1"/>
  <c r="R307" i="2" s="1"/>
  <c r="S307" i="2" s="1"/>
  <c r="AB307" i="2" s="1"/>
  <c r="P308" i="2"/>
  <c r="Q308" i="2" s="1"/>
  <c r="R308" i="2" s="1"/>
  <c r="S308" i="2" s="1"/>
  <c r="AG308" i="2" s="1"/>
  <c r="P309" i="2"/>
  <c r="Q309" i="2" s="1"/>
  <c r="R309" i="2" s="1"/>
  <c r="S309" i="2" s="1"/>
  <c r="P310" i="2"/>
  <c r="Q310" i="2"/>
  <c r="R310" i="2" s="1"/>
  <c r="S310" i="2" s="1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T311" i="2"/>
  <c r="V311" i="2"/>
  <c r="W311" i="2"/>
  <c r="X311" i="2"/>
  <c r="P314" i="2"/>
  <c r="P315" i="2"/>
  <c r="Q315" i="2" s="1"/>
  <c r="R315" i="2" s="1"/>
  <c r="S315" i="2" s="1"/>
  <c r="AG315" i="2" s="1"/>
  <c r="P316" i="2"/>
  <c r="Q316" i="2" s="1"/>
  <c r="R316" i="2" s="1"/>
  <c r="S316" i="2" s="1"/>
  <c r="P317" i="2"/>
  <c r="Q317" i="2" s="1"/>
  <c r="R317" i="2" s="1"/>
  <c r="S317" i="2" s="1"/>
  <c r="P318" i="2"/>
  <c r="Q318" i="2" s="1"/>
  <c r="R318" i="2" s="1"/>
  <c r="S318" i="2" s="1"/>
  <c r="AG318" i="2" s="1"/>
  <c r="P319" i="2"/>
  <c r="Q319" i="2" s="1"/>
  <c r="R319" i="2" s="1"/>
  <c r="S319" i="2" s="1"/>
  <c r="AB319" i="2" s="1"/>
  <c r="P320" i="2"/>
  <c r="Q320" i="2" s="1"/>
  <c r="R320" i="2" s="1"/>
  <c r="S320" i="2" s="1"/>
  <c r="AB320" i="2" s="1"/>
  <c r="P321" i="2"/>
  <c r="Q321" i="2" s="1"/>
  <c r="R321" i="2" s="1"/>
  <c r="S321" i="2" s="1"/>
  <c r="P322" i="2"/>
  <c r="Q322" i="2" s="1"/>
  <c r="R322" i="2" s="1"/>
  <c r="S322" i="2" s="1"/>
  <c r="AG322" i="2" s="1"/>
  <c r="P323" i="2"/>
  <c r="Q323" i="2" s="1"/>
  <c r="R323" i="2" s="1"/>
  <c r="S323" i="2" s="1"/>
  <c r="AD323" i="2" s="1"/>
  <c r="P324" i="2"/>
  <c r="Q324" i="2" s="1"/>
  <c r="R324" i="2" s="1"/>
  <c r="S324" i="2" s="1"/>
  <c r="AB324" i="2" s="1"/>
  <c r="P325" i="2"/>
  <c r="Q325" i="2" s="1"/>
  <c r="R325" i="2" s="1"/>
  <c r="S325" i="2" s="1"/>
  <c r="P326" i="2"/>
  <c r="Q326" i="2" s="1"/>
  <c r="R326" i="2" s="1"/>
  <c r="S326" i="2" s="1"/>
  <c r="P327" i="2"/>
  <c r="Q327" i="2" s="1"/>
  <c r="R327" i="2" s="1"/>
  <c r="S327" i="2" s="1"/>
  <c r="AG327" i="2" s="1"/>
  <c r="P328" i="2"/>
  <c r="Q328" i="2" s="1"/>
  <c r="R328" i="2" s="1"/>
  <c r="S328" i="2" s="1"/>
  <c r="AG328" i="2" s="1"/>
  <c r="P329" i="2"/>
  <c r="Q329" i="2" s="1"/>
  <c r="R329" i="2" s="1"/>
  <c r="S329" i="2" s="1"/>
  <c r="P330" i="2"/>
  <c r="Q330" i="2" s="1"/>
  <c r="R330" i="2" s="1"/>
  <c r="S330" i="2" s="1"/>
  <c r="AG330" i="2" s="1"/>
  <c r="P331" i="2"/>
  <c r="Q331" i="2" s="1"/>
  <c r="R331" i="2" s="1"/>
  <c r="S331" i="2" s="1"/>
  <c r="AG331" i="2" s="1"/>
  <c r="P332" i="2"/>
  <c r="Q332" i="2" s="1"/>
  <c r="R332" i="2" s="1"/>
  <c r="S332" i="2" s="1"/>
  <c r="AB332" i="2" s="1"/>
  <c r="P333" i="2"/>
  <c r="Q333" i="2" s="1"/>
  <c r="R333" i="2" s="1"/>
  <c r="S333" i="2" s="1"/>
  <c r="P334" i="2"/>
  <c r="Q334" i="2" s="1"/>
  <c r="R334" i="2" s="1"/>
  <c r="S334" i="2" s="1"/>
  <c r="AG334" i="2" s="1"/>
  <c r="P335" i="2"/>
  <c r="Q335" i="2" s="1"/>
  <c r="R335" i="2" s="1"/>
  <c r="S335" i="2" s="1"/>
  <c r="AG335" i="2" s="1"/>
  <c r="P336" i="2"/>
  <c r="Q336" i="2" s="1"/>
  <c r="R336" i="2" s="1"/>
  <c r="S336" i="2" s="1"/>
  <c r="AB336" i="2" s="1"/>
  <c r="P337" i="2"/>
  <c r="Q337" i="2" s="1"/>
  <c r="R337" i="2" s="1"/>
  <c r="S337" i="2" s="1"/>
  <c r="P338" i="2"/>
  <c r="Q338" i="2" s="1"/>
  <c r="R338" i="2" s="1"/>
  <c r="S338" i="2" s="1"/>
  <c r="P339" i="2"/>
  <c r="Q339" i="2" s="1"/>
  <c r="R339" i="2" s="1"/>
  <c r="S339" i="2" s="1"/>
  <c r="AG339" i="2" s="1"/>
  <c r="P340" i="2"/>
  <c r="Q340" i="2" s="1"/>
  <c r="R340" i="2" s="1"/>
  <c r="S340" i="2" s="1"/>
  <c r="AG340" i="2" s="1"/>
  <c r="P341" i="2"/>
  <c r="Q341" i="2" s="1"/>
  <c r="R341" i="2" s="1"/>
  <c r="S341" i="2" s="1"/>
  <c r="P342" i="2"/>
  <c r="Q342" i="2" s="1"/>
  <c r="R342" i="2" s="1"/>
  <c r="S342" i="2" s="1"/>
  <c r="P343" i="2"/>
  <c r="Q343" i="2" s="1"/>
  <c r="R343" i="2" s="1"/>
  <c r="S343" i="2" s="1"/>
  <c r="AG343" i="2" s="1"/>
  <c r="P344" i="2"/>
  <c r="Q344" i="2" s="1"/>
  <c r="R344" i="2" s="1"/>
  <c r="S344" i="2" s="1"/>
  <c r="AG344" i="2" s="1"/>
  <c r="P345" i="2"/>
  <c r="Q345" i="2" s="1"/>
  <c r="R345" i="2" s="1"/>
  <c r="S345" i="2" s="1"/>
  <c r="P346" i="2"/>
  <c r="Q346" i="2" s="1"/>
  <c r="R346" i="2" s="1"/>
  <c r="S346" i="2" s="1"/>
  <c r="P347" i="2"/>
  <c r="Q347" i="2" s="1"/>
  <c r="R347" i="2" s="1"/>
  <c r="S347" i="2" s="1"/>
  <c r="AG347" i="2" s="1"/>
  <c r="P348" i="2"/>
  <c r="Q348" i="2" s="1"/>
  <c r="R348" i="2" s="1"/>
  <c r="S348" i="2" s="1"/>
  <c r="AG348" i="2" s="1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T349" i="2"/>
  <c r="V349" i="2"/>
  <c r="W349" i="2"/>
  <c r="X349" i="2"/>
  <c r="P352" i="2"/>
  <c r="P353" i="2"/>
  <c r="Q353" i="2" s="1"/>
  <c r="R353" i="2" s="1"/>
  <c r="S353" i="2"/>
  <c r="AJ353" i="2" s="1"/>
  <c r="P354" i="2"/>
  <c r="Q354" i="2" s="1"/>
  <c r="R354" i="2" s="1"/>
  <c r="S354" i="2" s="1"/>
  <c r="P355" i="2"/>
  <c r="Q355" i="2" s="1"/>
  <c r="R355" i="2" s="1"/>
  <c r="S355" i="2" s="1"/>
  <c r="P356" i="2"/>
  <c r="Q356" i="2" s="1"/>
  <c r="R356" i="2" s="1"/>
  <c r="S356" i="2" s="1"/>
  <c r="AB356" i="2" s="1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T357" i="2"/>
  <c r="V357" i="2"/>
  <c r="W357" i="2"/>
  <c r="X357" i="2"/>
  <c r="P360" i="2"/>
  <c r="P361" i="2"/>
  <c r="Q361" i="2" s="1"/>
  <c r="R361" i="2" s="1"/>
  <c r="S361" i="2" s="1"/>
  <c r="AJ361" i="2" s="1"/>
  <c r="P362" i="2"/>
  <c r="Q362" i="2" s="1"/>
  <c r="R362" i="2" s="1"/>
  <c r="S362" i="2" s="1"/>
  <c r="AG362" i="2" s="1"/>
  <c r="P363" i="2"/>
  <c r="Q363" i="2" s="1"/>
  <c r="R363" i="2" s="1"/>
  <c r="S363" i="2" s="1"/>
  <c r="AB363" i="2" s="1"/>
  <c r="P364" i="2"/>
  <c r="Q364" i="2" s="1"/>
  <c r="R364" i="2" s="1"/>
  <c r="S364" i="2" s="1"/>
  <c r="AB364" i="2" s="1"/>
  <c r="P365" i="2"/>
  <c r="Q365" i="2" s="1"/>
  <c r="R365" i="2"/>
  <c r="S365" i="2" s="1"/>
  <c r="AJ365" i="2" s="1"/>
  <c r="P366" i="2"/>
  <c r="Q366" i="2" s="1"/>
  <c r="R366" i="2" s="1"/>
  <c r="S366" i="2" s="1"/>
  <c r="P367" i="2"/>
  <c r="Q367" i="2" s="1"/>
  <c r="R367" i="2" s="1"/>
  <c r="S367" i="2" s="1"/>
  <c r="AG367" i="2" s="1"/>
  <c r="P368" i="2"/>
  <c r="Q368" i="2" s="1"/>
  <c r="R368" i="2" s="1"/>
  <c r="S368" i="2" s="1"/>
  <c r="AB368" i="2" s="1"/>
  <c r="P369" i="2"/>
  <c r="Q369" i="2" s="1"/>
  <c r="R369" i="2" s="1"/>
  <c r="S369" i="2" s="1"/>
  <c r="AD369" i="2" s="1"/>
  <c r="P370" i="2"/>
  <c r="Q370" i="2" s="1"/>
  <c r="R370" i="2" s="1"/>
  <c r="S370" i="2" s="1"/>
  <c r="P371" i="2"/>
  <c r="Q371" i="2" s="1"/>
  <c r="R371" i="2" s="1"/>
  <c r="S371" i="2" s="1"/>
  <c r="AK371" i="2" s="1"/>
  <c r="P372" i="2"/>
  <c r="Q372" i="2" s="1"/>
  <c r="R372" i="2" s="1"/>
  <c r="S372" i="2" s="1"/>
  <c r="AK372" i="2" s="1"/>
  <c r="P373" i="2"/>
  <c r="Q373" i="2" s="1"/>
  <c r="R373" i="2" s="1"/>
  <c r="S373" i="2" s="1"/>
  <c r="AF373" i="2" s="1"/>
  <c r="P374" i="2"/>
  <c r="Q374" i="2" s="1"/>
  <c r="R374" i="2" s="1"/>
  <c r="S374" i="2" s="1"/>
  <c r="AC374" i="2" s="1"/>
  <c r="P375" i="2"/>
  <c r="Q375" i="2" s="1"/>
  <c r="R375" i="2" s="1"/>
  <c r="S375" i="2" s="1"/>
  <c r="P376" i="2"/>
  <c r="Q376" i="2" s="1"/>
  <c r="R376" i="2" s="1"/>
  <c r="S376" i="2" s="1"/>
  <c r="AI376" i="2" s="1"/>
  <c r="P377" i="2"/>
  <c r="Q377" i="2" s="1"/>
  <c r="R377" i="2" s="1"/>
  <c r="S377" i="2" s="1"/>
  <c r="AI377" i="2" s="1"/>
  <c r="P378" i="2"/>
  <c r="Q378" i="2" s="1"/>
  <c r="R378" i="2" s="1"/>
  <c r="S378" i="2" s="1"/>
  <c r="AE378" i="2" s="1"/>
  <c r="P379" i="2"/>
  <c r="Q379" i="2" s="1"/>
  <c r="R379" i="2" s="1"/>
  <c r="S379" i="2" s="1"/>
  <c r="P380" i="2"/>
  <c r="Q380" i="2" s="1"/>
  <c r="R380" i="2" s="1"/>
  <c r="S380" i="2" s="1"/>
  <c r="AK380" i="2" s="1"/>
  <c r="P381" i="2"/>
  <c r="Q381" i="2" s="1"/>
  <c r="R381" i="2"/>
  <c r="S381" i="2" s="1"/>
  <c r="AF381" i="2" s="1"/>
  <c r="P382" i="2"/>
  <c r="Q382" i="2" s="1"/>
  <c r="R382" i="2" s="1"/>
  <c r="S382" i="2" s="1"/>
  <c r="AH382" i="2" s="1"/>
  <c r="P383" i="2"/>
  <c r="Q383" i="2" s="1"/>
  <c r="R383" i="2" s="1"/>
  <c r="S383" i="2" s="1"/>
  <c r="AH383" i="2" s="1"/>
  <c r="P384" i="2"/>
  <c r="Q384" i="2" s="1"/>
  <c r="R384" i="2" s="1"/>
  <c r="S384" i="2" s="1"/>
  <c r="AI384" i="2" s="1"/>
  <c r="P385" i="2"/>
  <c r="Q385" i="2" s="1"/>
  <c r="R385" i="2" s="1"/>
  <c r="S385" i="2" s="1"/>
  <c r="AI385" i="2" s="1"/>
  <c r="P386" i="2"/>
  <c r="Q386" i="2" s="1"/>
  <c r="R386" i="2" s="1"/>
  <c r="S386" i="2" s="1"/>
  <c r="AK386" i="2" s="1"/>
  <c r="P387" i="2"/>
  <c r="Q387" i="2" s="1"/>
  <c r="R387" i="2" s="1"/>
  <c r="S387" i="2" s="1"/>
  <c r="P388" i="2"/>
  <c r="Q388" i="2" s="1"/>
  <c r="R388" i="2" s="1"/>
  <c r="S388" i="2" s="1"/>
  <c r="AK388" i="2" s="1"/>
  <c r="P389" i="2"/>
  <c r="Q389" i="2" s="1"/>
  <c r="R389" i="2" s="1"/>
  <c r="S389" i="2" s="1"/>
  <c r="P390" i="2"/>
  <c r="Q390" i="2" s="1"/>
  <c r="R390" i="2" s="1"/>
  <c r="S390" i="2" s="1"/>
  <c r="AH390" i="2" s="1"/>
  <c r="P391" i="2"/>
  <c r="Q391" i="2" s="1"/>
  <c r="R391" i="2" s="1"/>
  <c r="S391" i="2" s="1"/>
  <c r="P392" i="2"/>
  <c r="Q392" i="2" s="1"/>
  <c r="R392" i="2" s="1"/>
  <c r="S392" i="2" s="1"/>
  <c r="P393" i="2"/>
  <c r="Q393" i="2" s="1"/>
  <c r="R393" i="2" s="1"/>
  <c r="S393" i="2" s="1"/>
  <c r="C394" i="2"/>
  <c r="D394" i="2"/>
  <c r="E394" i="2"/>
  <c r="F394" i="2"/>
  <c r="G394" i="2"/>
  <c r="N394" i="2"/>
  <c r="O394" i="2"/>
  <c r="T394" i="2"/>
  <c r="V394" i="2"/>
  <c r="W394" i="2"/>
  <c r="X394" i="2"/>
  <c r="P397" i="2"/>
  <c r="Q397" i="2" s="1"/>
  <c r="P398" i="2"/>
  <c r="Q398" i="2" s="1"/>
  <c r="R398" i="2" s="1"/>
  <c r="S398" i="2" s="1"/>
  <c r="AK398" i="2" s="1"/>
  <c r="P399" i="2"/>
  <c r="Q399" i="2" s="1"/>
  <c r="R399" i="2" s="1"/>
  <c r="S399" i="2" s="1"/>
  <c r="AK399" i="2" s="1"/>
  <c r="P400" i="2"/>
  <c r="Q400" i="2" s="1"/>
  <c r="R400" i="2" s="1"/>
  <c r="S400" i="2" s="1"/>
  <c r="C401" i="2"/>
  <c r="D401" i="2"/>
  <c r="E401" i="2"/>
  <c r="F401" i="2"/>
  <c r="G401" i="2"/>
  <c r="N401" i="2"/>
  <c r="O401" i="2"/>
  <c r="T401" i="2"/>
  <c r="V401" i="2"/>
  <c r="W401" i="2"/>
  <c r="X401" i="2"/>
  <c r="P404" i="2"/>
  <c r="P405" i="2"/>
  <c r="Q405" i="2" s="1"/>
  <c r="R405" i="2" s="1"/>
  <c r="S405" i="2" s="1"/>
  <c r="P406" i="2"/>
  <c r="Q406" i="2" s="1"/>
  <c r="R406" i="2" s="1"/>
  <c r="S406" i="2" s="1"/>
  <c r="P407" i="2"/>
  <c r="Q407" i="2" s="1"/>
  <c r="R407" i="2" s="1"/>
  <c r="S407" i="2" s="1"/>
  <c r="P408" i="2"/>
  <c r="Q408" i="2" s="1"/>
  <c r="R408" i="2" s="1"/>
  <c r="S408" i="2" s="1"/>
  <c r="AD408" i="2" s="1"/>
  <c r="P409" i="2"/>
  <c r="Q409" i="2" s="1"/>
  <c r="R409" i="2" s="1"/>
  <c r="S409" i="2" s="1"/>
  <c r="P410" i="2"/>
  <c r="Q410" i="2" s="1"/>
  <c r="R410" i="2" s="1"/>
  <c r="S410" i="2" s="1"/>
  <c r="AK410" i="2" s="1"/>
  <c r="P411" i="2"/>
  <c r="Q411" i="2" s="1"/>
  <c r="R411" i="2" s="1"/>
  <c r="S411" i="2" s="1"/>
  <c r="AE411" i="2" s="1"/>
  <c r="P412" i="2"/>
  <c r="Q412" i="2" s="1"/>
  <c r="R412" i="2" s="1"/>
  <c r="S412" i="2" s="1"/>
  <c r="AH412" i="2" s="1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T413" i="2"/>
  <c r="V413" i="2"/>
  <c r="W413" i="2"/>
  <c r="X413" i="2"/>
  <c r="U415" i="2"/>
  <c r="Y415" i="2"/>
  <c r="Z415" i="2"/>
  <c r="AA415" i="2"/>
  <c r="P419" i="2"/>
  <c r="P420" i="2"/>
  <c r="Q420" i="2" s="1"/>
  <c r="R420" i="2" s="1"/>
  <c r="S420" i="2" s="1"/>
  <c r="P421" i="2"/>
  <c r="Q421" i="2" s="1"/>
  <c r="R421" i="2" s="1"/>
  <c r="S421" i="2" s="1"/>
  <c r="AG421" i="2" s="1"/>
  <c r="P422" i="2"/>
  <c r="Q422" i="2" s="1"/>
  <c r="R422" i="2" s="1"/>
  <c r="S422" i="2" s="1"/>
  <c r="P423" i="2"/>
  <c r="Q423" i="2" s="1"/>
  <c r="R423" i="2" s="1"/>
  <c r="S423" i="2" s="1"/>
  <c r="AC423" i="2" s="1"/>
  <c r="P424" i="2"/>
  <c r="Q424" i="2" s="1"/>
  <c r="R424" i="2" s="1"/>
  <c r="S424" i="2" s="1"/>
  <c r="P425" i="2"/>
  <c r="Q425" i="2" s="1"/>
  <c r="R425" i="2" s="1"/>
  <c r="S425" i="2" s="1"/>
  <c r="P426" i="2"/>
  <c r="Q426" i="2" s="1"/>
  <c r="R426" i="2" s="1"/>
  <c r="S426" i="2" s="1"/>
  <c r="P427" i="2"/>
  <c r="Q427" i="2" s="1"/>
  <c r="R427" i="2" s="1"/>
  <c r="S427" i="2" s="1"/>
  <c r="P428" i="2"/>
  <c r="Q428" i="2" s="1"/>
  <c r="R428" i="2" s="1"/>
  <c r="S428" i="2" s="1"/>
  <c r="C429" i="2"/>
  <c r="D429" i="2"/>
  <c r="E429" i="2"/>
  <c r="F429" i="2"/>
  <c r="G429" i="2"/>
  <c r="H429" i="2"/>
  <c r="I429" i="2"/>
  <c r="N429" i="2"/>
  <c r="O429" i="2"/>
  <c r="T429" i="2"/>
  <c r="V429" i="2"/>
  <c r="W429" i="2"/>
  <c r="X429" i="2"/>
  <c r="P432" i="2"/>
  <c r="Q432" i="2"/>
  <c r="P433" i="2"/>
  <c r="Q433" i="2" s="1"/>
  <c r="R433" i="2" s="1"/>
  <c r="S433" i="2" s="1"/>
  <c r="P434" i="2"/>
  <c r="Q434" i="2" s="1"/>
  <c r="R434" i="2" s="1"/>
  <c r="S434" i="2" s="1"/>
  <c r="P435" i="2"/>
  <c r="Q435" i="2" s="1"/>
  <c r="R435" i="2" s="1"/>
  <c r="S435" i="2" s="1"/>
  <c r="P436" i="2"/>
  <c r="Q436" i="2" s="1"/>
  <c r="R436" i="2" s="1"/>
  <c r="S436" i="2" s="1"/>
  <c r="P437" i="2"/>
  <c r="Q437" i="2" s="1"/>
  <c r="R437" i="2" s="1"/>
  <c r="S437" i="2" s="1"/>
  <c r="AD437" i="2" s="1"/>
  <c r="P438" i="2"/>
  <c r="Q438" i="2" s="1"/>
  <c r="R438" i="2" s="1"/>
  <c r="S438" i="2" s="1"/>
  <c r="P439" i="2"/>
  <c r="Q439" i="2" s="1"/>
  <c r="R439" i="2" s="1"/>
  <c r="S439" i="2" s="1"/>
  <c r="AK439" i="2" s="1"/>
  <c r="P440" i="2"/>
  <c r="Q440" i="2" s="1"/>
  <c r="R440" i="2" s="1"/>
  <c r="S440" i="2" s="1"/>
  <c r="AE440" i="2" s="1"/>
  <c r="P441" i="2"/>
  <c r="Q441" i="2"/>
  <c r="R441" i="2" s="1"/>
  <c r="S441" i="2" s="1"/>
  <c r="AH441" i="2" s="1"/>
  <c r="P442" i="2"/>
  <c r="Q442" i="2" s="1"/>
  <c r="R442" i="2" s="1"/>
  <c r="S442" i="2" s="1"/>
  <c r="AH442" i="2" s="1"/>
  <c r="P443" i="2"/>
  <c r="Q443" i="2" s="1"/>
  <c r="R443" i="2" s="1"/>
  <c r="S443" i="2" s="1"/>
  <c r="AI443" i="2" s="1"/>
  <c r="P444" i="2"/>
  <c r="Q444" i="2" s="1"/>
  <c r="R444" i="2" s="1"/>
  <c r="S444" i="2" s="1"/>
  <c r="AI444" i="2" s="1"/>
  <c r="P445" i="2"/>
  <c r="Q445" i="2" s="1"/>
  <c r="R445" i="2" s="1"/>
  <c r="S445" i="2" s="1"/>
  <c r="AK445" i="2" s="1"/>
  <c r="P446" i="2"/>
  <c r="Q446" i="2" s="1"/>
  <c r="R446" i="2" s="1"/>
  <c r="S446" i="2" s="1"/>
  <c r="P447" i="2"/>
  <c r="Q447" i="2" s="1"/>
  <c r="R447" i="2" s="1"/>
  <c r="S447" i="2" s="1"/>
  <c r="AK447" i="2" s="1"/>
  <c r="P448" i="2"/>
  <c r="Q448" i="2" s="1"/>
  <c r="R448" i="2" s="1"/>
  <c r="S448" i="2" s="1"/>
  <c r="P449" i="2"/>
  <c r="Q449" i="2" s="1"/>
  <c r="R449" i="2" s="1"/>
  <c r="S449" i="2" s="1"/>
  <c r="AH449" i="2" s="1"/>
  <c r="P450" i="2"/>
  <c r="Q450" i="2"/>
  <c r="R450" i="2" s="1"/>
  <c r="S450" i="2" s="1"/>
  <c r="AH450" i="2" s="1"/>
  <c r="P451" i="2"/>
  <c r="Q451" i="2" s="1"/>
  <c r="R451" i="2" s="1"/>
  <c r="S451" i="2" s="1"/>
  <c r="P452" i="2"/>
  <c r="Q452" i="2" s="1"/>
  <c r="R452" i="2" s="1"/>
  <c r="S452" i="2" s="1"/>
  <c r="AI452" i="2" s="1"/>
  <c r="C453" i="2"/>
  <c r="D453" i="2"/>
  <c r="D455" i="2" s="1"/>
  <c r="E453" i="2"/>
  <c r="F453" i="2"/>
  <c r="F455" i="2" s="1"/>
  <c r="G453" i="2"/>
  <c r="H453" i="2"/>
  <c r="H455" i="2" s="1"/>
  <c r="I453" i="2"/>
  <c r="J453" i="2"/>
  <c r="J455" i="2" s="1"/>
  <c r="K453" i="2"/>
  <c r="K455" i="2" s="1"/>
  <c r="L453" i="2"/>
  <c r="L455" i="2" s="1"/>
  <c r="M453" i="2"/>
  <c r="N453" i="2"/>
  <c r="N455" i="2" s="1"/>
  <c r="O453" i="2"/>
  <c r="E455" i="2"/>
  <c r="M455" i="2"/>
  <c r="P460" i="2"/>
  <c r="Q460" i="2" s="1"/>
  <c r="R460" i="2" s="1"/>
  <c r="P461" i="2"/>
  <c r="Q461" i="2" s="1"/>
  <c r="R461" i="2" s="1"/>
  <c r="S461" i="2" s="1"/>
  <c r="AF461" i="2" s="1"/>
  <c r="P462" i="2"/>
  <c r="P463" i="2"/>
  <c r="Q463" i="2" s="1"/>
  <c r="R463" i="2" s="1"/>
  <c r="S463" i="2" s="1"/>
  <c r="P464" i="2"/>
  <c r="Q464" i="2" s="1"/>
  <c r="R464" i="2" s="1"/>
  <c r="S464" i="2" s="1"/>
  <c r="P465" i="2"/>
  <c r="Q465" i="2"/>
  <c r="R465" i="2" s="1"/>
  <c r="S465" i="2" s="1"/>
  <c r="AG465" i="2" s="1"/>
  <c r="P466" i="2"/>
  <c r="Q466" i="2"/>
  <c r="R466" i="2" s="1"/>
  <c r="S466" i="2" s="1"/>
  <c r="AH466" i="2" s="1"/>
  <c r="P467" i="2"/>
  <c r="Q467" i="2" s="1"/>
  <c r="R467" i="2" s="1"/>
  <c r="S467" i="2" s="1"/>
  <c r="AI467" i="2" s="1"/>
  <c r="P468" i="2"/>
  <c r="Q468" i="2" s="1"/>
  <c r="R468" i="2" s="1"/>
  <c r="S468" i="2" s="1"/>
  <c r="AD468" i="2" s="1"/>
  <c r="P469" i="2"/>
  <c r="Q469" i="2" s="1"/>
  <c r="R469" i="2" s="1"/>
  <c r="S469" i="2" s="1"/>
  <c r="P470" i="2"/>
  <c r="Q470" i="2" s="1"/>
  <c r="R470" i="2" s="1"/>
  <c r="S470" i="2" s="1"/>
  <c r="P471" i="2"/>
  <c r="Q471" i="2" s="1"/>
  <c r="R471" i="2" s="1"/>
  <c r="S471" i="2"/>
  <c r="AI471" i="2" s="1"/>
  <c r="P472" i="2"/>
  <c r="Q472" i="2" s="1"/>
  <c r="R472" i="2" s="1"/>
  <c r="S472" i="2" s="1"/>
  <c r="AK472" i="2" s="1"/>
  <c r="P473" i="2"/>
  <c r="Q473" i="2" s="1"/>
  <c r="R473" i="2" s="1"/>
  <c r="S473" i="2" s="1"/>
  <c r="AF473" i="2" s="1"/>
  <c r="P474" i="2"/>
  <c r="Q474" i="2"/>
  <c r="R474" i="2" s="1"/>
  <c r="S474" i="2" s="1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T475" i="2"/>
  <c r="V475" i="2"/>
  <c r="W475" i="2"/>
  <c r="X475" i="2"/>
  <c r="P478" i="2"/>
  <c r="Q478" i="2" s="1"/>
  <c r="P479" i="2"/>
  <c r="P480" i="2"/>
  <c r="Q480" i="2" s="1"/>
  <c r="R480" i="2" s="1"/>
  <c r="S480" i="2" s="1"/>
  <c r="AD480" i="2" s="1"/>
  <c r="P481" i="2"/>
  <c r="Q481" i="2" s="1"/>
  <c r="R481" i="2" s="1"/>
  <c r="S481" i="2" s="1"/>
  <c r="AD481" i="2" s="1"/>
  <c r="P482" i="2"/>
  <c r="Q482" i="2" s="1"/>
  <c r="R482" i="2" s="1"/>
  <c r="S482" i="2" s="1"/>
  <c r="P483" i="2"/>
  <c r="Q483" i="2" s="1"/>
  <c r="R483" i="2" s="1"/>
  <c r="S483" i="2" s="1"/>
  <c r="AE483" i="2" s="1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T484" i="2"/>
  <c r="V484" i="2"/>
  <c r="W484" i="2"/>
  <c r="X484" i="2"/>
  <c r="P487" i="2"/>
  <c r="P488" i="2"/>
  <c r="Q488" i="2" s="1"/>
  <c r="R488" i="2" s="1"/>
  <c r="S488" i="2" s="1"/>
  <c r="P489" i="2"/>
  <c r="Q489" i="2" s="1"/>
  <c r="R489" i="2" s="1"/>
  <c r="S489" i="2" s="1"/>
  <c r="P490" i="2"/>
  <c r="Q490" i="2" s="1"/>
  <c r="R490" i="2" s="1"/>
  <c r="S490" i="2" s="1"/>
  <c r="P491" i="2"/>
  <c r="Q491" i="2" s="1"/>
  <c r="R491" i="2" s="1"/>
  <c r="S491" i="2" s="1"/>
  <c r="AJ491" i="2" s="1"/>
  <c r="P492" i="2"/>
  <c r="Q492" i="2" s="1"/>
  <c r="R492" i="2" s="1"/>
  <c r="S492" i="2" s="1"/>
  <c r="P493" i="2"/>
  <c r="Q493" i="2" s="1"/>
  <c r="R493" i="2" s="1"/>
  <c r="S493" i="2" s="1"/>
  <c r="P494" i="2"/>
  <c r="Q494" i="2" s="1"/>
  <c r="R494" i="2" s="1"/>
  <c r="S494" i="2" s="1"/>
  <c r="AB494" i="2" s="1"/>
  <c r="P495" i="2"/>
  <c r="Q495" i="2" s="1"/>
  <c r="R495" i="2" s="1"/>
  <c r="S495" i="2" s="1"/>
  <c r="AH495" i="2" s="1"/>
  <c r="P496" i="2"/>
  <c r="Q496" i="2" s="1"/>
  <c r="R496" i="2" s="1"/>
  <c r="S496" i="2" s="1"/>
  <c r="P497" i="2"/>
  <c r="Q497" i="2" s="1"/>
  <c r="R497" i="2" s="1"/>
  <c r="S497" i="2" s="1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T498" i="2"/>
  <c r="V498" i="2"/>
  <c r="W498" i="2"/>
  <c r="X498" i="2"/>
  <c r="P501" i="2"/>
  <c r="P502" i="2"/>
  <c r="Q502" i="2" s="1"/>
  <c r="R502" i="2" s="1"/>
  <c r="S502" i="2" s="1"/>
  <c r="P503" i="2"/>
  <c r="Q503" i="2" s="1"/>
  <c r="R503" i="2" s="1"/>
  <c r="S503" i="2" s="1"/>
  <c r="P504" i="2"/>
  <c r="Q504" i="2" s="1"/>
  <c r="R504" i="2" s="1"/>
  <c r="S504" i="2" s="1"/>
  <c r="AD504" i="2" s="1"/>
  <c r="P505" i="2"/>
  <c r="Q505" i="2" s="1"/>
  <c r="R505" i="2" s="1"/>
  <c r="S505" i="2" s="1"/>
  <c r="AD505" i="2" s="1"/>
  <c r="P506" i="2"/>
  <c r="Q506" i="2" s="1"/>
  <c r="R506" i="2"/>
  <c r="S506" i="2" s="1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T507" i="2"/>
  <c r="V507" i="2"/>
  <c r="W507" i="2"/>
  <c r="X507" i="2"/>
  <c r="P510" i="2"/>
  <c r="Q510" i="2" s="1"/>
  <c r="P511" i="2"/>
  <c r="Q511" i="2" s="1"/>
  <c r="R511" i="2" s="1"/>
  <c r="S511" i="2" s="1"/>
  <c r="AH511" i="2" s="1"/>
  <c r="P512" i="2"/>
  <c r="Q512" i="2" s="1"/>
  <c r="R512" i="2" s="1"/>
  <c r="S512" i="2" s="1"/>
  <c r="AE512" i="2" s="1"/>
  <c r="P513" i="2"/>
  <c r="P514" i="2"/>
  <c r="Q514" i="2" s="1"/>
  <c r="R514" i="2" s="1"/>
  <c r="S514" i="2" s="1"/>
  <c r="AJ514" i="2" s="1"/>
  <c r="P515" i="2"/>
  <c r="Q515" i="2" s="1"/>
  <c r="R515" i="2" s="1"/>
  <c r="S515" i="2" s="1"/>
  <c r="P516" i="2"/>
  <c r="Q516" i="2" s="1"/>
  <c r="R516" i="2" s="1"/>
  <c r="S516" i="2" s="1"/>
  <c r="AD516" i="2" s="1"/>
  <c r="P517" i="2"/>
  <c r="Q517" i="2" s="1"/>
  <c r="R517" i="2" s="1"/>
  <c r="S517" i="2" s="1"/>
  <c r="AK517" i="2" s="1"/>
  <c r="P518" i="2"/>
  <c r="Q518" i="2" s="1"/>
  <c r="R518" i="2" s="1"/>
  <c r="S518" i="2" s="1"/>
  <c r="P519" i="2"/>
  <c r="Q519" i="2" s="1"/>
  <c r="R519" i="2" s="1"/>
  <c r="S519" i="2" s="1"/>
  <c r="AH519" i="2" s="1"/>
  <c r="P520" i="2"/>
  <c r="Q520" i="2" s="1"/>
  <c r="R520" i="2" s="1"/>
  <c r="S520" i="2" s="1"/>
  <c r="AE520" i="2" s="1"/>
  <c r="P521" i="2"/>
  <c r="Q521" i="2" s="1"/>
  <c r="R521" i="2" s="1"/>
  <c r="S521" i="2" s="1"/>
  <c r="AB521" i="2" s="1"/>
  <c r="P522" i="2"/>
  <c r="Q522" i="2" s="1"/>
  <c r="R522" i="2" s="1"/>
  <c r="S522" i="2" s="1"/>
  <c r="AB522" i="2" s="1"/>
  <c r="P523" i="2"/>
  <c r="Q523" i="2" s="1"/>
  <c r="R523" i="2" s="1"/>
  <c r="S523" i="2" s="1"/>
  <c r="AF523" i="2" s="1"/>
  <c r="P524" i="2"/>
  <c r="Q524" i="2" s="1"/>
  <c r="R524" i="2" s="1"/>
  <c r="S524" i="2" s="1"/>
  <c r="P525" i="2"/>
  <c r="Q525" i="2" s="1"/>
  <c r="R525" i="2" s="1"/>
  <c r="S525" i="2" s="1"/>
  <c r="AD525" i="2" s="1"/>
  <c r="P526" i="2"/>
  <c r="Q526" i="2" s="1"/>
  <c r="R526" i="2" s="1"/>
  <c r="S526" i="2" s="1"/>
  <c r="P527" i="2"/>
  <c r="Q527" i="2" s="1"/>
  <c r="R527" i="2" s="1"/>
  <c r="S527" i="2" s="1"/>
  <c r="AH527" i="2" s="1"/>
  <c r="P528" i="2"/>
  <c r="Q528" i="2" s="1"/>
  <c r="R528" i="2" s="1"/>
  <c r="S528" i="2" s="1"/>
  <c r="AE528" i="2" s="1"/>
  <c r="P529" i="2"/>
  <c r="Q529" i="2" s="1"/>
  <c r="R529" i="2" s="1"/>
  <c r="S529" i="2" s="1"/>
  <c r="AJ529" i="2" s="1"/>
  <c r="P530" i="2"/>
  <c r="Q530" i="2" s="1"/>
  <c r="R530" i="2" s="1"/>
  <c r="S530" i="2" s="1"/>
  <c r="P531" i="2"/>
  <c r="Q531" i="2" s="1"/>
  <c r="R531" i="2" s="1"/>
  <c r="S531" i="2" s="1"/>
  <c r="P532" i="2"/>
  <c r="Q532" i="2" s="1"/>
  <c r="R532" i="2" s="1"/>
  <c r="S532" i="2" s="1"/>
  <c r="AK532" i="2" s="1"/>
  <c r="P533" i="2"/>
  <c r="Q533" i="2" s="1"/>
  <c r="R533" i="2" s="1"/>
  <c r="S533" i="2" s="1"/>
  <c r="AB533" i="2" s="1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T534" i="2"/>
  <c r="V534" i="2"/>
  <c r="W534" i="2"/>
  <c r="X534" i="2"/>
  <c r="P537" i="2"/>
  <c r="P538" i="2"/>
  <c r="Q538" i="2" s="1"/>
  <c r="R538" i="2" s="1"/>
  <c r="S538" i="2" s="1"/>
  <c r="P539" i="2"/>
  <c r="Q539" i="2" s="1"/>
  <c r="R539" i="2" s="1"/>
  <c r="S539" i="2" s="1"/>
  <c r="AE539" i="2" s="1"/>
  <c r="P540" i="2"/>
  <c r="Q540" i="2" s="1"/>
  <c r="R540" i="2"/>
  <c r="S540" i="2" s="1"/>
  <c r="AI540" i="2" s="1"/>
  <c r="P541" i="2"/>
  <c r="Q541" i="2" s="1"/>
  <c r="R541" i="2" s="1"/>
  <c r="S541" i="2" s="1"/>
  <c r="P542" i="2"/>
  <c r="Q542" i="2" s="1"/>
  <c r="R542" i="2" s="1"/>
  <c r="S542" i="2" s="1"/>
  <c r="P543" i="2"/>
  <c r="Q543" i="2" s="1"/>
  <c r="R543" i="2" s="1"/>
  <c r="S543" i="2" s="1"/>
  <c r="P544" i="2"/>
  <c r="Q544" i="2" s="1"/>
  <c r="R544" i="2" s="1"/>
  <c r="S544" i="2" s="1"/>
  <c r="P545" i="2"/>
  <c r="Q545" i="2" s="1"/>
  <c r="R545" i="2" s="1"/>
  <c r="S545" i="2" s="1"/>
  <c r="AD545" i="2" s="1"/>
  <c r="P546" i="2"/>
  <c r="Q546" i="2" s="1"/>
  <c r="R546" i="2"/>
  <c r="S546" i="2" s="1"/>
  <c r="AE546" i="2" s="1"/>
  <c r="P547" i="2"/>
  <c r="Q547" i="2" s="1"/>
  <c r="R547" i="2" s="1"/>
  <c r="S547" i="2" s="1"/>
  <c r="P548" i="2"/>
  <c r="Q548" i="2" s="1"/>
  <c r="R548" i="2" s="1"/>
  <c r="S548" i="2" s="1"/>
  <c r="AD548" i="2" s="1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T549" i="2"/>
  <c r="V549" i="2"/>
  <c r="W549" i="2"/>
  <c r="X549" i="2"/>
  <c r="U551" i="2"/>
  <c r="Y551" i="2"/>
  <c r="Z551" i="2"/>
  <c r="AA551" i="2"/>
  <c r="P556" i="2"/>
  <c r="P557" i="2"/>
  <c r="Q557" i="2" s="1"/>
  <c r="R557" i="2" s="1"/>
  <c r="S557" i="2" s="1"/>
  <c r="P558" i="2"/>
  <c r="Q558" i="2" s="1"/>
  <c r="R558" i="2" s="1"/>
  <c r="S558" i="2" s="1"/>
  <c r="P559" i="2"/>
  <c r="Q559" i="2" s="1"/>
  <c r="R559" i="2" s="1"/>
  <c r="S559" i="2" s="1"/>
  <c r="AD559" i="2" s="1"/>
  <c r="P560" i="2"/>
  <c r="Q560" i="2" s="1"/>
  <c r="R560" i="2" s="1"/>
  <c r="S560" i="2" s="1"/>
  <c r="AH560" i="2" s="1"/>
  <c r="P561" i="2"/>
  <c r="Q561" i="2" s="1"/>
  <c r="R561" i="2" s="1"/>
  <c r="S561" i="2" s="1"/>
  <c r="P562" i="2"/>
  <c r="Q562" i="2" s="1"/>
  <c r="R562" i="2" s="1"/>
  <c r="S562" i="2" s="1"/>
  <c r="P563" i="2"/>
  <c r="Q563" i="2" s="1"/>
  <c r="R563" i="2" s="1"/>
  <c r="S563" i="2" s="1"/>
  <c r="P564" i="2"/>
  <c r="Q564" i="2" s="1"/>
  <c r="R564" i="2" s="1"/>
  <c r="S564" i="2" s="1"/>
  <c r="P565" i="2"/>
  <c r="Q565" i="2" s="1"/>
  <c r="R565" i="2" s="1"/>
  <c r="S565" i="2" s="1"/>
  <c r="AK565" i="2" s="1"/>
  <c r="P566" i="2"/>
  <c r="Q566" i="2" s="1"/>
  <c r="R566" i="2" s="1"/>
  <c r="S566" i="2" s="1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T567" i="2"/>
  <c r="V567" i="2"/>
  <c r="W567" i="2"/>
  <c r="X567" i="2"/>
  <c r="P570" i="2"/>
  <c r="P571" i="2"/>
  <c r="Q571" i="2" s="1"/>
  <c r="R571" i="2" s="1"/>
  <c r="S571" i="2" s="1"/>
  <c r="AH571" i="2" s="1"/>
  <c r="P572" i="2"/>
  <c r="Q572" i="2" s="1"/>
  <c r="R572" i="2" s="1"/>
  <c r="S572" i="2" s="1"/>
  <c r="P573" i="2"/>
  <c r="Q573" i="2" s="1"/>
  <c r="R573" i="2" s="1"/>
  <c r="S573" i="2" s="1"/>
  <c r="P574" i="2"/>
  <c r="Q574" i="2" s="1"/>
  <c r="R574" i="2" s="1"/>
  <c r="S574" i="2" s="1"/>
  <c r="AE574" i="2" s="1"/>
  <c r="P575" i="2"/>
  <c r="Q575" i="2" s="1"/>
  <c r="R575" i="2" s="1"/>
  <c r="S575" i="2" s="1"/>
  <c r="AI575" i="2" s="1"/>
  <c r="P576" i="2"/>
  <c r="Q576" i="2" s="1"/>
  <c r="R576" i="2" s="1"/>
  <c r="S576" i="2" s="1"/>
  <c r="AK576" i="2" s="1"/>
  <c r="P577" i="2"/>
  <c r="Q577" i="2" s="1"/>
  <c r="R577" i="2" s="1"/>
  <c r="S577" i="2" s="1"/>
  <c r="P578" i="2"/>
  <c r="Q578" i="2" s="1"/>
  <c r="R578" i="2" s="1"/>
  <c r="S578" i="2" s="1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M581" i="2"/>
  <c r="P586" i="2"/>
  <c r="P587" i="2"/>
  <c r="Q587" i="2" s="1"/>
  <c r="R587" i="2" s="1"/>
  <c r="S587" i="2" s="1"/>
  <c r="AF587" i="2" s="1"/>
  <c r="P588" i="2"/>
  <c r="Q588" i="2" s="1"/>
  <c r="R588" i="2" s="1"/>
  <c r="S588" i="2" s="1"/>
  <c r="P589" i="2"/>
  <c r="Q589" i="2" s="1"/>
  <c r="R589" i="2" s="1"/>
  <c r="S589" i="2" s="1"/>
  <c r="AE589" i="2" s="1"/>
  <c r="P590" i="2"/>
  <c r="Q590" i="2" s="1"/>
  <c r="R590" i="2" s="1"/>
  <c r="S590" i="2" s="1"/>
  <c r="P591" i="2"/>
  <c r="Q591" i="2" s="1"/>
  <c r="R591" i="2" s="1"/>
  <c r="S591" i="2" s="1"/>
  <c r="P592" i="2"/>
  <c r="Q592" i="2" s="1"/>
  <c r="R592" i="2" s="1"/>
  <c r="S592" i="2" s="1"/>
  <c r="AD592" i="2" s="1"/>
  <c r="P593" i="2"/>
  <c r="Q593" i="2" s="1"/>
  <c r="R593" i="2" s="1"/>
  <c r="S593" i="2" s="1"/>
  <c r="P594" i="2"/>
  <c r="Q594" i="2" s="1"/>
  <c r="R594" i="2" s="1"/>
  <c r="S594" i="2" s="1"/>
  <c r="AJ594" i="2" s="1"/>
  <c r="P595" i="2"/>
  <c r="Q595" i="2" s="1"/>
  <c r="R595" i="2" s="1"/>
  <c r="S595" i="2" s="1"/>
  <c r="AI595" i="2" s="1"/>
  <c r="P596" i="2"/>
  <c r="Q596" i="2" s="1"/>
  <c r="R596" i="2" s="1"/>
  <c r="S596" i="2" s="1"/>
  <c r="AH596" i="2" s="1"/>
  <c r="P597" i="2"/>
  <c r="Q597" i="2" s="1"/>
  <c r="R597" i="2" s="1"/>
  <c r="S597" i="2" s="1"/>
  <c r="P598" i="2"/>
  <c r="Q598" i="2" s="1"/>
  <c r="R598" i="2" s="1"/>
  <c r="S598" i="2" s="1"/>
  <c r="AK598" i="2" s="1"/>
  <c r="C599" i="2"/>
  <c r="D599" i="2"/>
  <c r="E599" i="2"/>
  <c r="F599" i="2"/>
  <c r="G599" i="2"/>
  <c r="H599" i="2"/>
  <c r="I599" i="2"/>
  <c r="J599" i="2"/>
  <c r="N599" i="2"/>
  <c r="O599" i="2"/>
  <c r="T599" i="2"/>
  <c r="V599" i="2"/>
  <c r="W599" i="2"/>
  <c r="X599" i="2"/>
  <c r="P602" i="2"/>
  <c r="Q602" i="2" s="1"/>
  <c r="R602" i="2" s="1"/>
  <c r="S602" i="2" s="1"/>
  <c r="AJ602" i="2" s="1"/>
  <c r="P603" i="2"/>
  <c r="Q603" i="2" s="1"/>
  <c r="R603" i="2" s="1"/>
  <c r="S603" i="2" s="1"/>
  <c r="P604" i="2"/>
  <c r="Q604" i="2" s="1"/>
  <c r="R604" i="2" s="1"/>
  <c r="S604" i="2" s="1"/>
  <c r="P605" i="2"/>
  <c r="Q605" i="2" s="1"/>
  <c r="R605" i="2" s="1"/>
  <c r="S605" i="2" s="1"/>
  <c r="P606" i="2"/>
  <c r="Q606" i="2" s="1"/>
  <c r="R606" i="2" s="1"/>
  <c r="S606" i="2" s="1"/>
  <c r="P607" i="2"/>
  <c r="Q607" i="2" s="1"/>
  <c r="R607" i="2" s="1"/>
  <c r="S607" i="2" s="1"/>
  <c r="AH607" i="2" s="1"/>
  <c r="P608" i="2"/>
  <c r="Q608" i="2" s="1"/>
  <c r="R608" i="2" s="1"/>
  <c r="S608" i="2" s="1"/>
  <c r="AG608" i="2" s="1"/>
  <c r="P609" i="2"/>
  <c r="Q609" i="2" s="1"/>
  <c r="R609" i="2" s="1"/>
  <c r="S609" i="2" s="1"/>
  <c r="P610" i="2"/>
  <c r="Q610" i="2" s="1"/>
  <c r="R610" i="2" s="1"/>
  <c r="S610" i="2" s="1"/>
  <c r="AF610" i="2" s="1"/>
  <c r="P611" i="2"/>
  <c r="Q611" i="2"/>
  <c r="R611" i="2" s="1"/>
  <c r="S611" i="2" s="1"/>
  <c r="AE611" i="2" s="1"/>
  <c r="P612" i="2"/>
  <c r="Q612" i="2"/>
  <c r="R612" i="2" s="1"/>
  <c r="S612" i="2" s="1"/>
  <c r="AG612" i="2" s="1"/>
  <c r="P613" i="2"/>
  <c r="Q613" i="2" s="1"/>
  <c r="R613" i="2" s="1"/>
  <c r="S613" i="2" s="1"/>
  <c r="AG613" i="2" s="1"/>
  <c r="P614" i="2"/>
  <c r="Q614" i="2" s="1"/>
  <c r="R614" i="2" s="1"/>
  <c r="S614" i="2" s="1"/>
  <c r="P615" i="2"/>
  <c r="Q615" i="2" s="1"/>
  <c r="R615" i="2" s="1"/>
  <c r="S615" i="2" s="1"/>
  <c r="AH615" i="2" s="1"/>
  <c r="P616" i="2"/>
  <c r="Q616" i="2" s="1"/>
  <c r="R616" i="2" s="1"/>
  <c r="S616" i="2" s="1"/>
  <c r="AH616" i="2" s="1"/>
  <c r="P617" i="2"/>
  <c r="Q617" i="2" s="1"/>
  <c r="R617" i="2" s="1"/>
  <c r="S617" i="2"/>
  <c r="P618" i="2"/>
  <c r="Q618" i="2" s="1"/>
  <c r="R618" i="2" s="1"/>
  <c r="S618" i="2" s="1"/>
  <c r="P619" i="2"/>
  <c r="Q619" i="2" s="1"/>
  <c r="R619" i="2" s="1"/>
  <c r="S619" i="2" s="1"/>
  <c r="AH619" i="2" s="1"/>
  <c r="P620" i="2"/>
  <c r="Q620" i="2" s="1"/>
  <c r="R620" i="2" s="1"/>
  <c r="S620" i="2" s="1"/>
  <c r="AG620" i="2" s="1"/>
  <c r="P621" i="2"/>
  <c r="Q621" i="2" s="1"/>
  <c r="R621" i="2" s="1"/>
  <c r="S621" i="2" s="1"/>
  <c r="AC621" i="2" s="1"/>
  <c r="P622" i="2"/>
  <c r="Q622" i="2" s="1"/>
  <c r="R622" i="2" s="1"/>
  <c r="S622" i="2" s="1"/>
  <c r="P623" i="2"/>
  <c r="Q623" i="2" s="1"/>
  <c r="R623" i="2" s="1"/>
  <c r="S623" i="2" s="1"/>
  <c r="AD623" i="2" s="1"/>
  <c r="P624" i="2"/>
  <c r="Q624" i="2"/>
  <c r="R624" i="2" s="1"/>
  <c r="S624" i="2" s="1"/>
  <c r="AH624" i="2" s="1"/>
  <c r="P625" i="2"/>
  <c r="Q625" i="2" s="1"/>
  <c r="R625" i="2" s="1"/>
  <c r="S625" i="2"/>
  <c r="P626" i="2"/>
  <c r="Q626" i="2" s="1"/>
  <c r="R626" i="2" s="1"/>
  <c r="S626" i="2" s="1"/>
  <c r="AJ626" i="2" s="1"/>
  <c r="P627" i="2"/>
  <c r="Q627" i="2" s="1"/>
  <c r="R627" i="2" s="1"/>
  <c r="S627" i="2" s="1"/>
  <c r="P628" i="2"/>
  <c r="Q628" i="2"/>
  <c r="R628" i="2" s="1"/>
  <c r="S628" i="2" s="1"/>
  <c r="AC628" i="2" s="1"/>
  <c r="P629" i="2"/>
  <c r="Q629" i="2" s="1"/>
  <c r="R629" i="2" s="1"/>
  <c r="S629" i="2" s="1"/>
  <c r="AJ629" i="2" s="1"/>
  <c r="P630" i="2"/>
  <c r="Q630" i="2" s="1"/>
  <c r="R630" i="2" s="1"/>
  <c r="S630" i="2" s="1"/>
  <c r="C631" i="2"/>
  <c r="D631" i="2"/>
  <c r="E631" i="2"/>
  <c r="F631" i="2"/>
  <c r="G631" i="2"/>
  <c r="H631" i="2"/>
  <c r="I631" i="2"/>
  <c r="J631" i="2"/>
  <c r="K631" i="2"/>
  <c r="K633" i="2" s="1"/>
  <c r="L631" i="2"/>
  <c r="L633" i="2" s="1"/>
  <c r="M631" i="2"/>
  <c r="M633" i="2" s="1"/>
  <c r="N631" i="2"/>
  <c r="O631" i="2"/>
  <c r="O633" i="2" s="1"/>
  <c r="AT633" i="2"/>
  <c r="AW631" i="2"/>
  <c r="AU631" i="2"/>
  <c r="AF626" i="2"/>
  <c r="AD616" i="2"/>
  <c r="AI615" i="2"/>
  <c r="AE603" i="2"/>
  <c r="AW599" i="2"/>
  <c r="AU599" i="2"/>
  <c r="AE596" i="2"/>
  <c r="AD596" i="2"/>
  <c r="AH592" i="2"/>
  <c r="AD589" i="2"/>
  <c r="AF588" i="2"/>
  <c r="AI588" i="2"/>
  <c r="AW579" i="2"/>
  <c r="AV579" i="2"/>
  <c r="AU579" i="2"/>
  <c r="AT579" i="2"/>
  <c r="AT581" i="2" s="1"/>
  <c r="AW567" i="2"/>
  <c r="AU567" i="2"/>
  <c r="AT551" i="2"/>
  <c r="AW549" i="2"/>
  <c r="AU549" i="2"/>
  <c r="AI547" i="2"/>
  <c r="AE547" i="2"/>
  <c r="AI544" i="2"/>
  <c r="AC544" i="2"/>
  <c r="AJ541" i="2"/>
  <c r="AD541" i="2"/>
  <c r="AC541" i="2"/>
  <c r="AW534" i="2"/>
  <c r="AU534" i="2"/>
  <c r="AF529" i="2"/>
  <c r="AJ517" i="2"/>
  <c r="AG514" i="2"/>
  <c r="AW507" i="2"/>
  <c r="AU507" i="2"/>
  <c r="AE502" i="2"/>
  <c r="AW498" i="2"/>
  <c r="AU498" i="2"/>
  <c r="AW484" i="2"/>
  <c r="AU484" i="2"/>
  <c r="AW475" i="2"/>
  <c r="AU475" i="2"/>
  <c r="AD472" i="2"/>
  <c r="AF469" i="2"/>
  <c r="AW453" i="2"/>
  <c r="AV453" i="2"/>
  <c r="AU453" i="2"/>
  <c r="AT453" i="2"/>
  <c r="AT455" i="2" s="1"/>
  <c r="AI451" i="2"/>
  <c r="AE448" i="2"/>
  <c r="AK437" i="2"/>
  <c r="AW429" i="2"/>
  <c r="AU429" i="2"/>
  <c r="AF428" i="2"/>
  <c r="AE425" i="2"/>
  <c r="AG422" i="2"/>
  <c r="AK421" i="2"/>
  <c r="AC421" i="2"/>
  <c r="AI420" i="2"/>
  <c r="AB420" i="2"/>
  <c r="AF420" i="2"/>
  <c r="AT415" i="2"/>
  <c r="AN415" i="2"/>
  <c r="AM415" i="2"/>
  <c r="AW413" i="2"/>
  <c r="AU413" i="2"/>
  <c r="AW401" i="2"/>
  <c r="AU401" i="2"/>
  <c r="AW394" i="2"/>
  <c r="AU394" i="2"/>
  <c r="AF389" i="2"/>
  <c r="AE386" i="2"/>
  <c r="AE382" i="2"/>
  <c r="AC382" i="2"/>
  <c r="AH375" i="2"/>
  <c r="AF372" i="2"/>
  <c r="AI369" i="2"/>
  <c r="AD367" i="2"/>
  <c r="AG366" i="2"/>
  <c r="AG364" i="2"/>
  <c r="AG363" i="2"/>
  <c r="AD363" i="2"/>
  <c r="AW357" i="2"/>
  <c r="AU357" i="2"/>
  <c r="AW349" i="2"/>
  <c r="AU349" i="2"/>
  <c r="AB347" i="2"/>
  <c r="AJ345" i="2"/>
  <c r="AD343" i="2"/>
  <c r="AB343" i="2"/>
  <c r="AJ341" i="2"/>
  <c r="AD339" i="2"/>
  <c r="AB339" i="2"/>
  <c r="AD335" i="2"/>
  <c r="AB335" i="2"/>
  <c r="AB331" i="2"/>
  <c r="AJ329" i="2"/>
  <c r="AD327" i="2"/>
  <c r="AB327" i="2"/>
  <c r="AG326" i="2"/>
  <c r="AJ325" i="2"/>
  <c r="AG323" i="2"/>
  <c r="AG319" i="2"/>
  <c r="AD319" i="2"/>
  <c r="AD315" i="2"/>
  <c r="AB315" i="2"/>
  <c r="AW311" i="2"/>
  <c r="AU311" i="2"/>
  <c r="AD303" i="2"/>
  <c r="AB300" i="2"/>
  <c r="AG300" i="2"/>
  <c r="AB299" i="2"/>
  <c r="AB296" i="2"/>
  <c r="AB295" i="2"/>
  <c r="AG291" i="2"/>
  <c r="AW282" i="2"/>
  <c r="AU282" i="2"/>
  <c r="AD279" i="2"/>
  <c r="AG279" i="2"/>
  <c r="AG276" i="2"/>
  <c r="AD275" i="2"/>
  <c r="AG275" i="2"/>
  <c r="AW271" i="2"/>
  <c r="AU271" i="2"/>
  <c r="AW258" i="2"/>
  <c r="AU258" i="2"/>
  <c r="AD255" i="2"/>
  <c r="AB255" i="2"/>
  <c r="AI254" i="2"/>
  <c r="AJ251" i="2"/>
  <c r="AD251" i="2"/>
  <c r="AI250" i="2"/>
  <c r="AJ247" i="2"/>
  <c r="AF247" i="2"/>
  <c r="AI246" i="2"/>
  <c r="AW242" i="2"/>
  <c r="AU242" i="2"/>
  <c r="AC240" i="2"/>
  <c r="AG240" i="2"/>
  <c r="AG232" i="2"/>
  <c r="AD231" i="2"/>
  <c r="AF231" i="2"/>
  <c r="AW227" i="2"/>
  <c r="AU227" i="2"/>
  <c r="AW210" i="2"/>
  <c r="AU210" i="2"/>
  <c r="AC209" i="2"/>
  <c r="AI207" i="2"/>
  <c r="AK201" i="2"/>
  <c r="AG201" i="2"/>
  <c r="AW190" i="2"/>
  <c r="AU190" i="2"/>
  <c r="AG188" i="2"/>
  <c r="AI180" i="2"/>
  <c r="AW173" i="2"/>
  <c r="AU173" i="2"/>
  <c r="AH167" i="2"/>
  <c r="AW163" i="2"/>
  <c r="AU163" i="2"/>
  <c r="AD161" i="2"/>
  <c r="AW145" i="2"/>
  <c r="AU145" i="2"/>
  <c r="AW132" i="2"/>
  <c r="AU132" i="2"/>
  <c r="AD125" i="2"/>
  <c r="AW118" i="2"/>
  <c r="AU118" i="2"/>
  <c r="AW108" i="2"/>
  <c r="AU108" i="2"/>
  <c r="AG107" i="2"/>
  <c r="AE105" i="2"/>
  <c r="AC105" i="2"/>
  <c r="AD104" i="2"/>
  <c r="AJ100" i="2"/>
  <c r="AD100" i="2"/>
  <c r="AB100" i="2"/>
  <c r="AF100" i="2"/>
  <c r="AK97" i="2"/>
  <c r="AE97" i="2"/>
  <c r="AC97" i="2"/>
  <c r="AG97" i="2"/>
  <c r="AW93" i="2"/>
  <c r="AU93" i="2"/>
  <c r="AJ92" i="2"/>
  <c r="AD92" i="2"/>
  <c r="AB92" i="2"/>
  <c r="AF92" i="2"/>
  <c r="AG91" i="2"/>
  <c r="AE89" i="2"/>
  <c r="AG89" i="2"/>
  <c r="AJ88" i="2"/>
  <c r="AD88" i="2"/>
  <c r="AB88" i="2"/>
  <c r="AF88" i="2"/>
  <c r="AE85" i="2"/>
  <c r="AG85" i="2"/>
  <c r="AJ84" i="2"/>
  <c r="AD84" i="2"/>
  <c r="AB84" i="2"/>
  <c r="AF84" i="2"/>
  <c r="AF82" i="2"/>
  <c r="AK81" i="2"/>
  <c r="AC81" i="2"/>
  <c r="AJ80" i="2"/>
  <c r="AD80" i="2"/>
  <c r="AB80" i="2"/>
  <c r="AF80" i="2"/>
  <c r="AK77" i="2"/>
  <c r="AC77" i="2"/>
  <c r="AJ76" i="2"/>
  <c r="AD76" i="2"/>
  <c r="AB76" i="2"/>
  <c r="AF76" i="2"/>
  <c r="AG75" i="2"/>
  <c r="AW71" i="2"/>
  <c r="AU71" i="2"/>
  <c r="AB68" i="2"/>
  <c r="AF68" i="2"/>
  <c r="AG67" i="2"/>
  <c r="AF66" i="2"/>
  <c r="AG65" i="2"/>
  <c r="AB64" i="2"/>
  <c r="AF64" i="2"/>
  <c r="AJ60" i="2"/>
  <c r="AD60" i="2"/>
  <c r="AF58" i="2"/>
  <c r="AJ56" i="2"/>
  <c r="AD56" i="2"/>
  <c r="AB52" i="2"/>
  <c r="AF52" i="2"/>
  <c r="AG51" i="2"/>
  <c r="AF50" i="2"/>
  <c r="AG49" i="2"/>
  <c r="AB48" i="2"/>
  <c r="AF48" i="2"/>
  <c r="AJ44" i="2"/>
  <c r="AD44" i="2"/>
  <c r="AF42" i="2"/>
  <c r="AW35" i="2"/>
  <c r="AU35" i="2"/>
  <c r="AF34" i="2"/>
  <c r="AK33" i="2"/>
  <c r="AK29" i="2"/>
  <c r="AF26" i="2"/>
  <c r="AC25" i="2"/>
  <c r="AJ20" i="2"/>
  <c r="AF18" i="2"/>
  <c r="AJ16" i="2"/>
  <c r="AW3" i="2"/>
  <c r="AU3" i="2"/>
  <c r="AS3" i="2"/>
  <c r="AR3" i="2"/>
  <c r="AM3" i="2"/>
  <c r="AH572" i="2" l="1"/>
  <c r="AG572" i="2"/>
  <c r="AD235" i="2"/>
  <c r="AF235" i="2"/>
  <c r="AG101" i="2"/>
  <c r="AC101" i="2"/>
  <c r="AE101" i="2"/>
  <c r="AG290" i="2"/>
  <c r="AI290" i="2"/>
  <c r="AJ542" i="2"/>
  <c r="AC542" i="2"/>
  <c r="AD521" i="2"/>
  <c r="AK529" i="2"/>
  <c r="AF574" i="2"/>
  <c r="AG53" i="2"/>
  <c r="AE77" i="2"/>
  <c r="AE81" i="2"/>
  <c r="AC85" i="2"/>
  <c r="AC89" i="2"/>
  <c r="AB104" i="2"/>
  <c r="AF239" i="2"/>
  <c r="AK248" i="2"/>
  <c r="AE252" i="2"/>
  <c r="AE256" i="2"/>
  <c r="AD294" i="2"/>
  <c r="AG299" i="2"/>
  <c r="AD307" i="2"/>
  <c r="AB367" i="2"/>
  <c r="AB517" i="2"/>
  <c r="AK521" i="2"/>
  <c r="AF533" i="2"/>
  <c r="AG548" i="2"/>
  <c r="AG576" i="2"/>
  <c r="AC616" i="2"/>
  <c r="AE628" i="2"/>
  <c r="G633" i="2"/>
  <c r="C633" i="2"/>
  <c r="K581" i="2"/>
  <c r="AC17" i="2"/>
  <c r="AG69" i="2"/>
  <c r="AJ104" i="2"/>
  <c r="AK408" i="2"/>
  <c r="AW455" i="2"/>
  <c r="AF521" i="2"/>
  <c r="AD529" i="2"/>
  <c r="AD608" i="2"/>
  <c r="E581" i="2"/>
  <c r="T551" i="2"/>
  <c r="L551" i="2"/>
  <c r="H551" i="2"/>
  <c r="D551" i="2"/>
  <c r="AJ557" i="2"/>
  <c r="AB557" i="2"/>
  <c r="AH183" i="2"/>
  <c r="AD183" i="2"/>
  <c r="AB239" i="2"/>
  <c r="AK252" i="2"/>
  <c r="AG304" i="2"/>
  <c r="AG324" i="2"/>
  <c r="AI611" i="2"/>
  <c r="AK188" i="2"/>
  <c r="AG209" i="2"/>
  <c r="AE236" i="2"/>
  <c r="AD239" i="2"/>
  <c r="AB247" i="2"/>
  <c r="AC248" i="2"/>
  <c r="AF251" i="2"/>
  <c r="AG252" i="2"/>
  <c r="AJ255" i="2"/>
  <c r="AD290" i="2"/>
  <c r="AD291" i="2"/>
  <c r="AB323" i="2"/>
  <c r="AD331" i="2"/>
  <c r="AD347" i="2"/>
  <c r="AC390" i="2"/>
  <c r="AF546" i="2"/>
  <c r="AJ587" i="2"/>
  <c r="AB598" i="2"/>
  <c r="AE607" i="2"/>
  <c r="AF613" i="2"/>
  <c r="AE629" i="2"/>
  <c r="AG248" i="2"/>
  <c r="AH256" i="2"/>
  <c r="AG294" i="2"/>
  <c r="AG307" i="2"/>
  <c r="AK423" i="2"/>
  <c r="AC540" i="2"/>
  <c r="AB546" i="2"/>
  <c r="AB206" i="2"/>
  <c r="AB328" i="2"/>
  <c r="AG336" i="2"/>
  <c r="AB344" i="2"/>
  <c r="AE439" i="2"/>
  <c r="AB565" i="2"/>
  <c r="AF595" i="2"/>
  <c r="AH608" i="2"/>
  <c r="AC609" i="2"/>
  <c r="AK609" i="2"/>
  <c r="AB609" i="2"/>
  <c r="AE614" i="2"/>
  <c r="AI614" i="2"/>
  <c r="I633" i="2"/>
  <c r="E633" i="2"/>
  <c r="O581" i="2"/>
  <c r="G581" i="2"/>
  <c r="C581" i="2"/>
  <c r="AD355" i="2"/>
  <c r="AG355" i="2"/>
  <c r="AE49" i="2"/>
  <c r="AE53" i="2"/>
  <c r="AE65" i="2"/>
  <c r="AE69" i="2"/>
  <c r="AK378" i="2"/>
  <c r="H415" i="2"/>
  <c r="AF44" i="2"/>
  <c r="AG45" i="2"/>
  <c r="AD48" i="2"/>
  <c r="AD52" i="2"/>
  <c r="AF56" i="2"/>
  <c r="AG57" i="2"/>
  <c r="AF60" i="2"/>
  <c r="AG61" i="2"/>
  <c r="AD64" i="2"/>
  <c r="AD68" i="2"/>
  <c r="AK101" i="2"/>
  <c r="AK105" i="2"/>
  <c r="AE240" i="2"/>
  <c r="AI286" i="2"/>
  <c r="AB614" i="2"/>
  <c r="AJ625" i="2"/>
  <c r="AG625" i="2"/>
  <c r="AC573" i="2"/>
  <c r="AG573" i="2"/>
  <c r="AJ530" i="2"/>
  <c r="AB530" i="2"/>
  <c r="AD489" i="2"/>
  <c r="AK489" i="2"/>
  <c r="AB316" i="2"/>
  <c r="AG316" i="2"/>
  <c r="AE45" i="2"/>
  <c r="AE57" i="2"/>
  <c r="AE61" i="2"/>
  <c r="AE186" i="2"/>
  <c r="AJ189" i="2"/>
  <c r="AG267" i="2"/>
  <c r="AD278" i="2"/>
  <c r="AI298" i="2"/>
  <c r="AH374" i="2"/>
  <c r="AD398" i="2"/>
  <c r="AE410" i="2"/>
  <c r="AD532" i="2"/>
  <c r="AF621" i="2"/>
  <c r="N633" i="2"/>
  <c r="AD591" i="2"/>
  <c r="AG591" i="2"/>
  <c r="AB303" i="2"/>
  <c r="AG303" i="2"/>
  <c r="T415" i="2"/>
  <c r="AE578" i="2"/>
  <c r="AI578" i="2"/>
  <c r="AB578" i="2"/>
  <c r="AE494" i="2"/>
  <c r="AG530" i="2"/>
  <c r="P271" i="2"/>
  <c r="Q266" i="2"/>
  <c r="R266" i="2" s="1"/>
  <c r="S266" i="2" s="1"/>
  <c r="AB266" i="2" s="1"/>
  <c r="AG464" i="2"/>
  <c r="AD464" i="2"/>
  <c r="L114" i="2"/>
  <c r="P114" i="2" s="1"/>
  <c r="Q114" i="2" s="1"/>
  <c r="R114" i="2" s="1"/>
  <c r="S114" i="2" s="1"/>
  <c r="L115" i="2"/>
  <c r="P115" i="2" s="1"/>
  <c r="Q115" i="2" s="1"/>
  <c r="R115" i="2" s="1"/>
  <c r="S115" i="2" s="1"/>
  <c r="AB267" i="2"/>
  <c r="AG278" i="2"/>
  <c r="AD286" i="2"/>
  <c r="AD295" i="2"/>
  <c r="AD298" i="2"/>
  <c r="AG356" i="2"/>
  <c r="AG368" i="2"/>
  <c r="AD533" i="2"/>
  <c r="AD612" i="2"/>
  <c r="AG292" i="2"/>
  <c r="AD445" i="2"/>
  <c r="AJ494" i="2"/>
  <c r="AK533" i="2"/>
  <c r="AC545" i="2"/>
  <c r="AI619" i="2"/>
  <c r="AJ628" i="2"/>
  <c r="AC617" i="2"/>
  <c r="AF617" i="2"/>
  <c r="P579" i="2"/>
  <c r="Q570" i="2"/>
  <c r="AE524" i="2"/>
  <c r="AK524" i="2"/>
  <c r="AI270" i="2"/>
  <c r="AG288" i="2"/>
  <c r="AH445" i="2"/>
  <c r="AK464" i="2"/>
  <c r="AD524" i="2"/>
  <c r="AK545" i="2"/>
  <c r="AF594" i="2"/>
  <c r="AE610" i="2"/>
  <c r="AH593" i="2"/>
  <c r="AG593" i="2"/>
  <c r="Q586" i="2"/>
  <c r="R586" i="2" s="1"/>
  <c r="P599" i="2"/>
  <c r="N581" i="2"/>
  <c r="J581" i="2"/>
  <c r="F581" i="2"/>
  <c r="P163" i="2"/>
  <c r="I581" i="2"/>
  <c r="V551" i="2"/>
  <c r="N551" i="2"/>
  <c r="J551" i="2"/>
  <c r="F551" i="2"/>
  <c r="O455" i="2"/>
  <c r="G455" i="2"/>
  <c r="C455" i="2"/>
  <c r="V415" i="2"/>
  <c r="Q513" i="2"/>
  <c r="R513" i="2" s="1"/>
  <c r="S513" i="2" s="1"/>
  <c r="AK513" i="2" s="1"/>
  <c r="P534" i="2"/>
  <c r="P484" i="2"/>
  <c r="Q479" i="2"/>
  <c r="R479" i="2" s="1"/>
  <c r="S479" i="2" s="1"/>
  <c r="AK479" i="2" s="1"/>
  <c r="P453" i="2"/>
  <c r="AF198" i="2"/>
  <c r="AJ206" i="2"/>
  <c r="AG268" i="2"/>
  <c r="AG270" i="2"/>
  <c r="AB280" i="2"/>
  <c r="AB308" i="2"/>
  <c r="AG320" i="2"/>
  <c r="AG332" i="2"/>
  <c r="AB340" i="2"/>
  <c r="AB348" i="2"/>
  <c r="AB355" i="2"/>
  <c r="AB468" i="2"/>
  <c r="AK516" i="2"/>
  <c r="AJ522" i="2"/>
  <c r="AB525" i="2"/>
  <c r="AM336" i="2"/>
  <c r="AM16" i="2"/>
  <c r="AK45" i="2"/>
  <c r="AK49" i="2"/>
  <c r="AC53" i="2"/>
  <c r="AC57" i="2"/>
  <c r="AK61" i="2"/>
  <c r="AK65" i="2"/>
  <c r="AC69" i="2"/>
  <c r="AJ198" i="2"/>
  <c r="AE447" i="2"/>
  <c r="AG468" i="2"/>
  <c r="AB514" i="2"/>
  <c r="AJ525" i="2"/>
  <c r="AU633" i="2"/>
  <c r="M415" i="2"/>
  <c r="I415" i="2"/>
  <c r="E415" i="2"/>
  <c r="AB185" i="2"/>
  <c r="Q462" i="2"/>
  <c r="R462" i="2" s="1"/>
  <c r="S462" i="2" s="1"/>
  <c r="AH462" i="2" s="1"/>
  <c r="P475" i="2"/>
  <c r="W551" i="2"/>
  <c r="X551" i="2"/>
  <c r="Q124" i="2"/>
  <c r="R124" i="2" s="1"/>
  <c r="S124" i="2" s="1"/>
  <c r="AI124" i="2" s="1"/>
  <c r="P132" i="2"/>
  <c r="P108" i="2"/>
  <c r="Q99" i="2"/>
  <c r="R99" i="2" s="1"/>
  <c r="S99" i="2" s="1"/>
  <c r="AG99" i="2" s="1"/>
  <c r="Q287" i="2"/>
  <c r="R287" i="2" s="1"/>
  <c r="S287" i="2" s="1"/>
  <c r="AF287" i="2" s="1"/>
  <c r="P311" i="2"/>
  <c r="P242" i="2"/>
  <c r="P190" i="2"/>
  <c r="L581" i="2"/>
  <c r="H581" i="2"/>
  <c r="D581" i="2"/>
  <c r="M551" i="2"/>
  <c r="M635" i="2" s="1"/>
  <c r="I551" i="2"/>
  <c r="E551" i="2"/>
  <c r="I455" i="2"/>
  <c r="I635" i="2" s="1"/>
  <c r="P401" i="2"/>
  <c r="Q352" i="2"/>
  <c r="R352" i="2" s="1"/>
  <c r="P357" i="2"/>
  <c r="D415" i="2"/>
  <c r="O415" i="2"/>
  <c r="K415" i="2"/>
  <c r="G415" i="2"/>
  <c r="C415" i="2"/>
  <c r="W415" i="2"/>
  <c r="X415" i="2"/>
  <c r="L415" i="2"/>
  <c r="L116" i="2"/>
  <c r="P116" i="2" s="1"/>
  <c r="Q116" i="2" s="1"/>
  <c r="R116" i="2" s="1"/>
  <c r="S116" i="2" s="1"/>
  <c r="N415" i="2"/>
  <c r="J415" i="2"/>
  <c r="F415" i="2"/>
  <c r="Q487" i="2"/>
  <c r="P498" i="2"/>
  <c r="R478" i="2"/>
  <c r="S460" i="2"/>
  <c r="R121" i="2"/>
  <c r="AJ185" i="2"/>
  <c r="AH398" i="2"/>
  <c r="AK468" i="2"/>
  <c r="AF513" i="2"/>
  <c r="AD517" i="2"/>
  <c r="AJ521" i="2"/>
  <c r="AF525" i="2"/>
  <c r="AK525" i="2"/>
  <c r="AB529" i="2"/>
  <c r="AJ533" i="2"/>
  <c r="AH589" i="2"/>
  <c r="AJ598" i="2"/>
  <c r="AG609" i="2"/>
  <c r="AB610" i="2"/>
  <c r="Q274" i="2"/>
  <c r="P282" i="2"/>
  <c r="R265" i="2"/>
  <c r="Q271" i="2"/>
  <c r="Q12" i="2"/>
  <c r="P35" i="2"/>
  <c r="AF517" i="2"/>
  <c r="AW581" i="2"/>
  <c r="J633" i="2"/>
  <c r="F633" i="2"/>
  <c r="R570" i="2"/>
  <c r="Q579" i="2"/>
  <c r="Q537" i="2"/>
  <c r="P549" i="2"/>
  <c r="Q210" i="2"/>
  <c r="R196" i="2"/>
  <c r="P631" i="2"/>
  <c r="H633" i="2"/>
  <c r="D633" i="2"/>
  <c r="Q556" i="2"/>
  <c r="P567" i="2"/>
  <c r="R510" i="2"/>
  <c r="Q534" i="2"/>
  <c r="O551" i="2"/>
  <c r="K551" i="2"/>
  <c r="G551" i="2"/>
  <c r="C551" i="2"/>
  <c r="Q501" i="2"/>
  <c r="P507" i="2"/>
  <c r="R230" i="2"/>
  <c r="Q242" i="2"/>
  <c r="P210" i="2"/>
  <c r="Q360" i="2"/>
  <c r="P394" i="2"/>
  <c r="Q314" i="2"/>
  <c r="P349" i="2"/>
  <c r="M213" i="2"/>
  <c r="L213" i="2" s="1"/>
  <c r="K213" i="2" s="1"/>
  <c r="J213" i="2" s="1"/>
  <c r="P213" i="2" s="1"/>
  <c r="Q213" i="2" s="1"/>
  <c r="R213" i="2" s="1"/>
  <c r="S213" i="2" s="1"/>
  <c r="AD213" i="2" s="1"/>
  <c r="M214" i="2"/>
  <c r="L214" i="2" s="1"/>
  <c r="K214" i="2" s="1"/>
  <c r="J214" i="2" s="1"/>
  <c r="P214" i="2" s="1"/>
  <c r="Q214" i="2" s="1"/>
  <c r="R214" i="2" s="1"/>
  <c r="S214" i="2" s="1"/>
  <c r="AI214" i="2" s="1"/>
  <c r="M215" i="2"/>
  <c r="L215" i="2" s="1"/>
  <c r="K215" i="2" s="1"/>
  <c r="J215" i="2" s="1"/>
  <c r="P215" i="2" s="1"/>
  <c r="Q215" i="2" s="1"/>
  <c r="R215" i="2" s="1"/>
  <c r="S215" i="2" s="1"/>
  <c r="AE215" i="2" s="1"/>
  <c r="M216" i="2"/>
  <c r="L216" i="2" s="1"/>
  <c r="K216" i="2" s="1"/>
  <c r="J216" i="2" s="1"/>
  <c r="P216" i="2" s="1"/>
  <c r="Q216" i="2" s="1"/>
  <c r="R216" i="2" s="1"/>
  <c r="S216" i="2" s="1"/>
  <c r="AG216" i="2" s="1"/>
  <c r="M217" i="2"/>
  <c r="L217" i="2" s="1"/>
  <c r="K217" i="2" s="1"/>
  <c r="J217" i="2" s="1"/>
  <c r="P217" i="2" s="1"/>
  <c r="Q217" i="2" s="1"/>
  <c r="R217" i="2" s="1"/>
  <c r="S217" i="2" s="1"/>
  <c r="M218" i="2"/>
  <c r="L218" i="2" s="1"/>
  <c r="K218" i="2" s="1"/>
  <c r="J218" i="2" s="1"/>
  <c r="P218" i="2" s="1"/>
  <c r="Q218" i="2" s="1"/>
  <c r="R218" i="2" s="1"/>
  <c r="S218" i="2" s="1"/>
  <c r="AH218" i="2" s="1"/>
  <c r="M219" i="2"/>
  <c r="L219" i="2" s="1"/>
  <c r="K219" i="2" s="1"/>
  <c r="J219" i="2" s="1"/>
  <c r="P219" i="2" s="1"/>
  <c r="Q219" i="2" s="1"/>
  <c r="R219" i="2" s="1"/>
  <c r="S219" i="2" s="1"/>
  <c r="M220" i="2"/>
  <c r="L220" i="2" s="1"/>
  <c r="K220" i="2" s="1"/>
  <c r="J220" i="2" s="1"/>
  <c r="P220" i="2" s="1"/>
  <c r="Q220" i="2" s="1"/>
  <c r="R220" i="2" s="1"/>
  <c r="S220" i="2" s="1"/>
  <c r="AI220" i="2" s="1"/>
  <c r="M221" i="2"/>
  <c r="L221" i="2" s="1"/>
  <c r="K221" i="2" s="1"/>
  <c r="J221" i="2" s="1"/>
  <c r="P221" i="2" s="1"/>
  <c r="Q221" i="2" s="1"/>
  <c r="R221" i="2" s="1"/>
  <c r="S221" i="2" s="1"/>
  <c r="M222" i="2"/>
  <c r="L222" i="2" s="1"/>
  <c r="K222" i="2" s="1"/>
  <c r="J222" i="2" s="1"/>
  <c r="P222" i="2" s="1"/>
  <c r="Q222" i="2" s="1"/>
  <c r="R222" i="2" s="1"/>
  <c r="S222" i="2" s="1"/>
  <c r="AJ222" i="2" s="1"/>
  <c r="M223" i="2"/>
  <c r="L223" i="2" s="1"/>
  <c r="K223" i="2" s="1"/>
  <c r="J223" i="2" s="1"/>
  <c r="P223" i="2" s="1"/>
  <c r="Q223" i="2" s="1"/>
  <c r="R223" i="2" s="1"/>
  <c r="S223" i="2" s="1"/>
  <c r="M224" i="2"/>
  <c r="L224" i="2" s="1"/>
  <c r="K224" i="2" s="1"/>
  <c r="J224" i="2" s="1"/>
  <c r="P224" i="2" s="1"/>
  <c r="Q224" i="2" s="1"/>
  <c r="R224" i="2" s="1"/>
  <c r="S224" i="2" s="1"/>
  <c r="AJ224" i="2" s="1"/>
  <c r="M225" i="2"/>
  <c r="L225" i="2" s="1"/>
  <c r="K225" i="2" s="1"/>
  <c r="J225" i="2" s="1"/>
  <c r="P225" i="2" s="1"/>
  <c r="Q225" i="2" s="1"/>
  <c r="R225" i="2" s="1"/>
  <c r="S225" i="2" s="1"/>
  <c r="M226" i="2"/>
  <c r="L226" i="2" s="1"/>
  <c r="K226" i="2" s="1"/>
  <c r="J226" i="2" s="1"/>
  <c r="P226" i="2" s="1"/>
  <c r="Q226" i="2" s="1"/>
  <c r="R226" i="2" s="1"/>
  <c r="S226" i="2" s="1"/>
  <c r="AE226" i="2" s="1"/>
  <c r="R432" i="2"/>
  <c r="Q453" i="2"/>
  <c r="Q419" i="2"/>
  <c r="P429" i="2"/>
  <c r="P455" i="2" s="1"/>
  <c r="Q404" i="2"/>
  <c r="P413" i="2"/>
  <c r="R397" i="2"/>
  <c r="Q401" i="2"/>
  <c r="R285" i="2"/>
  <c r="Q245" i="2"/>
  <c r="P258" i="2"/>
  <c r="P227" i="2"/>
  <c r="Q227" i="2" s="1"/>
  <c r="R176" i="2"/>
  <c r="Q190" i="2"/>
  <c r="R38" i="2"/>
  <c r="Q166" i="2"/>
  <c r="P173" i="2"/>
  <c r="Q74" i="2"/>
  <c r="P93" i="2"/>
  <c r="R148" i="2"/>
  <c r="Q163" i="2"/>
  <c r="Q135" i="2"/>
  <c r="P145" i="2"/>
  <c r="R96" i="2"/>
  <c r="Q39" i="2"/>
  <c r="R39" i="2" s="1"/>
  <c r="S39" i="2" s="1"/>
  <c r="AF39" i="2" s="1"/>
  <c r="P71" i="2"/>
  <c r="L117" i="2"/>
  <c r="P117" i="2" s="1"/>
  <c r="L113" i="2"/>
  <c r="P113" i="2" s="1"/>
  <c r="Q113" i="2" s="1"/>
  <c r="R113" i="2" s="1"/>
  <c r="S113" i="2" s="1"/>
  <c r="L112" i="2"/>
  <c r="P112" i="2" s="1"/>
  <c r="Q112" i="2" s="1"/>
  <c r="R112" i="2" s="1"/>
  <c r="S112" i="2" s="1"/>
  <c r="L111" i="2"/>
  <c r="P111" i="2" s="1"/>
  <c r="AM27" i="2"/>
  <c r="AM33" i="2"/>
  <c r="AM63" i="2"/>
  <c r="AM162" i="2"/>
  <c r="AM276" i="2"/>
  <c r="AM53" i="2"/>
  <c r="AM69" i="2"/>
  <c r="AM85" i="2"/>
  <c r="AM91" i="2"/>
  <c r="AM160" i="2"/>
  <c r="AM248" i="2"/>
  <c r="AM304" i="2"/>
  <c r="AM348" i="2"/>
  <c r="AM15" i="2"/>
  <c r="AM17" i="2"/>
  <c r="AM23" i="2"/>
  <c r="AM29" i="2"/>
  <c r="AM101" i="2"/>
  <c r="AM107" i="2"/>
  <c r="AM152" i="2"/>
  <c r="AM172" i="2"/>
  <c r="AM178" i="2"/>
  <c r="AM197" i="2"/>
  <c r="AM199" i="2"/>
  <c r="AM201" i="2"/>
  <c r="AU260" i="2"/>
  <c r="AM234" i="2"/>
  <c r="AM427" i="2"/>
  <c r="AM382" i="2"/>
  <c r="AM368" i="2"/>
  <c r="AM364" i="2"/>
  <c r="AM360" i="2"/>
  <c r="AM344" i="2"/>
  <c r="AM332" i="2"/>
  <c r="AM328" i="2"/>
  <c r="AM324" i="2"/>
  <c r="AM288" i="2"/>
  <c r="AM280" i="2"/>
  <c r="AM356" i="2"/>
  <c r="AM320" i="2"/>
  <c r="AM292" i="2"/>
  <c r="AM268" i="2"/>
  <c r="AM236" i="2"/>
  <c r="AM230" i="2"/>
  <c r="AM218" i="2"/>
  <c r="AM168" i="2"/>
  <c r="AM156" i="2"/>
  <c r="AM148" i="2"/>
  <c r="AM138" i="2"/>
  <c r="AM128" i="2"/>
  <c r="AM105" i="2"/>
  <c r="AM89" i="2"/>
  <c r="AM77" i="2"/>
  <c r="AM59" i="2"/>
  <c r="AM55" i="2"/>
  <c r="AM43" i="2"/>
  <c r="AM482" i="2"/>
  <c r="AM374" i="2"/>
  <c r="AM352" i="2"/>
  <c r="AM340" i="2"/>
  <c r="AM316" i="2"/>
  <c r="AM308" i="2"/>
  <c r="AM296" i="2"/>
  <c r="AM252" i="2"/>
  <c r="AM232" i="2"/>
  <c r="AM226" i="2"/>
  <c r="AM205" i="2"/>
  <c r="AM188" i="2"/>
  <c r="AM186" i="2"/>
  <c r="AM180" i="2"/>
  <c r="AM170" i="2"/>
  <c r="AM158" i="2"/>
  <c r="AM150" i="2"/>
  <c r="AM144" i="2"/>
  <c r="AM136" i="2"/>
  <c r="AM130" i="2"/>
  <c r="AM122" i="2"/>
  <c r="AM99" i="2"/>
  <c r="AM83" i="2"/>
  <c r="AM79" i="2"/>
  <c r="AM61" i="2"/>
  <c r="AM57" i="2"/>
  <c r="AM45" i="2"/>
  <c r="AM41" i="2"/>
  <c r="AM31" i="2"/>
  <c r="AM39" i="2"/>
  <c r="AM47" i="2"/>
  <c r="AM51" i="2"/>
  <c r="AM67" i="2"/>
  <c r="AM97" i="2"/>
  <c r="AM103" i="2"/>
  <c r="AM166" i="2"/>
  <c r="AM203" i="2"/>
  <c r="AM25" i="2"/>
  <c r="AM49" i="2"/>
  <c r="AM65" i="2"/>
  <c r="AM75" i="2"/>
  <c r="AM126" i="2"/>
  <c r="AM140" i="2"/>
  <c r="AM240" i="2"/>
  <c r="AM300" i="2"/>
  <c r="AM461" i="2"/>
  <c r="AM13" i="2"/>
  <c r="AM19" i="2"/>
  <c r="AM21" i="2"/>
  <c r="AM81" i="2"/>
  <c r="AM87" i="2"/>
  <c r="AM117" i="2"/>
  <c r="AM124" i="2"/>
  <c r="AM142" i="2"/>
  <c r="AM154" i="2"/>
  <c r="AM176" i="2"/>
  <c r="AM182" i="2"/>
  <c r="AM184" i="2"/>
  <c r="AM207" i="2"/>
  <c r="AM209" i="2"/>
  <c r="AM214" i="2"/>
  <c r="AM222" i="2"/>
  <c r="AU192" i="2"/>
  <c r="AW260" i="2"/>
  <c r="AW415" i="2"/>
  <c r="AT635" i="2"/>
  <c r="AU455" i="2"/>
  <c r="AU551" i="2"/>
  <c r="AU581" i="2"/>
  <c r="AW633" i="2"/>
  <c r="AK22" i="2"/>
  <c r="AG22" i="2"/>
  <c r="AC22" i="2"/>
  <c r="AI22" i="2"/>
  <c r="AE22" i="2"/>
  <c r="AD22" i="2"/>
  <c r="AH22" i="2"/>
  <c r="AJ22" i="2"/>
  <c r="AB22" i="2"/>
  <c r="AJ23" i="2"/>
  <c r="AF23" i="2"/>
  <c r="AB23" i="2"/>
  <c r="AH23" i="2"/>
  <c r="AD23" i="2"/>
  <c r="AE23" i="2"/>
  <c r="AK23" i="2"/>
  <c r="AC23" i="2"/>
  <c r="AI23" i="2"/>
  <c r="AI24" i="2"/>
  <c r="AE24" i="2"/>
  <c r="AK24" i="2"/>
  <c r="AG24" i="2"/>
  <c r="AC24" i="2"/>
  <c r="AH24" i="2"/>
  <c r="AD24" i="2"/>
  <c r="AF24" i="2"/>
  <c r="AJ39" i="2"/>
  <c r="AK39" i="2"/>
  <c r="AI40" i="2"/>
  <c r="AE40" i="2"/>
  <c r="AK40" i="2"/>
  <c r="AG40" i="2"/>
  <c r="AC40" i="2"/>
  <c r="AH40" i="2"/>
  <c r="AF40" i="2"/>
  <c r="AD40" i="2"/>
  <c r="AK54" i="2"/>
  <c r="AG54" i="2"/>
  <c r="AC54" i="2"/>
  <c r="AI54" i="2"/>
  <c r="AE54" i="2"/>
  <c r="AD54" i="2"/>
  <c r="AH54" i="2"/>
  <c r="AJ54" i="2"/>
  <c r="AB54" i="2"/>
  <c r="AJ55" i="2"/>
  <c r="AF55" i="2"/>
  <c r="AB55" i="2"/>
  <c r="AH55" i="2"/>
  <c r="AD55" i="2"/>
  <c r="AE55" i="2"/>
  <c r="AK55" i="2"/>
  <c r="AC55" i="2"/>
  <c r="AI55" i="2"/>
  <c r="AK70" i="2"/>
  <c r="AG70" i="2"/>
  <c r="AC70" i="2"/>
  <c r="AI70" i="2"/>
  <c r="AE70" i="2"/>
  <c r="AD70" i="2"/>
  <c r="AH70" i="2"/>
  <c r="AJ70" i="2"/>
  <c r="AB70" i="2"/>
  <c r="AK86" i="2"/>
  <c r="AG86" i="2"/>
  <c r="AC86" i="2"/>
  <c r="AI86" i="2"/>
  <c r="AE86" i="2"/>
  <c r="AD86" i="2"/>
  <c r="AJ86" i="2"/>
  <c r="AB86" i="2"/>
  <c r="AH86" i="2"/>
  <c r="AJ87" i="2"/>
  <c r="AF87" i="2"/>
  <c r="AB87" i="2"/>
  <c r="AH87" i="2"/>
  <c r="AD87" i="2"/>
  <c r="AE87" i="2"/>
  <c r="AI87" i="2"/>
  <c r="AK87" i="2"/>
  <c r="AC87" i="2"/>
  <c r="AK102" i="2"/>
  <c r="AG102" i="2"/>
  <c r="AC102" i="2"/>
  <c r="AI102" i="2"/>
  <c r="AE102" i="2"/>
  <c r="AD102" i="2"/>
  <c r="AH102" i="2"/>
  <c r="AJ102" i="2"/>
  <c r="AB102" i="2"/>
  <c r="AJ103" i="2"/>
  <c r="AF103" i="2"/>
  <c r="AB103" i="2"/>
  <c r="AH103" i="2"/>
  <c r="AD103" i="2"/>
  <c r="AE103" i="2"/>
  <c r="AI103" i="2"/>
  <c r="AK103" i="2"/>
  <c r="AC103" i="2"/>
  <c r="AH122" i="2"/>
  <c r="AD122" i="2"/>
  <c r="AJ122" i="2"/>
  <c r="AF122" i="2"/>
  <c r="AB122" i="2"/>
  <c r="AK122" i="2"/>
  <c r="AC122" i="2"/>
  <c r="AI122" i="2"/>
  <c r="AG122" i="2"/>
  <c r="AK123" i="2"/>
  <c r="AG123" i="2"/>
  <c r="AC123" i="2"/>
  <c r="AI123" i="2"/>
  <c r="AE123" i="2"/>
  <c r="AF123" i="2"/>
  <c r="AD123" i="2"/>
  <c r="AJ123" i="2"/>
  <c r="AB123" i="2"/>
  <c r="AJ156" i="2"/>
  <c r="AF156" i="2"/>
  <c r="AB156" i="2"/>
  <c r="AH156" i="2"/>
  <c r="AD156" i="2"/>
  <c r="AG156" i="2"/>
  <c r="AE156" i="2"/>
  <c r="AK156" i="2"/>
  <c r="AC156" i="2"/>
  <c r="AI157" i="2"/>
  <c r="AE157" i="2"/>
  <c r="AK157" i="2"/>
  <c r="AG157" i="2"/>
  <c r="AC157" i="2"/>
  <c r="AJ157" i="2"/>
  <c r="AB157" i="2"/>
  <c r="AH157" i="2"/>
  <c r="AF157" i="2"/>
  <c r="AH158" i="2"/>
  <c r="AD158" i="2"/>
  <c r="AJ158" i="2"/>
  <c r="AF158" i="2"/>
  <c r="AB158" i="2"/>
  <c r="AK158" i="2"/>
  <c r="AC158" i="2"/>
  <c r="AG158" i="2"/>
  <c r="AI158" i="2"/>
  <c r="AK159" i="2"/>
  <c r="AG159" i="2"/>
  <c r="AC159" i="2"/>
  <c r="AI159" i="2"/>
  <c r="AE159" i="2"/>
  <c r="AF159" i="2"/>
  <c r="AJ159" i="2"/>
  <c r="AD159" i="2"/>
  <c r="AB159" i="2"/>
  <c r="AJ168" i="2"/>
  <c r="AF168" i="2"/>
  <c r="AB168" i="2"/>
  <c r="AH168" i="2"/>
  <c r="AD168" i="2"/>
  <c r="AG168" i="2"/>
  <c r="AE168" i="2"/>
  <c r="AK168" i="2"/>
  <c r="AC168" i="2"/>
  <c r="AI169" i="2"/>
  <c r="AE169" i="2"/>
  <c r="AK169" i="2"/>
  <c r="AG169" i="2"/>
  <c r="AC169" i="2"/>
  <c r="AJ169" i="2"/>
  <c r="AB169" i="2"/>
  <c r="AF169" i="2"/>
  <c r="AH169" i="2"/>
  <c r="AH170" i="2"/>
  <c r="AD170" i="2"/>
  <c r="AJ170" i="2"/>
  <c r="AF170" i="2"/>
  <c r="AB170" i="2"/>
  <c r="AK170" i="2"/>
  <c r="AC170" i="2"/>
  <c r="AI170" i="2"/>
  <c r="AG170" i="2"/>
  <c r="AK171" i="2"/>
  <c r="AG171" i="2"/>
  <c r="AC171" i="2"/>
  <c r="AI171" i="2"/>
  <c r="AE171" i="2"/>
  <c r="AF171" i="2"/>
  <c r="AJ171" i="2"/>
  <c r="AD171" i="2"/>
  <c r="AB171" i="2"/>
  <c r="AH178" i="2"/>
  <c r="AD178" i="2"/>
  <c r="AJ178" i="2"/>
  <c r="AF178" i="2"/>
  <c r="AB178" i="2"/>
  <c r="AK178" i="2"/>
  <c r="AC178" i="2"/>
  <c r="AI178" i="2"/>
  <c r="AG178" i="2"/>
  <c r="AK179" i="2"/>
  <c r="AG179" i="2"/>
  <c r="AC179" i="2"/>
  <c r="AI179" i="2"/>
  <c r="AE179" i="2"/>
  <c r="AF179" i="2"/>
  <c r="AJ179" i="2"/>
  <c r="AD179" i="2"/>
  <c r="AB179" i="2"/>
  <c r="AH199" i="2"/>
  <c r="AD199" i="2"/>
  <c r="AK199" i="2"/>
  <c r="AG199" i="2"/>
  <c r="AC199" i="2"/>
  <c r="AJ199" i="2"/>
  <c r="AF199" i="2"/>
  <c r="AB199" i="2"/>
  <c r="AE199" i="2"/>
  <c r="AK200" i="2"/>
  <c r="AG200" i="2"/>
  <c r="AC200" i="2"/>
  <c r="AJ200" i="2"/>
  <c r="AF200" i="2"/>
  <c r="AB200" i="2"/>
  <c r="AI200" i="2"/>
  <c r="AE200" i="2"/>
  <c r="AH200" i="2"/>
  <c r="AD200" i="2"/>
  <c r="AI202" i="2"/>
  <c r="AE202" i="2"/>
  <c r="AH202" i="2"/>
  <c r="AD202" i="2"/>
  <c r="AK202" i="2"/>
  <c r="AG202" i="2"/>
  <c r="AC202" i="2"/>
  <c r="AJ202" i="2"/>
  <c r="AF202" i="2"/>
  <c r="AB202" i="2"/>
  <c r="AH203" i="2"/>
  <c r="AD203" i="2"/>
  <c r="AK203" i="2"/>
  <c r="AG203" i="2"/>
  <c r="AC203" i="2"/>
  <c r="AJ203" i="2"/>
  <c r="AF203" i="2"/>
  <c r="AB203" i="2"/>
  <c r="AI203" i="2"/>
  <c r="AE203" i="2"/>
  <c r="AF222" i="2"/>
  <c r="AF22" i="2"/>
  <c r="AG23" i="2"/>
  <c r="AB24" i="2"/>
  <c r="AH25" i="2"/>
  <c r="AD25" i="2"/>
  <c r="AJ25" i="2"/>
  <c r="AF25" i="2"/>
  <c r="AB25" i="2"/>
  <c r="AI25" i="2"/>
  <c r="AE25" i="2"/>
  <c r="AG25" i="2"/>
  <c r="AK26" i="2"/>
  <c r="AG26" i="2"/>
  <c r="AC26" i="2"/>
  <c r="AI26" i="2"/>
  <c r="AE26" i="2"/>
  <c r="AD26" i="2"/>
  <c r="AJ26" i="2"/>
  <c r="AB26" i="2"/>
  <c r="AH26" i="2"/>
  <c r="AJ27" i="2"/>
  <c r="AF27" i="2"/>
  <c r="AB27" i="2"/>
  <c r="AH27" i="2"/>
  <c r="AD27" i="2"/>
  <c r="AE27" i="2"/>
  <c r="AI27" i="2"/>
  <c r="AK27" i="2"/>
  <c r="AC27" i="2"/>
  <c r="AI28" i="2"/>
  <c r="AE28" i="2"/>
  <c r="AK28" i="2"/>
  <c r="AG28" i="2"/>
  <c r="AC28" i="2"/>
  <c r="AH28" i="2"/>
  <c r="AF28" i="2"/>
  <c r="AD28" i="2"/>
  <c r="AB40" i="2"/>
  <c r="AH41" i="2"/>
  <c r="AD41" i="2"/>
  <c r="AJ41" i="2"/>
  <c r="AF41" i="2"/>
  <c r="AB41" i="2"/>
  <c r="AI41" i="2"/>
  <c r="AG41" i="2"/>
  <c r="AE41" i="2"/>
  <c r="AK42" i="2"/>
  <c r="AG42" i="2"/>
  <c r="AC42" i="2"/>
  <c r="AI42" i="2"/>
  <c r="AE42" i="2"/>
  <c r="AD42" i="2"/>
  <c r="AJ42" i="2"/>
  <c r="AB42" i="2"/>
  <c r="AH42" i="2"/>
  <c r="AJ43" i="2"/>
  <c r="AF43" i="2"/>
  <c r="AB43" i="2"/>
  <c r="AH43" i="2"/>
  <c r="AD43" i="2"/>
  <c r="AE43" i="2"/>
  <c r="AI43" i="2"/>
  <c r="AK43" i="2"/>
  <c r="AC43" i="2"/>
  <c r="AF54" i="2"/>
  <c r="AG55" i="2"/>
  <c r="AK58" i="2"/>
  <c r="AG58" i="2"/>
  <c r="AC58" i="2"/>
  <c r="AI58" i="2"/>
  <c r="AE58" i="2"/>
  <c r="AD58" i="2"/>
  <c r="AJ58" i="2"/>
  <c r="AB58" i="2"/>
  <c r="AH58" i="2"/>
  <c r="AJ59" i="2"/>
  <c r="AF59" i="2"/>
  <c r="AB59" i="2"/>
  <c r="AH59" i="2"/>
  <c r="AD59" i="2"/>
  <c r="AE59" i="2"/>
  <c r="AI59" i="2"/>
  <c r="AK59" i="2"/>
  <c r="AC59" i="2"/>
  <c r="AF70" i="2"/>
  <c r="AJ75" i="2"/>
  <c r="AF75" i="2"/>
  <c r="AB75" i="2"/>
  <c r="AH75" i="2"/>
  <c r="AD75" i="2"/>
  <c r="AE75" i="2"/>
  <c r="AK75" i="2"/>
  <c r="AC75" i="2"/>
  <c r="AI75" i="2"/>
  <c r="AF86" i="2"/>
  <c r="AG87" i="2"/>
  <c r="AK90" i="2"/>
  <c r="AG90" i="2"/>
  <c r="AC90" i="2"/>
  <c r="AI90" i="2"/>
  <c r="AE90" i="2"/>
  <c r="AD90" i="2"/>
  <c r="AH90" i="2"/>
  <c r="AJ90" i="2"/>
  <c r="AB90" i="2"/>
  <c r="AJ91" i="2"/>
  <c r="AF91" i="2"/>
  <c r="AB91" i="2"/>
  <c r="AH91" i="2"/>
  <c r="AD91" i="2"/>
  <c r="AE91" i="2"/>
  <c r="AK91" i="2"/>
  <c r="AC91" i="2"/>
  <c r="AI91" i="2"/>
  <c r="AF102" i="2"/>
  <c r="AG103" i="2"/>
  <c r="AK106" i="2"/>
  <c r="AG106" i="2"/>
  <c r="AC106" i="2"/>
  <c r="AI106" i="2"/>
  <c r="AE106" i="2"/>
  <c r="AD106" i="2"/>
  <c r="AH106" i="2"/>
  <c r="AJ106" i="2"/>
  <c r="AB106" i="2"/>
  <c r="AJ107" i="2"/>
  <c r="AF107" i="2"/>
  <c r="AB107" i="2"/>
  <c r="AH107" i="2"/>
  <c r="AD107" i="2"/>
  <c r="AE107" i="2"/>
  <c r="AI107" i="2"/>
  <c r="AK107" i="2"/>
  <c r="AC107" i="2"/>
  <c r="AE122" i="2"/>
  <c r="AH123" i="2"/>
  <c r="AI125" i="2"/>
  <c r="AE125" i="2"/>
  <c r="AK125" i="2"/>
  <c r="AG125" i="2"/>
  <c r="AC125" i="2"/>
  <c r="AJ125" i="2"/>
  <c r="AB125" i="2"/>
  <c r="AF125" i="2"/>
  <c r="AH125" i="2"/>
  <c r="AH126" i="2"/>
  <c r="AD126" i="2"/>
  <c r="AJ126" i="2"/>
  <c r="AF126" i="2"/>
  <c r="AB126" i="2"/>
  <c r="AK126" i="2"/>
  <c r="AC126" i="2"/>
  <c r="AI126" i="2"/>
  <c r="AG126" i="2"/>
  <c r="AK127" i="2"/>
  <c r="AG127" i="2"/>
  <c r="AC127" i="2"/>
  <c r="AI127" i="2"/>
  <c r="AE127" i="2"/>
  <c r="AF127" i="2"/>
  <c r="AB127" i="2"/>
  <c r="AD127" i="2"/>
  <c r="AJ127" i="2"/>
  <c r="AJ136" i="2"/>
  <c r="AF136" i="2"/>
  <c r="AB136" i="2"/>
  <c r="AH136" i="2"/>
  <c r="AD136" i="2"/>
  <c r="AG136" i="2"/>
  <c r="AE136" i="2"/>
  <c r="AK136" i="2"/>
  <c r="AC136" i="2"/>
  <c r="AI137" i="2"/>
  <c r="AE137" i="2"/>
  <c r="AK137" i="2"/>
  <c r="AG137" i="2"/>
  <c r="AC137" i="2"/>
  <c r="AJ137" i="2"/>
  <c r="AB137" i="2"/>
  <c r="AH137" i="2"/>
  <c r="AF137" i="2"/>
  <c r="AH138" i="2"/>
  <c r="AD138" i="2"/>
  <c r="AJ138" i="2"/>
  <c r="AF138" i="2"/>
  <c r="AB138" i="2"/>
  <c r="AK138" i="2"/>
  <c r="AC138" i="2"/>
  <c r="AG138" i="2"/>
  <c r="AI138" i="2"/>
  <c r="AK139" i="2"/>
  <c r="AG139" i="2"/>
  <c r="AC139" i="2"/>
  <c r="AI139" i="2"/>
  <c r="AE139" i="2"/>
  <c r="AF139" i="2"/>
  <c r="AB139" i="2"/>
  <c r="AD139" i="2"/>
  <c r="AJ139" i="2"/>
  <c r="AI156" i="2"/>
  <c r="AD157" i="2"/>
  <c r="AE158" i="2"/>
  <c r="AH159" i="2"/>
  <c r="AJ160" i="2"/>
  <c r="AF160" i="2"/>
  <c r="AB160" i="2"/>
  <c r="AH160" i="2"/>
  <c r="AD160" i="2"/>
  <c r="AG160" i="2"/>
  <c r="AE160" i="2"/>
  <c r="AK160" i="2"/>
  <c r="AC160" i="2"/>
  <c r="AI161" i="2"/>
  <c r="AE161" i="2"/>
  <c r="AK161" i="2"/>
  <c r="AG161" i="2"/>
  <c r="AC161" i="2"/>
  <c r="AJ161" i="2"/>
  <c r="AB161" i="2"/>
  <c r="AH161" i="2"/>
  <c r="AF161" i="2"/>
  <c r="AH162" i="2"/>
  <c r="AD162" i="2"/>
  <c r="AJ162" i="2"/>
  <c r="AF162" i="2"/>
  <c r="AB162" i="2"/>
  <c r="AK162" i="2"/>
  <c r="AC162" i="2"/>
  <c r="AG162" i="2"/>
  <c r="AI162" i="2"/>
  <c r="AI168" i="2"/>
  <c r="AD169" i="2"/>
  <c r="AE170" i="2"/>
  <c r="AH171" i="2"/>
  <c r="AJ172" i="2"/>
  <c r="AF172" i="2"/>
  <c r="AB172" i="2"/>
  <c r="AH172" i="2"/>
  <c r="AD172" i="2"/>
  <c r="AG172" i="2"/>
  <c r="AK172" i="2"/>
  <c r="AC172" i="2"/>
  <c r="AE172" i="2"/>
  <c r="AE178" i="2"/>
  <c r="AH179" i="2"/>
  <c r="AJ180" i="2"/>
  <c r="AF180" i="2"/>
  <c r="AB180" i="2"/>
  <c r="AH180" i="2"/>
  <c r="AD180" i="2"/>
  <c r="AG180" i="2"/>
  <c r="AE180" i="2"/>
  <c r="AK180" i="2"/>
  <c r="AC180" i="2"/>
  <c r="AI181" i="2"/>
  <c r="AE181" i="2"/>
  <c r="AK181" i="2"/>
  <c r="AG181" i="2"/>
  <c r="AC181" i="2"/>
  <c r="AJ181" i="2"/>
  <c r="AB181" i="2"/>
  <c r="AH181" i="2"/>
  <c r="AF181" i="2"/>
  <c r="AH182" i="2"/>
  <c r="AD182" i="2"/>
  <c r="AK182" i="2"/>
  <c r="AG182" i="2"/>
  <c r="AC182" i="2"/>
  <c r="AJ182" i="2"/>
  <c r="AF182" i="2"/>
  <c r="AB182" i="2"/>
  <c r="AI182" i="2"/>
  <c r="AE182" i="2"/>
  <c r="AK187" i="2"/>
  <c r="AG187" i="2"/>
  <c r="AC187" i="2"/>
  <c r="AJ187" i="2"/>
  <c r="AF187" i="2"/>
  <c r="AB187" i="2"/>
  <c r="AI187" i="2"/>
  <c r="AE187" i="2"/>
  <c r="AH187" i="2"/>
  <c r="AD187" i="2"/>
  <c r="AJ197" i="2"/>
  <c r="AF197" i="2"/>
  <c r="AB197" i="2"/>
  <c r="AI197" i="2"/>
  <c r="AE197" i="2"/>
  <c r="AH197" i="2"/>
  <c r="AD197" i="2"/>
  <c r="AK197" i="2"/>
  <c r="AC197" i="2"/>
  <c r="AG197" i="2"/>
  <c r="AI199" i="2"/>
  <c r="AH207" i="2"/>
  <c r="AD207" i="2"/>
  <c r="AK207" i="2"/>
  <c r="AG207" i="2"/>
  <c r="AC207" i="2"/>
  <c r="AJ207" i="2"/>
  <c r="AF207" i="2"/>
  <c r="AB207" i="2"/>
  <c r="AE207" i="2"/>
  <c r="AK208" i="2"/>
  <c r="AG208" i="2"/>
  <c r="AC208" i="2"/>
  <c r="AJ208" i="2"/>
  <c r="AF208" i="2"/>
  <c r="AB208" i="2"/>
  <c r="AI208" i="2"/>
  <c r="AE208" i="2"/>
  <c r="AH208" i="2"/>
  <c r="AD208" i="2"/>
  <c r="AH21" i="2"/>
  <c r="AD21" i="2"/>
  <c r="AJ21" i="2"/>
  <c r="AF21" i="2"/>
  <c r="AB21" i="2"/>
  <c r="AI21" i="2"/>
  <c r="AG21" i="2"/>
  <c r="AE21" i="2"/>
  <c r="AH13" i="2"/>
  <c r="AD13" i="2"/>
  <c r="AJ13" i="2"/>
  <c r="AF13" i="2"/>
  <c r="AB13" i="2"/>
  <c r="AI13" i="2"/>
  <c r="AG13" i="2"/>
  <c r="AE13" i="2"/>
  <c r="AK14" i="2"/>
  <c r="AG14" i="2"/>
  <c r="AC14" i="2"/>
  <c r="AI14" i="2"/>
  <c r="AE14" i="2"/>
  <c r="AD14" i="2"/>
  <c r="AJ14" i="2"/>
  <c r="AB14" i="2"/>
  <c r="AH14" i="2"/>
  <c r="AJ15" i="2"/>
  <c r="AF15" i="2"/>
  <c r="AB15" i="2"/>
  <c r="AH15" i="2"/>
  <c r="AD15" i="2"/>
  <c r="AE15" i="2"/>
  <c r="AK15" i="2"/>
  <c r="AC15" i="2"/>
  <c r="AI15" i="2"/>
  <c r="AI16" i="2"/>
  <c r="AE16" i="2"/>
  <c r="AK16" i="2"/>
  <c r="AG16" i="2"/>
  <c r="AC16" i="2"/>
  <c r="AH16" i="2"/>
  <c r="AF16" i="2"/>
  <c r="AD16" i="2"/>
  <c r="AK21" i="2"/>
  <c r="AJ24" i="2"/>
  <c r="AH29" i="2"/>
  <c r="AD29" i="2"/>
  <c r="AJ29" i="2"/>
  <c r="AF29" i="2"/>
  <c r="AB29" i="2"/>
  <c r="AI29" i="2"/>
  <c r="AE29" i="2"/>
  <c r="AG29" i="2"/>
  <c r="AK30" i="2"/>
  <c r="AG30" i="2"/>
  <c r="AC30" i="2"/>
  <c r="AI30" i="2"/>
  <c r="AE30" i="2"/>
  <c r="AD30" i="2"/>
  <c r="AJ30" i="2"/>
  <c r="AB30" i="2"/>
  <c r="AH30" i="2"/>
  <c r="AJ31" i="2"/>
  <c r="AF31" i="2"/>
  <c r="AB31" i="2"/>
  <c r="AH31" i="2"/>
  <c r="AD31" i="2"/>
  <c r="AE31" i="2"/>
  <c r="AI31" i="2"/>
  <c r="AK31" i="2"/>
  <c r="AC31" i="2"/>
  <c r="AI32" i="2"/>
  <c r="AE32" i="2"/>
  <c r="AK32" i="2"/>
  <c r="AG32" i="2"/>
  <c r="AC32" i="2"/>
  <c r="AH32" i="2"/>
  <c r="AD32" i="2"/>
  <c r="AF32" i="2"/>
  <c r="AJ40" i="2"/>
  <c r="AK46" i="2"/>
  <c r="AG46" i="2"/>
  <c r="AC46" i="2"/>
  <c r="AI46" i="2"/>
  <c r="AE46" i="2"/>
  <c r="AD46" i="2"/>
  <c r="AJ46" i="2"/>
  <c r="AB46" i="2"/>
  <c r="AH46" i="2"/>
  <c r="AJ47" i="2"/>
  <c r="AF47" i="2"/>
  <c r="AB47" i="2"/>
  <c r="AH47" i="2"/>
  <c r="AD47" i="2"/>
  <c r="AE47" i="2"/>
  <c r="AK47" i="2"/>
  <c r="AC47" i="2"/>
  <c r="AI47" i="2"/>
  <c r="AK62" i="2"/>
  <c r="AG62" i="2"/>
  <c r="AC62" i="2"/>
  <c r="AI62" i="2"/>
  <c r="AE62" i="2"/>
  <c r="AD62" i="2"/>
  <c r="AJ62" i="2"/>
  <c r="AB62" i="2"/>
  <c r="AH62" i="2"/>
  <c r="AJ63" i="2"/>
  <c r="AF63" i="2"/>
  <c r="AB63" i="2"/>
  <c r="AH63" i="2"/>
  <c r="AD63" i="2"/>
  <c r="AE63" i="2"/>
  <c r="AI63" i="2"/>
  <c r="AK63" i="2"/>
  <c r="AC63" i="2"/>
  <c r="AK78" i="2"/>
  <c r="AG78" i="2"/>
  <c r="AC78" i="2"/>
  <c r="AI78" i="2"/>
  <c r="AE78" i="2"/>
  <c r="AD78" i="2"/>
  <c r="AH78" i="2"/>
  <c r="AJ78" i="2"/>
  <c r="AB78" i="2"/>
  <c r="AJ79" i="2"/>
  <c r="AF79" i="2"/>
  <c r="AB79" i="2"/>
  <c r="AH79" i="2"/>
  <c r="AD79" i="2"/>
  <c r="AE79" i="2"/>
  <c r="AK79" i="2"/>
  <c r="AC79" i="2"/>
  <c r="AI79" i="2"/>
  <c r="AJ128" i="2"/>
  <c r="AF128" i="2"/>
  <c r="AB128" i="2"/>
  <c r="AH128" i="2"/>
  <c r="AD128" i="2"/>
  <c r="AG128" i="2"/>
  <c r="AE128" i="2"/>
  <c r="AK128" i="2"/>
  <c r="AC128" i="2"/>
  <c r="AI129" i="2"/>
  <c r="AE129" i="2"/>
  <c r="AK129" i="2"/>
  <c r="AG129" i="2"/>
  <c r="AC129" i="2"/>
  <c r="AJ129" i="2"/>
  <c r="AB129" i="2"/>
  <c r="AH129" i="2"/>
  <c r="AF129" i="2"/>
  <c r="AH130" i="2"/>
  <c r="AD130" i="2"/>
  <c r="AJ130" i="2"/>
  <c r="AF130" i="2"/>
  <c r="AB130" i="2"/>
  <c r="AK130" i="2"/>
  <c r="AC130" i="2"/>
  <c r="AI130" i="2"/>
  <c r="AG130" i="2"/>
  <c r="AK131" i="2"/>
  <c r="AG131" i="2"/>
  <c r="AC131" i="2"/>
  <c r="AI131" i="2"/>
  <c r="AE131" i="2"/>
  <c r="AF131" i="2"/>
  <c r="AJ131" i="2"/>
  <c r="AD131" i="2"/>
  <c r="AB131" i="2"/>
  <c r="AJ140" i="2"/>
  <c r="AF140" i="2"/>
  <c r="AB140" i="2"/>
  <c r="AH140" i="2"/>
  <c r="AD140" i="2"/>
  <c r="AG140" i="2"/>
  <c r="AK140" i="2"/>
  <c r="AC140" i="2"/>
  <c r="AE140" i="2"/>
  <c r="AI141" i="2"/>
  <c r="AE141" i="2"/>
  <c r="AK141" i="2"/>
  <c r="AG141" i="2"/>
  <c r="AC141" i="2"/>
  <c r="AJ141" i="2"/>
  <c r="AB141" i="2"/>
  <c r="AF141" i="2"/>
  <c r="AH141" i="2"/>
  <c r="AH142" i="2"/>
  <c r="AD142" i="2"/>
  <c r="AJ142" i="2"/>
  <c r="AF142" i="2"/>
  <c r="AB142" i="2"/>
  <c r="AK142" i="2"/>
  <c r="AC142" i="2"/>
  <c r="AI142" i="2"/>
  <c r="AG142" i="2"/>
  <c r="AK143" i="2"/>
  <c r="AG143" i="2"/>
  <c r="AC143" i="2"/>
  <c r="AI143" i="2"/>
  <c r="AE143" i="2"/>
  <c r="AF143" i="2"/>
  <c r="AJ143" i="2"/>
  <c r="AD143" i="2"/>
  <c r="AB143" i="2"/>
  <c r="AI149" i="2"/>
  <c r="AE149" i="2"/>
  <c r="AK149" i="2"/>
  <c r="AG149" i="2"/>
  <c r="AC149" i="2"/>
  <c r="AJ149" i="2"/>
  <c r="AB149" i="2"/>
  <c r="AH149" i="2"/>
  <c r="AF149" i="2"/>
  <c r="AH150" i="2"/>
  <c r="AD150" i="2"/>
  <c r="AJ150" i="2"/>
  <c r="AF150" i="2"/>
  <c r="AB150" i="2"/>
  <c r="AK150" i="2"/>
  <c r="AC150" i="2"/>
  <c r="AI150" i="2"/>
  <c r="AG150" i="2"/>
  <c r="AK151" i="2"/>
  <c r="AG151" i="2"/>
  <c r="AC151" i="2"/>
  <c r="AI151" i="2"/>
  <c r="AE151" i="2"/>
  <c r="AF151" i="2"/>
  <c r="AJ151" i="2"/>
  <c r="AD151" i="2"/>
  <c r="AB151" i="2"/>
  <c r="AJ205" i="2"/>
  <c r="AF205" i="2"/>
  <c r="AB205" i="2"/>
  <c r="AI205" i="2"/>
  <c r="AE205" i="2"/>
  <c r="AH205" i="2"/>
  <c r="AD205" i="2"/>
  <c r="AK205" i="2"/>
  <c r="AC205" i="2"/>
  <c r="AG205" i="2"/>
  <c r="AC13" i="2"/>
  <c r="AF14" i="2"/>
  <c r="AG15" i="2"/>
  <c r="AB16" i="2"/>
  <c r="AH17" i="2"/>
  <c r="AD17" i="2"/>
  <c r="AJ17" i="2"/>
  <c r="AF17" i="2"/>
  <c r="AB17" i="2"/>
  <c r="AI17" i="2"/>
  <c r="AG17" i="2"/>
  <c r="AE17" i="2"/>
  <c r="AK18" i="2"/>
  <c r="AG18" i="2"/>
  <c r="AC18" i="2"/>
  <c r="AI18" i="2"/>
  <c r="AE18" i="2"/>
  <c r="AD18" i="2"/>
  <c r="AB18" i="2"/>
  <c r="AH18" i="2"/>
  <c r="AJ18" i="2"/>
  <c r="AJ19" i="2"/>
  <c r="AF19" i="2"/>
  <c r="AB19" i="2"/>
  <c r="AH19" i="2"/>
  <c r="AD19" i="2"/>
  <c r="AE19" i="2"/>
  <c r="AK19" i="2"/>
  <c r="AC19" i="2"/>
  <c r="AI19" i="2"/>
  <c r="AI20" i="2"/>
  <c r="AE20" i="2"/>
  <c r="AK20" i="2"/>
  <c r="AG20" i="2"/>
  <c r="AC20" i="2"/>
  <c r="AH20" i="2"/>
  <c r="AF20" i="2"/>
  <c r="AD20" i="2"/>
  <c r="AK25" i="2"/>
  <c r="AJ28" i="2"/>
  <c r="AC29" i="2"/>
  <c r="AF30" i="2"/>
  <c r="AG31" i="2"/>
  <c r="AB32" i="2"/>
  <c r="AH33" i="2"/>
  <c r="AD33" i="2"/>
  <c r="AJ33" i="2"/>
  <c r="AF33" i="2"/>
  <c r="AB33" i="2"/>
  <c r="AI33" i="2"/>
  <c r="AE33" i="2"/>
  <c r="AG33" i="2"/>
  <c r="AK34" i="2"/>
  <c r="AG34" i="2"/>
  <c r="AC34" i="2"/>
  <c r="AI34" i="2"/>
  <c r="AE34" i="2"/>
  <c r="AD34" i="2"/>
  <c r="AH34" i="2"/>
  <c r="AJ34" i="2"/>
  <c r="AB34" i="2"/>
  <c r="AK41" i="2"/>
  <c r="AF46" i="2"/>
  <c r="AG47" i="2"/>
  <c r="AK50" i="2"/>
  <c r="AG50" i="2"/>
  <c r="AC50" i="2"/>
  <c r="AI50" i="2"/>
  <c r="AE50" i="2"/>
  <c r="AD50" i="2"/>
  <c r="AH50" i="2"/>
  <c r="AJ50" i="2"/>
  <c r="AB50" i="2"/>
  <c r="AJ51" i="2"/>
  <c r="AF51" i="2"/>
  <c r="AB51" i="2"/>
  <c r="AH51" i="2"/>
  <c r="AD51" i="2"/>
  <c r="AE51" i="2"/>
  <c r="AI51" i="2"/>
  <c r="AK51" i="2"/>
  <c r="AC51" i="2"/>
  <c r="AF62" i="2"/>
  <c r="AG63" i="2"/>
  <c r="AK66" i="2"/>
  <c r="AG66" i="2"/>
  <c r="AC66" i="2"/>
  <c r="AI66" i="2"/>
  <c r="AE66" i="2"/>
  <c r="AD66" i="2"/>
  <c r="AJ66" i="2"/>
  <c r="AB66" i="2"/>
  <c r="AH66" i="2"/>
  <c r="AJ67" i="2"/>
  <c r="AF67" i="2"/>
  <c r="AB67" i="2"/>
  <c r="AH67" i="2"/>
  <c r="AD67" i="2"/>
  <c r="AE67" i="2"/>
  <c r="AI67" i="2"/>
  <c r="AK67" i="2"/>
  <c r="AC67" i="2"/>
  <c r="AF78" i="2"/>
  <c r="AG79" i="2"/>
  <c r="AK82" i="2"/>
  <c r="AG82" i="2"/>
  <c r="AC82" i="2"/>
  <c r="AI82" i="2"/>
  <c r="AE82" i="2"/>
  <c r="AD82" i="2"/>
  <c r="AJ82" i="2"/>
  <c r="AB82" i="2"/>
  <c r="AH82" i="2"/>
  <c r="AJ83" i="2"/>
  <c r="AF83" i="2"/>
  <c r="AB83" i="2"/>
  <c r="AH83" i="2"/>
  <c r="AD83" i="2"/>
  <c r="AE83" i="2"/>
  <c r="AI83" i="2"/>
  <c r="AK83" i="2"/>
  <c r="AC83" i="2"/>
  <c r="AK98" i="2"/>
  <c r="AG98" i="2"/>
  <c r="AC98" i="2"/>
  <c r="AI98" i="2"/>
  <c r="AE98" i="2"/>
  <c r="AD98" i="2"/>
  <c r="AJ98" i="2"/>
  <c r="AB98" i="2"/>
  <c r="AH98" i="2"/>
  <c r="AF99" i="2"/>
  <c r="AI128" i="2"/>
  <c r="AD129" i="2"/>
  <c r="AE130" i="2"/>
  <c r="AH131" i="2"/>
  <c r="AI140" i="2"/>
  <c r="AD141" i="2"/>
  <c r="AE142" i="2"/>
  <c r="AH143" i="2"/>
  <c r="AJ144" i="2"/>
  <c r="AF144" i="2"/>
  <c r="AB144" i="2"/>
  <c r="AH144" i="2"/>
  <c r="AD144" i="2"/>
  <c r="AG144" i="2"/>
  <c r="AK144" i="2"/>
  <c r="AE144" i="2"/>
  <c r="AC144" i="2"/>
  <c r="AD149" i="2"/>
  <c r="AE150" i="2"/>
  <c r="AH151" i="2"/>
  <c r="AJ152" i="2"/>
  <c r="AF152" i="2"/>
  <c r="AB152" i="2"/>
  <c r="AH152" i="2"/>
  <c r="AD152" i="2"/>
  <c r="AG152" i="2"/>
  <c r="AE152" i="2"/>
  <c r="AK152" i="2"/>
  <c r="AC152" i="2"/>
  <c r="AI153" i="2"/>
  <c r="AE153" i="2"/>
  <c r="AK153" i="2"/>
  <c r="AG153" i="2"/>
  <c r="AC153" i="2"/>
  <c r="AJ153" i="2"/>
  <c r="AB153" i="2"/>
  <c r="AH153" i="2"/>
  <c r="AF153" i="2"/>
  <c r="AH154" i="2"/>
  <c r="AD154" i="2"/>
  <c r="AJ154" i="2"/>
  <c r="AF154" i="2"/>
  <c r="AB154" i="2"/>
  <c r="AK154" i="2"/>
  <c r="AC154" i="2"/>
  <c r="AI154" i="2"/>
  <c r="AG154" i="2"/>
  <c r="AK155" i="2"/>
  <c r="AG155" i="2"/>
  <c r="AC155" i="2"/>
  <c r="AI155" i="2"/>
  <c r="AE155" i="2"/>
  <c r="AF155" i="2"/>
  <c r="AJ155" i="2"/>
  <c r="AD155" i="2"/>
  <c r="AB155" i="2"/>
  <c r="AK167" i="2"/>
  <c r="AG167" i="2"/>
  <c r="AC167" i="2"/>
  <c r="AI167" i="2"/>
  <c r="AE167" i="2"/>
  <c r="AF167" i="2"/>
  <c r="AB167" i="2"/>
  <c r="AD167" i="2"/>
  <c r="AJ167" i="2"/>
  <c r="AK204" i="2"/>
  <c r="AG204" i="2"/>
  <c r="AC204" i="2"/>
  <c r="AJ204" i="2"/>
  <c r="AF204" i="2"/>
  <c r="AB204" i="2"/>
  <c r="AI204" i="2"/>
  <c r="AE204" i="2"/>
  <c r="AD204" i="2"/>
  <c r="AI241" i="2"/>
  <c r="AE241" i="2"/>
  <c r="AK241" i="2"/>
  <c r="AG241" i="2"/>
  <c r="AC241" i="2"/>
  <c r="AF241" i="2"/>
  <c r="AD241" i="2"/>
  <c r="AJ241" i="2"/>
  <c r="AB241" i="2"/>
  <c r="AK293" i="2"/>
  <c r="AG293" i="2"/>
  <c r="AC293" i="2"/>
  <c r="AF293" i="2"/>
  <c r="AI293" i="2"/>
  <c r="AD293" i="2"/>
  <c r="AH293" i="2"/>
  <c r="AE293" i="2"/>
  <c r="AB293" i="2"/>
  <c r="AK317" i="2"/>
  <c r="AG317" i="2"/>
  <c r="AC317" i="2"/>
  <c r="AI317" i="2"/>
  <c r="AD317" i="2"/>
  <c r="AF317" i="2"/>
  <c r="AH317" i="2"/>
  <c r="AE317" i="2"/>
  <c r="AB317" i="2"/>
  <c r="AK333" i="2"/>
  <c r="AG333" i="2"/>
  <c r="AC333" i="2"/>
  <c r="AI333" i="2"/>
  <c r="AD333" i="2"/>
  <c r="AF333" i="2"/>
  <c r="AH333" i="2"/>
  <c r="AE333" i="2"/>
  <c r="AB333" i="2"/>
  <c r="AJ354" i="2"/>
  <c r="AF354" i="2"/>
  <c r="AB354" i="2"/>
  <c r="AK354" i="2"/>
  <c r="AE354" i="2"/>
  <c r="AH354" i="2"/>
  <c r="AC354" i="2"/>
  <c r="AD354" i="2"/>
  <c r="AI354" i="2"/>
  <c r="AK424" i="2"/>
  <c r="AG424" i="2"/>
  <c r="AC424" i="2"/>
  <c r="AJ424" i="2"/>
  <c r="AE424" i="2"/>
  <c r="AI424" i="2"/>
  <c r="AB424" i="2"/>
  <c r="AF424" i="2"/>
  <c r="AD424" i="2"/>
  <c r="AH424" i="2"/>
  <c r="AI446" i="2"/>
  <c r="AE446" i="2"/>
  <c r="AG446" i="2"/>
  <c r="AB446" i="2"/>
  <c r="AJ446" i="2"/>
  <c r="AC446" i="2"/>
  <c r="AF446" i="2"/>
  <c r="AH446" i="2"/>
  <c r="AK446" i="2"/>
  <c r="AD446" i="2"/>
  <c r="AJ184" i="2"/>
  <c r="AF184" i="2"/>
  <c r="AB184" i="2"/>
  <c r="AI184" i="2"/>
  <c r="AE184" i="2"/>
  <c r="AH184" i="2"/>
  <c r="AD184" i="2"/>
  <c r="AC224" i="2"/>
  <c r="AH241" i="2"/>
  <c r="AK269" i="2"/>
  <c r="AG269" i="2"/>
  <c r="AC269" i="2"/>
  <c r="AF269" i="2"/>
  <c r="AI269" i="2"/>
  <c r="AD269" i="2"/>
  <c r="AH269" i="2"/>
  <c r="AE269" i="2"/>
  <c r="AB269" i="2"/>
  <c r="AJ293" i="2"/>
  <c r="AK309" i="2"/>
  <c r="AG309" i="2"/>
  <c r="AC309" i="2"/>
  <c r="AF309" i="2"/>
  <c r="AI309" i="2"/>
  <c r="AD309" i="2"/>
  <c r="AH309" i="2"/>
  <c r="AE309" i="2"/>
  <c r="AB309" i="2"/>
  <c r="AJ317" i="2"/>
  <c r="AK321" i="2"/>
  <c r="AG321" i="2"/>
  <c r="AC321" i="2"/>
  <c r="AI321" i="2"/>
  <c r="AD321" i="2"/>
  <c r="AF321" i="2"/>
  <c r="AH321" i="2"/>
  <c r="AE321" i="2"/>
  <c r="AB321" i="2"/>
  <c r="AK337" i="2"/>
  <c r="AG337" i="2"/>
  <c r="AC337" i="2"/>
  <c r="AI337" i="2"/>
  <c r="AD337" i="2"/>
  <c r="AF337" i="2"/>
  <c r="AH337" i="2"/>
  <c r="AE337" i="2"/>
  <c r="AB337" i="2"/>
  <c r="AJ342" i="2"/>
  <c r="AF342" i="2"/>
  <c r="AB342" i="2"/>
  <c r="AH342" i="2"/>
  <c r="AC342" i="2"/>
  <c r="AK342" i="2"/>
  <c r="AE342" i="2"/>
  <c r="AD342" i="2"/>
  <c r="AI342" i="2"/>
  <c r="AG354" i="2"/>
  <c r="AI379" i="2"/>
  <c r="AE379" i="2"/>
  <c r="AJ379" i="2"/>
  <c r="AD379" i="2"/>
  <c r="AG379" i="2"/>
  <c r="AB379" i="2"/>
  <c r="AC379" i="2"/>
  <c r="AH379" i="2"/>
  <c r="AK379" i="2"/>
  <c r="AF379" i="2"/>
  <c r="AI434" i="2"/>
  <c r="AE434" i="2"/>
  <c r="AG434" i="2"/>
  <c r="AB434" i="2"/>
  <c r="AJ434" i="2"/>
  <c r="AC434" i="2"/>
  <c r="AF434" i="2"/>
  <c r="AD434" i="2"/>
  <c r="AK434" i="2"/>
  <c r="AH434" i="2"/>
  <c r="AC184" i="2"/>
  <c r="AI198" i="2"/>
  <c r="AE198" i="2"/>
  <c r="AH198" i="2"/>
  <c r="AD198" i="2"/>
  <c r="AK198" i="2"/>
  <c r="AG198" i="2"/>
  <c r="AC198" i="2"/>
  <c r="AJ201" i="2"/>
  <c r="AF201" i="2"/>
  <c r="AB201" i="2"/>
  <c r="AI201" i="2"/>
  <c r="AE201" i="2"/>
  <c r="AH201" i="2"/>
  <c r="AD201" i="2"/>
  <c r="AI206" i="2"/>
  <c r="AE206" i="2"/>
  <c r="AH206" i="2"/>
  <c r="AD206" i="2"/>
  <c r="AK206" i="2"/>
  <c r="AG206" i="2"/>
  <c r="AC206" i="2"/>
  <c r="AJ209" i="2"/>
  <c r="AF209" i="2"/>
  <c r="AB209" i="2"/>
  <c r="AI209" i="2"/>
  <c r="AE209" i="2"/>
  <c r="AH209" i="2"/>
  <c r="AD209" i="2"/>
  <c r="AI233" i="2"/>
  <c r="AE233" i="2"/>
  <c r="AK233" i="2"/>
  <c r="AG233" i="2"/>
  <c r="AC233" i="2"/>
  <c r="AF233" i="2"/>
  <c r="AD233" i="2"/>
  <c r="AJ233" i="2"/>
  <c r="AB233" i="2"/>
  <c r="AI237" i="2"/>
  <c r="AE237" i="2"/>
  <c r="AK237" i="2"/>
  <c r="AG237" i="2"/>
  <c r="AC237" i="2"/>
  <c r="AF237" i="2"/>
  <c r="AD237" i="2"/>
  <c r="AJ237" i="2"/>
  <c r="AB237" i="2"/>
  <c r="AI253" i="2"/>
  <c r="AE253" i="2"/>
  <c r="AK253" i="2"/>
  <c r="AG253" i="2"/>
  <c r="AC253" i="2"/>
  <c r="AF253" i="2"/>
  <c r="AD253" i="2"/>
  <c r="AJ253" i="2"/>
  <c r="AB253" i="2"/>
  <c r="AI257" i="2"/>
  <c r="AE257" i="2"/>
  <c r="AJ257" i="2"/>
  <c r="AD257" i="2"/>
  <c r="AG257" i="2"/>
  <c r="AB257" i="2"/>
  <c r="AF257" i="2"/>
  <c r="AC257" i="2"/>
  <c r="AK257" i="2"/>
  <c r="AJ269" i="2"/>
  <c r="AK289" i="2"/>
  <c r="AG289" i="2"/>
  <c r="AC289" i="2"/>
  <c r="AF289" i="2"/>
  <c r="AI289" i="2"/>
  <c r="AD289" i="2"/>
  <c r="AH289" i="2"/>
  <c r="AE289" i="2"/>
  <c r="AB289" i="2"/>
  <c r="AK297" i="2"/>
  <c r="AG297" i="2"/>
  <c r="AC297" i="2"/>
  <c r="AF297" i="2"/>
  <c r="AI297" i="2"/>
  <c r="AD297" i="2"/>
  <c r="AH297" i="2"/>
  <c r="AE297" i="2"/>
  <c r="AB297" i="2"/>
  <c r="AJ309" i="2"/>
  <c r="AJ321" i="2"/>
  <c r="AK325" i="2"/>
  <c r="AG325" i="2"/>
  <c r="AC325" i="2"/>
  <c r="AI325" i="2"/>
  <c r="AD325" i="2"/>
  <c r="AF325" i="2"/>
  <c r="AH325" i="2"/>
  <c r="AE325" i="2"/>
  <c r="AB325" i="2"/>
  <c r="AJ330" i="2"/>
  <c r="AF330" i="2"/>
  <c r="AB330" i="2"/>
  <c r="AH330" i="2"/>
  <c r="AC330" i="2"/>
  <c r="AK330" i="2"/>
  <c r="AE330" i="2"/>
  <c r="AD330" i="2"/>
  <c r="AI330" i="2"/>
  <c r="AJ337" i="2"/>
  <c r="AK341" i="2"/>
  <c r="AG341" i="2"/>
  <c r="AC341" i="2"/>
  <c r="AI341" i="2"/>
  <c r="AD341" i="2"/>
  <c r="AF341" i="2"/>
  <c r="AH341" i="2"/>
  <c r="AE341" i="2"/>
  <c r="AB341" i="2"/>
  <c r="AG342" i="2"/>
  <c r="AJ346" i="2"/>
  <c r="AF346" i="2"/>
  <c r="AB346" i="2"/>
  <c r="AH346" i="2"/>
  <c r="AC346" i="2"/>
  <c r="AK346" i="2"/>
  <c r="AE346" i="2"/>
  <c r="AD346" i="2"/>
  <c r="AI346" i="2"/>
  <c r="AJ362" i="2"/>
  <c r="AF362" i="2"/>
  <c r="AB362" i="2"/>
  <c r="AH362" i="2"/>
  <c r="AC362" i="2"/>
  <c r="AK362" i="2"/>
  <c r="AE362" i="2"/>
  <c r="AD362" i="2"/>
  <c r="AI362" i="2"/>
  <c r="AH392" i="2"/>
  <c r="AD392" i="2"/>
  <c r="AJ392" i="2"/>
  <c r="AE392" i="2"/>
  <c r="AG392" i="2"/>
  <c r="AB392" i="2"/>
  <c r="AF392" i="2"/>
  <c r="AK392" i="2"/>
  <c r="AI392" i="2"/>
  <c r="AC392" i="2"/>
  <c r="AJ463" i="2"/>
  <c r="AF463" i="2"/>
  <c r="AB463" i="2"/>
  <c r="AH463" i="2"/>
  <c r="AC463" i="2"/>
  <c r="AG463" i="2"/>
  <c r="AK463" i="2"/>
  <c r="AD463" i="2"/>
  <c r="AE463" i="2"/>
  <c r="AI463" i="2"/>
  <c r="AK474" i="2"/>
  <c r="AG474" i="2"/>
  <c r="AC474" i="2"/>
  <c r="AI474" i="2"/>
  <c r="AD474" i="2"/>
  <c r="AJ474" i="2"/>
  <c r="AB474" i="2"/>
  <c r="AF474" i="2"/>
  <c r="AE474" i="2"/>
  <c r="AH474" i="2"/>
  <c r="AK503" i="2"/>
  <c r="AG503" i="2"/>
  <c r="AC503" i="2"/>
  <c r="AF503" i="2"/>
  <c r="AJ503" i="2"/>
  <c r="AD503" i="2"/>
  <c r="AI503" i="2"/>
  <c r="AB503" i="2"/>
  <c r="AH503" i="2"/>
  <c r="AE503" i="2"/>
  <c r="AI249" i="2"/>
  <c r="AE249" i="2"/>
  <c r="AK249" i="2"/>
  <c r="AG249" i="2"/>
  <c r="AC249" i="2"/>
  <c r="AF249" i="2"/>
  <c r="AD249" i="2"/>
  <c r="AJ249" i="2"/>
  <c r="AB249" i="2"/>
  <c r="AK301" i="2"/>
  <c r="AG301" i="2"/>
  <c r="AC301" i="2"/>
  <c r="AF301" i="2"/>
  <c r="AI301" i="2"/>
  <c r="AD301" i="2"/>
  <c r="AH301" i="2"/>
  <c r="AE301" i="2"/>
  <c r="AB301" i="2"/>
  <c r="AK305" i="2"/>
  <c r="AG305" i="2"/>
  <c r="AC305" i="2"/>
  <c r="AF305" i="2"/>
  <c r="AI305" i="2"/>
  <c r="AD305" i="2"/>
  <c r="AH305" i="2"/>
  <c r="AE305" i="2"/>
  <c r="AB305" i="2"/>
  <c r="AJ310" i="2"/>
  <c r="AF310" i="2"/>
  <c r="AB310" i="2"/>
  <c r="AK310" i="2"/>
  <c r="AE310" i="2"/>
  <c r="AH310" i="2"/>
  <c r="AC310" i="2"/>
  <c r="AD310" i="2"/>
  <c r="AI310" i="2"/>
  <c r="AJ322" i="2"/>
  <c r="AF322" i="2"/>
  <c r="AB322" i="2"/>
  <c r="AH322" i="2"/>
  <c r="AC322" i="2"/>
  <c r="AK322" i="2"/>
  <c r="AE322" i="2"/>
  <c r="AD322" i="2"/>
  <c r="AI322" i="2"/>
  <c r="AJ338" i="2"/>
  <c r="AF338" i="2"/>
  <c r="AB338" i="2"/>
  <c r="AH338" i="2"/>
  <c r="AC338" i="2"/>
  <c r="AK338" i="2"/>
  <c r="AE338" i="2"/>
  <c r="AD338" i="2"/>
  <c r="AI338" i="2"/>
  <c r="AK365" i="2"/>
  <c r="AG365" i="2"/>
  <c r="AC365" i="2"/>
  <c r="AI365" i="2"/>
  <c r="AD365" i="2"/>
  <c r="AF365" i="2"/>
  <c r="AH365" i="2"/>
  <c r="AE365" i="2"/>
  <c r="AB365" i="2"/>
  <c r="AH427" i="2"/>
  <c r="AD427" i="2"/>
  <c r="AJ427" i="2"/>
  <c r="AE427" i="2"/>
  <c r="AG427" i="2"/>
  <c r="AK427" i="2"/>
  <c r="AC427" i="2"/>
  <c r="AI427" i="2"/>
  <c r="AB427" i="2"/>
  <c r="AF427" i="2"/>
  <c r="AI189" i="2"/>
  <c r="AE189" i="2"/>
  <c r="AH189" i="2"/>
  <c r="AD189" i="2"/>
  <c r="AK189" i="2"/>
  <c r="AG189" i="2"/>
  <c r="AC189" i="2"/>
  <c r="AH250" i="2"/>
  <c r="AD250" i="2"/>
  <c r="AJ250" i="2"/>
  <c r="AF250" i="2"/>
  <c r="AB250" i="2"/>
  <c r="AG250" i="2"/>
  <c r="AE250" i="2"/>
  <c r="AK250" i="2"/>
  <c r="AC250" i="2"/>
  <c r="AK277" i="2"/>
  <c r="AG277" i="2"/>
  <c r="AC277" i="2"/>
  <c r="AI277" i="2"/>
  <c r="AD277" i="2"/>
  <c r="AF277" i="2"/>
  <c r="AH277" i="2"/>
  <c r="AE277" i="2"/>
  <c r="AB277" i="2"/>
  <c r="AJ305" i="2"/>
  <c r="AG310" i="2"/>
  <c r="AJ326" i="2"/>
  <c r="AF326" i="2"/>
  <c r="AB326" i="2"/>
  <c r="AH326" i="2"/>
  <c r="AC326" i="2"/>
  <c r="AK326" i="2"/>
  <c r="AE326" i="2"/>
  <c r="AD326" i="2"/>
  <c r="AI326" i="2"/>
  <c r="AJ333" i="2"/>
  <c r="AG338" i="2"/>
  <c r="AK353" i="2"/>
  <c r="AG353" i="2"/>
  <c r="AC353" i="2"/>
  <c r="AF353" i="2"/>
  <c r="AI353" i="2"/>
  <c r="AD353" i="2"/>
  <c r="AH353" i="2"/>
  <c r="AE353" i="2"/>
  <c r="AB353" i="2"/>
  <c r="AJ370" i="2"/>
  <c r="AF370" i="2"/>
  <c r="AB370" i="2"/>
  <c r="AI370" i="2"/>
  <c r="AD370" i="2"/>
  <c r="AG370" i="2"/>
  <c r="AH370" i="2"/>
  <c r="AC370" i="2"/>
  <c r="AK370" i="2"/>
  <c r="AE370" i="2"/>
  <c r="AI391" i="2"/>
  <c r="AE391" i="2"/>
  <c r="AJ391" i="2"/>
  <c r="AD391" i="2"/>
  <c r="AG391" i="2"/>
  <c r="AB391" i="2"/>
  <c r="AF391" i="2"/>
  <c r="AK391" i="2"/>
  <c r="AH391" i="2"/>
  <c r="AC391" i="2"/>
  <c r="AK407" i="2"/>
  <c r="AG407" i="2"/>
  <c r="AC407" i="2"/>
  <c r="AH407" i="2"/>
  <c r="AB407" i="2"/>
  <c r="AJ407" i="2"/>
  <c r="AD407" i="2"/>
  <c r="AF407" i="2"/>
  <c r="AE407" i="2"/>
  <c r="AI407" i="2"/>
  <c r="AK436" i="2"/>
  <c r="AG436" i="2"/>
  <c r="AC436" i="2"/>
  <c r="AH436" i="2"/>
  <c r="AB436" i="2"/>
  <c r="AJ436" i="2"/>
  <c r="AD436" i="2"/>
  <c r="AF436" i="2"/>
  <c r="AE436" i="2"/>
  <c r="AI436" i="2"/>
  <c r="AW192" i="2"/>
  <c r="AI44" i="2"/>
  <c r="AE44" i="2"/>
  <c r="AK44" i="2"/>
  <c r="AG44" i="2"/>
  <c r="AC44" i="2"/>
  <c r="AH44" i="2"/>
  <c r="AH45" i="2"/>
  <c r="AD45" i="2"/>
  <c r="AJ45" i="2"/>
  <c r="AF45" i="2"/>
  <c r="AB45" i="2"/>
  <c r="AI45" i="2"/>
  <c r="AI48" i="2"/>
  <c r="AE48" i="2"/>
  <c r="AK48" i="2"/>
  <c r="AG48" i="2"/>
  <c r="AC48" i="2"/>
  <c r="AH48" i="2"/>
  <c r="AH49" i="2"/>
  <c r="AD49" i="2"/>
  <c r="AJ49" i="2"/>
  <c r="AF49" i="2"/>
  <c r="AB49" i="2"/>
  <c r="AI49" i="2"/>
  <c r="AI52" i="2"/>
  <c r="AE52" i="2"/>
  <c r="AK52" i="2"/>
  <c r="AG52" i="2"/>
  <c r="AC52" i="2"/>
  <c r="AH52" i="2"/>
  <c r="AH53" i="2"/>
  <c r="AD53" i="2"/>
  <c r="AJ53" i="2"/>
  <c r="AF53" i="2"/>
  <c r="AB53" i="2"/>
  <c r="AI53" i="2"/>
  <c r="AI56" i="2"/>
  <c r="AE56" i="2"/>
  <c r="AK56" i="2"/>
  <c r="AG56" i="2"/>
  <c r="AC56" i="2"/>
  <c r="AH56" i="2"/>
  <c r="AH57" i="2"/>
  <c r="AD57" i="2"/>
  <c r="AJ57" i="2"/>
  <c r="AF57" i="2"/>
  <c r="AB57" i="2"/>
  <c r="AI57" i="2"/>
  <c r="AI60" i="2"/>
  <c r="AE60" i="2"/>
  <c r="AK60" i="2"/>
  <c r="AG60" i="2"/>
  <c r="AC60" i="2"/>
  <c r="AH60" i="2"/>
  <c r="AH61" i="2"/>
  <c r="AD61" i="2"/>
  <c r="AJ61" i="2"/>
  <c r="AF61" i="2"/>
  <c r="AB61" i="2"/>
  <c r="AI61" i="2"/>
  <c r="AI64" i="2"/>
  <c r="AE64" i="2"/>
  <c r="AK64" i="2"/>
  <c r="AG64" i="2"/>
  <c r="AC64" i="2"/>
  <c r="AH64" i="2"/>
  <c r="AH65" i="2"/>
  <c r="AD65" i="2"/>
  <c r="AJ65" i="2"/>
  <c r="AF65" i="2"/>
  <c r="AB65" i="2"/>
  <c r="AI65" i="2"/>
  <c r="AI68" i="2"/>
  <c r="AE68" i="2"/>
  <c r="AK68" i="2"/>
  <c r="AG68" i="2"/>
  <c r="AC68" i="2"/>
  <c r="AH68" i="2"/>
  <c r="AH69" i="2"/>
  <c r="AD69" i="2"/>
  <c r="AJ69" i="2"/>
  <c r="AF69" i="2"/>
  <c r="AB69" i="2"/>
  <c r="AI69" i="2"/>
  <c r="AI76" i="2"/>
  <c r="AE76" i="2"/>
  <c r="AK76" i="2"/>
  <c r="AG76" i="2"/>
  <c r="AC76" i="2"/>
  <c r="AH76" i="2"/>
  <c r="AH77" i="2"/>
  <c r="AD77" i="2"/>
  <c r="AJ77" i="2"/>
  <c r="AF77" i="2"/>
  <c r="AB77" i="2"/>
  <c r="AI77" i="2"/>
  <c r="AI80" i="2"/>
  <c r="AE80" i="2"/>
  <c r="AK80" i="2"/>
  <c r="AG80" i="2"/>
  <c r="AC80" i="2"/>
  <c r="AH80" i="2"/>
  <c r="AH81" i="2"/>
  <c r="AD81" i="2"/>
  <c r="AJ81" i="2"/>
  <c r="AF81" i="2"/>
  <c r="AB81" i="2"/>
  <c r="AI81" i="2"/>
  <c r="AI84" i="2"/>
  <c r="AE84" i="2"/>
  <c r="AK84" i="2"/>
  <c r="AG84" i="2"/>
  <c r="AC84" i="2"/>
  <c r="AH84" i="2"/>
  <c r="AH85" i="2"/>
  <c r="AD85" i="2"/>
  <c r="AJ85" i="2"/>
  <c r="AF85" i="2"/>
  <c r="AB85" i="2"/>
  <c r="AI85" i="2"/>
  <c r="AI88" i="2"/>
  <c r="AE88" i="2"/>
  <c r="AK88" i="2"/>
  <c r="AG88" i="2"/>
  <c r="AC88" i="2"/>
  <c r="AH88" i="2"/>
  <c r="AH89" i="2"/>
  <c r="AD89" i="2"/>
  <c r="AJ89" i="2"/>
  <c r="AF89" i="2"/>
  <c r="AB89" i="2"/>
  <c r="AI89" i="2"/>
  <c r="AI92" i="2"/>
  <c r="AE92" i="2"/>
  <c r="AK92" i="2"/>
  <c r="AG92" i="2"/>
  <c r="AC92" i="2"/>
  <c r="AH92" i="2"/>
  <c r="AH97" i="2"/>
  <c r="AD97" i="2"/>
  <c r="AJ97" i="2"/>
  <c r="AF97" i="2"/>
  <c r="AB97" i="2"/>
  <c r="AI97" i="2"/>
  <c r="AI100" i="2"/>
  <c r="AE100" i="2"/>
  <c r="AK100" i="2"/>
  <c r="AG100" i="2"/>
  <c r="AC100" i="2"/>
  <c r="AH100" i="2"/>
  <c r="AH101" i="2"/>
  <c r="AD101" i="2"/>
  <c r="AJ101" i="2"/>
  <c r="AF101" i="2"/>
  <c r="AB101" i="2"/>
  <c r="AI101" i="2"/>
  <c r="AI104" i="2"/>
  <c r="AE104" i="2"/>
  <c r="AK104" i="2"/>
  <c r="AG104" i="2"/>
  <c r="AC104" i="2"/>
  <c r="AH104" i="2"/>
  <c r="AH105" i="2"/>
  <c r="AD105" i="2"/>
  <c r="AJ105" i="2"/>
  <c r="AF105" i="2"/>
  <c r="AB105" i="2"/>
  <c r="AI105" i="2"/>
  <c r="AK183" i="2"/>
  <c r="AG183" i="2"/>
  <c r="AC183" i="2"/>
  <c r="AJ183" i="2"/>
  <c r="AF183" i="2"/>
  <c r="AB183" i="2"/>
  <c r="AI183" i="2"/>
  <c r="AE183" i="2"/>
  <c r="AG184" i="2"/>
  <c r="AI185" i="2"/>
  <c r="AE185" i="2"/>
  <c r="AH185" i="2"/>
  <c r="AD185" i="2"/>
  <c r="AK185" i="2"/>
  <c r="AG185" i="2"/>
  <c r="AC185" i="2"/>
  <c r="AH186" i="2"/>
  <c r="AD186" i="2"/>
  <c r="AK186" i="2"/>
  <c r="AG186" i="2"/>
  <c r="AC186" i="2"/>
  <c r="AJ186" i="2"/>
  <c r="AF186" i="2"/>
  <c r="AB186" i="2"/>
  <c r="AJ188" i="2"/>
  <c r="AF188" i="2"/>
  <c r="AB188" i="2"/>
  <c r="AI188" i="2"/>
  <c r="AE188" i="2"/>
  <c r="AH188" i="2"/>
  <c r="AD188" i="2"/>
  <c r="AF189" i="2"/>
  <c r="AB216" i="2"/>
  <c r="AF220" i="2"/>
  <c r="AH233" i="2"/>
  <c r="AH234" i="2"/>
  <c r="AD234" i="2"/>
  <c r="AJ234" i="2"/>
  <c r="AF234" i="2"/>
  <c r="AB234" i="2"/>
  <c r="AG234" i="2"/>
  <c r="AE234" i="2"/>
  <c r="AK234" i="2"/>
  <c r="AC234" i="2"/>
  <c r="AH237" i="2"/>
  <c r="AH238" i="2"/>
  <c r="AD238" i="2"/>
  <c r="AJ238" i="2"/>
  <c r="AF238" i="2"/>
  <c r="AB238" i="2"/>
  <c r="AG238" i="2"/>
  <c r="AE238" i="2"/>
  <c r="AK238" i="2"/>
  <c r="AC238" i="2"/>
  <c r="AH246" i="2"/>
  <c r="AD246" i="2"/>
  <c r="AJ246" i="2"/>
  <c r="AF246" i="2"/>
  <c r="AB246" i="2"/>
  <c r="AG246" i="2"/>
  <c r="AE246" i="2"/>
  <c r="AK246" i="2"/>
  <c r="AC246" i="2"/>
  <c r="AH253" i="2"/>
  <c r="AH254" i="2"/>
  <c r="AD254" i="2"/>
  <c r="AJ254" i="2"/>
  <c r="AF254" i="2"/>
  <c r="AB254" i="2"/>
  <c r="AG254" i="2"/>
  <c r="AE254" i="2"/>
  <c r="AK254" i="2"/>
  <c r="AC254" i="2"/>
  <c r="AH257" i="2"/>
  <c r="AK281" i="2"/>
  <c r="AG281" i="2"/>
  <c r="AC281" i="2"/>
  <c r="AI281" i="2"/>
  <c r="AD281" i="2"/>
  <c r="AF281" i="2"/>
  <c r="AH281" i="2"/>
  <c r="AE281" i="2"/>
  <c r="AB281" i="2"/>
  <c r="AJ289" i="2"/>
  <c r="AJ297" i="2"/>
  <c r="AJ302" i="2"/>
  <c r="AF302" i="2"/>
  <c r="AB302" i="2"/>
  <c r="AK302" i="2"/>
  <c r="AE302" i="2"/>
  <c r="AH302" i="2"/>
  <c r="AC302" i="2"/>
  <c r="AD302" i="2"/>
  <c r="AI302" i="2"/>
  <c r="AJ306" i="2"/>
  <c r="AF306" i="2"/>
  <c r="AB306" i="2"/>
  <c r="AK306" i="2"/>
  <c r="AE306" i="2"/>
  <c r="AH306" i="2"/>
  <c r="AC306" i="2"/>
  <c r="AD306" i="2"/>
  <c r="AI306" i="2"/>
  <c r="AJ318" i="2"/>
  <c r="AF318" i="2"/>
  <c r="AB318" i="2"/>
  <c r="AH318" i="2"/>
  <c r="AC318" i="2"/>
  <c r="AK318" i="2"/>
  <c r="AE318" i="2"/>
  <c r="AD318" i="2"/>
  <c r="AI318" i="2"/>
  <c r="AK329" i="2"/>
  <c r="AG329" i="2"/>
  <c r="AC329" i="2"/>
  <c r="AI329" i="2"/>
  <c r="AD329" i="2"/>
  <c r="AF329" i="2"/>
  <c r="AH329" i="2"/>
  <c r="AE329" i="2"/>
  <c r="AB329" i="2"/>
  <c r="AJ334" i="2"/>
  <c r="AF334" i="2"/>
  <c r="AB334" i="2"/>
  <c r="AH334" i="2"/>
  <c r="AC334" i="2"/>
  <c r="AK334" i="2"/>
  <c r="AE334" i="2"/>
  <c r="AD334" i="2"/>
  <c r="AI334" i="2"/>
  <c r="AK345" i="2"/>
  <c r="AG345" i="2"/>
  <c r="AC345" i="2"/>
  <c r="AI345" i="2"/>
  <c r="AD345" i="2"/>
  <c r="AF345" i="2"/>
  <c r="AH345" i="2"/>
  <c r="AE345" i="2"/>
  <c r="AB345" i="2"/>
  <c r="AG346" i="2"/>
  <c r="AK361" i="2"/>
  <c r="AG361" i="2"/>
  <c r="AC361" i="2"/>
  <c r="AI361" i="2"/>
  <c r="AD361" i="2"/>
  <c r="AF361" i="2"/>
  <c r="AH361" i="2"/>
  <c r="AE361" i="2"/>
  <c r="AB361" i="2"/>
  <c r="AJ366" i="2"/>
  <c r="AF366" i="2"/>
  <c r="AB366" i="2"/>
  <c r="AH366" i="2"/>
  <c r="AC366" i="2"/>
  <c r="AK366" i="2"/>
  <c r="AE366" i="2"/>
  <c r="AD366" i="2"/>
  <c r="AI366" i="2"/>
  <c r="AI387" i="2"/>
  <c r="AE387" i="2"/>
  <c r="AJ387" i="2"/>
  <c r="AD387" i="2"/>
  <c r="AG387" i="2"/>
  <c r="AB387" i="2"/>
  <c r="AH387" i="2"/>
  <c r="AC387" i="2"/>
  <c r="AK387" i="2"/>
  <c r="AF387" i="2"/>
  <c r="AH400" i="2"/>
  <c r="AD400" i="2"/>
  <c r="AG400" i="2"/>
  <c r="AB400" i="2"/>
  <c r="AJ400" i="2"/>
  <c r="AC400" i="2"/>
  <c r="AF400" i="2"/>
  <c r="AI400" i="2"/>
  <c r="AK400" i="2"/>
  <c r="AE400" i="2"/>
  <c r="AH406" i="2"/>
  <c r="AD406" i="2"/>
  <c r="AG406" i="2"/>
  <c r="AB406" i="2"/>
  <c r="AJ406" i="2"/>
  <c r="AC406" i="2"/>
  <c r="AF406" i="2"/>
  <c r="AK406" i="2"/>
  <c r="AE406" i="2"/>
  <c r="AI406" i="2"/>
  <c r="AI409" i="2"/>
  <c r="AE409" i="2"/>
  <c r="AG409" i="2"/>
  <c r="AB409" i="2"/>
  <c r="AJ409" i="2"/>
  <c r="AC409" i="2"/>
  <c r="AF409" i="2"/>
  <c r="AH409" i="2"/>
  <c r="AK409" i="2"/>
  <c r="AD409" i="2"/>
  <c r="AJ433" i="2"/>
  <c r="AF433" i="2"/>
  <c r="AB433" i="2"/>
  <c r="AG433" i="2"/>
  <c r="AI433" i="2"/>
  <c r="AC433" i="2"/>
  <c r="AE433" i="2"/>
  <c r="AK433" i="2"/>
  <c r="AD433" i="2"/>
  <c r="AH433" i="2"/>
  <c r="AH435" i="2"/>
  <c r="AD435" i="2"/>
  <c r="AG435" i="2"/>
  <c r="AB435" i="2"/>
  <c r="AJ435" i="2"/>
  <c r="AC435" i="2"/>
  <c r="AF435" i="2"/>
  <c r="AK435" i="2"/>
  <c r="AE435" i="2"/>
  <c r="AI435" i="2"/>
  <c r="AI438" i="2"/>
  <c r="AE438" i="2"/>
  <c r="AG438" i="2"/>
  <c r="AB438" i="2"/>
  <c r="AJ438" i="2"/>
  <c r="AC438" i="2"/>
  <c r="AF438" i="2"/>
  <c r="AH438" i="2"/>
  <c r="AK438" i="2"/>
  <c r="AD438" i="2"/>
  <c r="AK470" i="2"/>
  <c r="AG470" i="2"/>
  <c r="AC470" i="2"/>
  <c r="AI470" i="2"/>
  <c r="AD470" i="2"/>
  <c r="AJ470" i="2"/>
  <c r="AB470" i="2"/>
  <c r="AF470" i="2"/>
  <c r="AE470" i="2"/>
  <c r="AH470" i="2"/>
  <c r="AM14" i="2"/>
  <c r="AM18" i="2"/>
  <c r="AM22" i="2"/>
  <c r="AM26" i="2"/>
  <c r="AM30" i="2"/>
  <c r="AM34" i="2"/>
  <c r="AM38" i="2"/>
  <c r="AM42" i="2"/>
  <c r="AM46" i="2"/>
  <c r="AM50" i="2"/>
  <c r="AM54" i="2"/>
  <c r="AM58" i="2"/>
  <c r="AM62" i="2"/>
  <c r="AM66" i="2"/>
  <c r="AM70" i="2"/>
  <c r="AM74" i="2"/>
  <c r="AM78" i="2"/>
  <c r="AM82" i="2"/>
  <c r="AM86" i="2"/>
  <c r="AM90" i="2"/>
  <c r="AM98" i="2"/>
  <c r="AM102" i="2"/>
  <c r="AM106" i="2"/>
  <c r="AM112" i="2"/>
  <c r="AM114" i="2"/>
  <c r="AM116" i="2"/>
  <c r="AM123" i="2"/>
  <c r="AM127" i="2"/>
  <c r="AM131" i="2"/>
  <c r="AM135" i="2"/>
  <c r="AM139" i="2"/>
  <c r="AM143" i="2"/>
  <c r="AM151" i="2"/>
  <c r="AM155" i="2"/>
  <c r="AM159" i="2"/>
  <c r="AM167" i="2"/>
  <c r="AM171" i="2"/>
  <c r="AM179" i="2"/>
  <c r="AM183" i="2"/>
  <c r="AM187" i="2"/>
  <c r="AM196" i="2"/>
  <c r="AM200" i="2"/>
  <c r="AM204" i="2"/>
  <c r="AM208" i="2"/>
  <c r="AM213" i="2"/>
  <c r="AM220" i="2"/>
  <c r="AJ256" i="2"/>
  <c r="AF256" i="2"/>
  <c r="AB256" i="2"/>
  <c r="AI256" i="2"/>
  <c r="AD256" i="2"/>
  <c r="AG256" i="2"/>
  <c r="AK256" i="2"/>
  <c r="AM265" i="2"/>
  <c r="AE268" i="2"/>
  <c r="AM269" i="2"/>
  <c r="AE276" i="2"/>
  <c r="AM277" i="2"/>
  <c r="AE280" i="2"/>
  <c r="AM281" i="2"/>
  <c r="AM285" i="2"/>
  <c r="AE288" i="2"/>
  <c r="AM289" i="2"/>
  <c r="AE292" i="2"/>
  <c r="AM293" i="2"/>
  <c r="AE296" i="2"/>
  <c r="AM297" i="2"/>
  <c r="AE300" i="2"/>
  <c r="AM301" i="2"/>
  <c r="AE304" i="2"/>
  <c r="AM305" i="2"/>
  <c r="AE308" i="2"/>
  <c r="AM309" i="2"/>
  <c r="AE316" i="2"/>
  <c r="AM317" i="2"/>
  <c r="AE320" i="2"/>
  <c r="AM321" i="2"/>
  <c r="AE324" i="2"/>
  <c r="AM325" i="2"/>
  <c r="AE328" i="2"/>
  <c r="AM329" i="2"/>
  <c r="AE332" i="2"/>
  <c r="AM333" i="2"/>
  <c r="AE336" i="2"/>
  <c r="AM337" i="2"/>
  <c r="AE340" i="2"/>
  <c r="AM341" i="2"/>
  <c r="AE344" i="2"/>
  <c r="AM345" i="2"/>
  <c r="AE348" i="2"/>
  <c r="AM353" i="2"/>
  <c r="AE356" i="2"/>
  <c r="AM361" i="2"/>
  <c r="AE364" i="2"/>
  <c r="AM365" i="2"/>
  <c r="AE368" i="2"/>
  <c r="AI371" i="2"/>
  <c r="AE371" i="2"/>
  <c r="AJ371" i="2"/>
  <c r="AD371" i="2"/>
  <c r="AG371" i="2"/>
  <c r="AB371" i="2"/>
  <c r="AH371" i="2"/>
  <c r="AC371" i="2"/>
  <c r="AI375" i="2"/>
  <c r="AE375" i="2"/>
  <c r="AJ375" i="2"/>
  <c r="AD375" i="2"/>
  <c r="AG375" i="2"/>
  <c r="AB375" i="2"/>
  <c r="AF375" i="2"/>
  <c r="AK375" i="2"/>
  <c r="AH376" i="2"/>
  <c r="AD376" i="2"/>
  <c r="AJ376" i="2"/>
  <c r="AE376" i="2"/>
  <c r="AG376" i="2"/>
  <c r="AB376" i="2"/>
  <c r="AF376" i="2"/>
  <c r="AK376" i="2"/>
  <c r="AK377" i="2"/>
  <c r="AG377" i="2"/>
  <c r="AC377" i="2"/>
  <c r="AJ377" i="2"/>
  <c r="AE377" i="2"/>
  <c r="AH377" i="2"/>
  <c r="AB377" i="2"/>
  <c r="AF377" i="2"/>
  <c r="AH380" i="2"/>
  <c r="AD380" i="2"/>
  <c r="AJ380" i="2"/>
  <c r="AE380" i="2"/>
  <c r="AG380" i="2"/>
  <c r="AB380" i="2"/>
  <c r="AC380" i="2"/>
  <c r="AI380" i="2"/>
  <c r="AI383" i="2"/>
  <c r="AE383" i="2"/>
  <c r="AJ383" i="2"/>
  <c r="AD383" i="2"/>
  <c r="AG383" i="2"/>
  <c r="AB383" i="2"/>
  <c r="AK383" i="2"/>
  <c r="AF383" i="2"/>
  <c r="AH384" i="2"/>
  <c r="AD384" i="2"/>
  <c r="AJ384" i="2"/>
  <c r="AE384" i="2"/>
  <c r="AG384" i="2"/>
  <c r="AB384" i="2"/>
  <c r="AK384" i="2"/>
  <c r="AF384" i="2"/>
  <c r="AK385" i="2"/>
  <c r="AG385" i="2"/>
  <c r="AC385" i="2"/>
  <c r="AJ385" i="2"/>
  <c r="AE385" i="2"/>
  <c r="AH385" i="2"/>
  <c r="AB385" i="2"/>
  <c r="AF385" i="2"/>
  <c r="AH388" i="2"/>
  <c r="AD388" i="2"/>
  <c r="AJ388" i="2"/>
  <c r="AE388" i="2"/>
  <c r="AG388" i="2"/>
  <c r="AB388" i="2"/>
  <c r="AI388" i="2"/>
  <c r="AC388" i="2"/>
  <c r="AI393" i="2"/>
  <c r="AE393" i="2"/>
  <c r="AG393" i="2"/>
  <c r="AB393" i="2"/>
  <c r="AJ393" i="2"/>
  <c r="AC393" i="2"/>
  <c r="AF393" i="2"/>
  <c r="AK393" i="2"/>
  <c r="AD393" i="2"/>
  <c r="AI399" i="2"/>
  <c r="AE399" i="2"/>
  <c r="AG399" i="2"/>
  <c r="AB399" i="2"/>
  <c r="AJ399" i="2"/>
  <c r="AC399" i="2"/>
  <c r="AF399" i="2"/>
  <c r="AH399" i="2"/>
  <c r="AI426" i="2"/>
  <c r="AE426" i="2"/>
  <c r="AJ426" i="2"/>
  <c r="AD426" i="2"/>
  <c r="AG426" i="2"/>
  <c r="AK426" i="2"/>
  <c r="AC426" i="2"/>
  <c r="AB426" i="2"/>
  <c r="AH426" i="2"/>
  <c r="AM428" i="2"/>
  <c r="AJ488" i="2"/>
  <c r="AF488" i="2"/>
  <c r="AB488" i="2"/>
  <c r="AH488" i="2"/>
  <c r="AC488" i="2"/>
  <c r="AK488" i="2"/>
  <c r="AD488" i="2"/>
  <c r="AG488" i="2"/>
  <c r="AE488" i="2"/>
  <c r="AI488" i="2"/>
  <c r="AI493" i="2"/>
  <c r="AE493" i="2"/>
  <c r="AH493" i="2"/>
  <c r="AC493" i="2"/>
  <c r="AJ493" i="2"/>
  <c r="AB493" i="2"/>
  <c r="AG493" i="2"/>
  <c r="AK493" i="2"/>
  <c r="AD493" i="2"/>
  <c r="AF493" i="2"/>
  <c r="AJ496" i="2"/>
  <c r="AF496" i="2"/>
  <c r="AB496" i="2"/>
  <c r="AH496" i="2"/>
  <c r="AC496" i="2"/>
  <c r="AK496" i="2"/>
  <c r="AD496" i="2"/>
  <c r="AI496" i="2"/>
  <c r="AE496" i="2"/>
  <c r="AG496" i="2"/>
  <c r="AH538" i="2"/>
  <c r="AD538" i="2"/>
  <c r="AK538" i="2"/>
  <c r="AF538" i="2"/>
  <c r="AI538" i="2"/>
  <c r="AB538" i="2"/>
  <c r="AG538" i="2"/>
  <c r="AJ538" i="2"/>
  <c r="AC538" i="2"/>
  <c r="AE538" i="2"/>
  <c r="AJ590" i="2"/>
  <c r="AF590" i="2"/>
  <c r="AB590" i="2"/>
  <c r="AI590" i="2"/>
  <c r="AE590" i="2"/>
  <c r="AK590" i="2"/>
  <c r="AC590" i="2"/>
  <c r="AH590" i="2"/>
  <c r="AG590" i="2"/>
  <c r="AD590" i="2"/>
  <c r="AM238" i="2"/>
  <c r="AK239" i="2"/>
  <c r="AG239" i="2"/>
  <c r="AC239" i="2"/>
  <c r="AI239" i="2"/>
  <c r="AE239" i="2"/>
  <c r="AH239" i="2"/>
  <c r="AJ240" i="2"/>
  <c r="AF240" i="2"/>
  <c r="AB240" i="2"/>
  <c r="AH240" i="2"/>
  <c r="AD240" i="2"/>
  <c r="AI240" i="2"/>
  <c r="AM246" i="2"/>
  <c r="AK247" i="2"/>
  <c r="AG247" i="2"/>
  <c r="AC247" i="2"/>
  <c r="AI247" i="2"/>
  <c r="AE247" i="2"/>
  <c r="AH247" i="2"/>
  <c r="AJ248" i="2"/>
  <c r="AF248" i="2"/>
  <c r="AB248" i="2"/>
  <c r="AH248" i="2"/>
  <c r="AD248" i="2"/>
  <c r="AI248" i="2"/>
  <c r="AM250" i="2"/>
  <c r="AK251" i="2"/>
  <c r="AG251" i="2"/>
  <c r="AC251" i="2"/>
  <c r="AI251" i="2"/>
  <c r="AE251" i="2"/>
  <c r="AH251" i="2"/>
  <c r="AJ252" i="2"/>
  <c r="AF252" i="2"/>
  <c r="AB252" i="2"/>
  <c r="AH252" i="2"/>
  <c r="AD252" i="2"/>
  <c r="AI252" i="2"/>
  <c r="AM254" i="2"/>
  <c r="AK255" i="2"/>
  <c r="AG255" i="2"/>
  <c r="AC255" i="2"/>
  <c r="AI255" i="2"/>
  <c r="AE255" i="2"/>
  <c r="AH255" i="2"/>
  <c r="AM256" i="2"/>
  <c r="AF266" i="2"/>
  <c r="AI267" i="2"/>
  <c r="AE267" i="2"/>
  <c r="AK267" i="2"/>
  <c r="AF267" i="2"/>
  <c r="AH267" i="2"/>
  <c r="AC267" i="2"/>
  <c r="AJ267" i="2"/>
  <c r="AJ270" i="2"/>
  <c r="AF270" i="2"/>
  <c r="AB270" i="2"/>
  <c r="AK270" i="2"/>
  <c r="AE270" i="2"/>
  <c r="AH270" i="2"/>
  <c r="AC270" i="2"/>
  <c r="AI275" i="2"/>
  <c r="AE275" i="2"/>
  <c r="AH275" i="2"/>
  <c r="AC275" i="2"/>
  <c r="AK275" i="2"/>
  <c r="AF275" i="2"/>
  <c r="AJ275" i="2"/>
  <c r="AJ278" i="2"/>
  <c r="AF278" i="2"/>
  <c r="AB278" i="2"/>
  <c r="AH278" i="2"/>
  <c r="AC278" i="2"/>
  <c r="AK278" i="2"/>
  <c r="AE278" i="2"/>
  <c r="AI279" i="2"/>
  <c r="AE279" i="2"/>
  <c r="AH279" i="2"/>
  <c r="AC279" i="2"/>
  <c r="AK279" i="2"/>
  <c r="AF279" i="2"/>
  <c r="AJ279" i="2"/>
  <c r="AJ286" i="2"/>
  <c r="AF286" i="2"/>
  <c r="AB286" i="2"/>
  <c r="AK286" i="2"/>
  <c r="AE286" i="2"/>
  <c r="AH286" i="2"/>
  <c r="AC286" i="2"/>
  <c r="AJ290" i="2"/>
  <c r="AF290" i="2"/>
  <c r="AB290" i="2"/>
  <c r="AK290" i="2"/>
  <c r="AE290" i="2"/>
  <c r="AH290" i="2"/>
  <c r="AC290" i="2"/>
  <c r="AI291" i="2"/>
  <c r="AE291" i="2"/>
  <c r="AK291" i="2"/>
  <c r="AF291" i="2"/>
  <c r="AH291" i="2"/>
  <c r="AC291" i="2"/>
  <c r="AJ291" i="2"/>
  <c r="AJ294" i="2"/>
  <c r="AF294" i="2"/>
  <c r="AB294" i="2"/>
  <c r="AK294" i="2"/>
  <c r="AE294" i="2"/>
  <c r="AH294" i="2"/>
  <c r="AC294" i="2"/>
  <c r="AI295" i="2"/>
  <c r="AE295" i="2"/>
  <c r="AK295" i="2"/>
  <c r="AF295" i="2"/>
  <c r="AH295" i="2"/>
  <c r="AC295" i="2"/>
  <c r="AJ295" i="2"/>
  <c r="AJ298" i="2"/>
  <c r="AF298" i="2"/>
  <c r="AB298" i="2"/>
  <c r="AK298" i="2"/>
  <c r="AE298" i="2"/>
  <c r="AH298" i="2"/>
  <c r="AC298" i="2"/>
  <c r="AI299" i="2"/>
  <c r="AE299" i="2"/>
  <c r="AK299" i="2"/>
  <c r="AF299" i="2"/>
  <c r="AH299" i="2"/>
  <c r="AC299" i="2"/>
  <c r="AJ299" i="2"/>
  <c r="AI303" i="2"/>
  <c r="AE303" i="2"/>
  <c r="AK303" i="2"/>
  <c r="AF303" i="2"/>
  <c r="AH303" i="2"/>
  <c r="AC303" i="2"/>
  <c r="AJ303" i="2"/>
  <c r="AI307" i="2"/>
  <c r="AE307" i="2"/>
  <c r="AK307" i="2"/>
  <c r="AF307" i="2"/>
  <c r="AH307" i="2"/>
  <c r="AC307" i="2"/>
  <c r="AJ307" i="2"/>
  <c r="AI315" i="2"/>
  <c r="AE315" i="2"/>
  <c r="AH315" i="2"/>
  <c r="AC315" i="2"/>
  <c r="AK315" i="2"/>
  <c r="AF315" i="2"/>
  <c r="AJ315" i="2"/>
  <c r="AI319" i="2"/>
  <c r="AE319" i="2"/>
  <c r="AH319" i="2"/>
  <c r="AC319" i="2"/>
  <c r="AK319" i="2"/>
  <c r="AF319" i="2"/>
  <c r="AJ319" i="2"/>
  <c r="AI323" i="2"/>
  <c r="AE323" i="2"/>
  <c r="AH323" i="2"/>
  <c r="AC323" i="2"/>
  <c r="AK323" i="2"/>
  <c r="AF323" i="2"/>
  <c r="AJ323" i="2"/>
  <c r="AI327" i="2"/>
  <c r="AE327" i="2"/>
  <c r="AH327" i="2"/>
  <c r="AC327" i="2"/>
  <c r="AK327" i="2"/>
  <c r="AF327" i="2"/>
  <c r="AJ327" i="2"/>
  <c r="AI331" i="2"/>
  <c r="AE331" i="2"/>
  <c r="AH331" i="2"/>
  <c r="AC331" i="2"/>
  <c r="AK331" i="2"/>
  <c r="AF331" i="2"/>
  <c r="AJ331" i="2"/>
  <c r="AI335" i="2"/>
  <c r="AE335" i="2"/>
  <c r="AH335" i="2"/>
  <c r="AC335" i="2"/>
  <c r="AK335" i="2"/>
  <c r="AF335" i="2"/>
  <c r="AJ335" i="2"/>
  <c r="AI339" i="2"/>
  <c r="AE339" i="2"/>
  <c r="AH339" i="2"/>
  <c r="AC339" i="2"/>
  <c r="AK339" i="2"/>
  <c r="AF339" i="2"/>
  <c r="AJ339" i="2"/>
  <c r="AI343" i="2"/>
  <c r="AE343" i="2"/>
  <c r="AH343" i="2"/>
  <c r="AC343" i="2"/>
  <c r="AK343" i="2"/>
  <c r="AF343" i="2"/>
  <c r="AJ343" i="2"/>
  <c r="AI347" i="2"/>
  <c r="AE347" i="2"/>
  <c r="AH347" i="2"/>
  <c r="AC347" i="2"/>
  <c r="AK347" i="2"/>
  <c r="AF347" i="2"/>
  <c r="AJ347" i="2"/>
  <c r="AI355" i="2"/>
  <c r="AE355" i="2"/>
  <c r="AK355" i="2"/>
  <c r="AF355" i="2"/>
  <c r="AH355" i="2"/>
  <c r="AC355" i="2"/>
  <c r="AJ355" i="2"/>
  <c r="AI363" i="2"/>
  <c r="AE363" i="2"/>
  <c r="AH363" i="2"/>
  <c r="AC363" i="2"/>
  <c r="AK363" i="2"/>
  <c r="AF363" i="2"/>
  <c r="AJ363" i="2"/>
  <c r="AI367" i="2"/>
  <c r="AE367" i="2"/>
  <c r="AH367" i="2"/>
  <c r="AC367" i="2"/>
  <c r="AK367" i="2"/>
  <c r="AF367" i="2"/>
  <c r="AJ367" i="2"/>
  <c r="AK369" i="2"/>
  <c r="AG369" i="2"/>
  <c r="AC369" i="2"/>
  <c r="AJ369" i="2"/>
  <c r="AE369" i="2"/>
  <c r="AH369" i="2"/>
  <c r="AB369" i="2"/>
  <c r="AF369" i="2"/>
  <c r="AF371" i="2"/>
  <c r="AH372" i="2"/>
  <c r="AD372" i="2"/>
  <c r="AJ372" i="2"/>
  <c r="AE372" i="2"/>
  <c r="AG372" i="2"/>
  <c r="AB372" i="2"/>
  <c r="AI372" i="2"/>
  <c r="AC372" i="2"/>
  <c r="AC375" i="2"/>
  <c r="AC376" i="2"/>
  <c r="AD377" i="2"/>
  <c r="AF380" i="2"/>
  <c r="AK381" i="2"/>
  <c r="AG381" i="2"/>
  <c r="AC381" i="2"/>
  <c r="AJ381" i="2"/>
  <c r="AE381" i="2"/>
  <c r="AH381" i="2"/>
  <c r="AB381" i="2"/>
  <c r="AD381" i="2"/>
  <c r="AI381" i="2"/>
  <c r="AC383" i="2"/>
  <c r="AC384" i="2"/>
  <c r="AD385" i="2"/>
  <c r="AF388" i="2"/>
  <c r="AK389" i="2"/>
  <c r="AG389" i="2"/>
  <c r="AC389" i="2"/>
  <c r="AJ389" i="2"/>
  <c r="AE389" i="2"/>
  <c r="AH389" i="2"/>
  <c r="AB389" i="2"/>
  <c r="AI389" i="2"/>
  <c r="AD389" i="2"/>
  <c r="AH393" i="2"/>
  <c r="AD399" i="2"/>
  <c r="AK411" i="2"/>
  <c r="AG411" i="2"/>
  <c r="AC411" i="2"/>
  <c r="AH411" i="2"/>
  <c r="AB411" i="2"/>
  <c r="AJ411" i="2"/>
  <c r="AD411" i="2"/>
  <c r="AF411" i="2"/>
  <c r="AI411" i="2"/>
  <c r="AF426" i="2"/>
  <c r="AK440" i="2"/>
  <c r="AG440" i="2"/>
  <c r="AC440" i="2"/>
  <c r="AH440" i="2"/>
  <c r="AB440" i="2"/>
  <c r="AJ440" i="2"/>
  <c r="AD440" i="2"/>
  <c r="AF440" i="2"/>
  <c r="AI440" i="2"/>
  <c r="AK448" i="2"/>
  <c r="AG448" i="2"/>
  <c r="AC448" i="2"/>
  <c r="AH448" i="2"/>
  <c r="AB448" i="2"/>
  <c r="AJ448" i="2"/>
  <c r="AD448" i="2"/>
  <c r="AF448" i="2"/>
  <c r="AI448" i="2"/>
  <c r="AH461" i="2"/>
  <c r="AD461" i="2"/>
  <c r="AI461" i="2"/>
  <c r="AC461" i="2"/>
  <c r="AK461" i="2"/>
  <c r="AE461" i="2"/>
  <c r="AG461" i="2"/>
  <c r="AB461" i="2"/>
  <c r="AJ461" i="2"/>
  <c r="AH490" i="2"/>
  <c r="AD490" i="2"/>
  <c r="AI490" i="2"/>
  <c r="AC490" i="2"/>
  <c r="AG490" i="2"/>
  <c r="AK490" i="2"/>
  <c r="AE490" i="2"/>
  <c r="AJ490" i="2"/>
  <c r="AB490" i="2"/>
  <c r="AF490" i="2"/>
  <c r="AH506" i="2"/>
  <c r="AD506" i="2"/>
  <c r="AK506" i="2"/>
  <c r="AF506" i="2"/>
  <c r="AJ506" i="2"/>
  <c r="AC506" i="2"/>
  <c r="AI506" i="2"/>
  <c r="AB506" i="2"/>
  <c r="AG506" i="2"/>
  <c r="AE506" i="2"/>
  <c r="AK231" i="2"/>
  <c r="AG231" i="2"/>
  <c r="AC231" i="2"/>
  <c r="AI231" i="2"/>
  <c r="AE231" i="2"/>
  <c r="AH231" i="2"/>
  <c r="AJ232" i="2"/>
  <c r="AF232" i="2"/>
  <c r="AB232" i="2"/>
  <c r="AH232" i="2"/>
  <c r="AD232" i="2"/>
  <c r="AI232" i="2"/>
  <c r="AK235" i="2"/>
  <c r="AG235" i="2"/>
  <c r="AC235" i="2"/>
  <c r="AI235" i="2"/>
  <c r="AE235" i="2"/>
  <c r="AH235" i="2"/>
  <c r="AJ236" i="2"/>
  <c r="AF236" i="2"/>
  <c r="AB236" i="2"/>
  <c r="AH236" i="2"/>
  <c r="AD236" i="2"/>
  <c r="AI236" i="2"/>
  <c r="AM627" i="2"/>
  <c r="AM629" i="2"/>
  <c r="AM628" i="2"/>
  <c r="AM625" i="2"/>
  <c r="AM621" i="2"/>
  <c r="AM617" i="2"/>
  <c r="AM613" i="2"/>
  <c r="AM609" i="2"/>
  <c r="AM605" i="2"/>
  <c r="AM598" i="2"/>
  <c r="AM594" i="2"/>
  <c r="AM587" i="2"/>
  <c r="AM577" i="2"/>
  <c r="AM573" i="2"/>
  <c r="AM565" i="2"/>
  <c r="AM561" i="2"/>
  <c r="AM557" i="2"/>
  <c r="AM545" i="2"/>
  <c r="AM541" i="2"/>
  <c r="AM537" i="2"/>
  <c r="AM533" i="2"/>
  <c r="AM529" i="2"/>
  <c r="AM525" i="2"/>
  <c r="AM521" i="2"/>
  <c r="AM517" i="2"/>
  <c r="AM513" i="2"/>
  <c r="AM505" i="2"/>
  <c r="AM501" i="2"/>
  <c r="AM497" i="2"/>
  <c r="AM493" i="2"/>
  <c r="AM489" i="2"/>
  <c r="AM481" i="2"/>
  <c r="AM472" i="2"/>
  <c r="AM468" i="2"/>
  <c r="AM464" i="2"/>
  <c r="AM460" i="2"/>
  <c r="AM450" i="2"/>
  <c r="AM446" i="2"/>
  <c r="AM442" i="2"/>
  <c r="AM438" i="2"/>
  <c r="AM434" i="2"/>
  <c r="AM426" i="2"/>
  <c r="AM422" i="2"/>
  <c r="AM409" i="2"/>
  <c r="AM405" i="2"/>
  <c r="AM399" i="2"/>
  <c r="AM393" i="2"/>
  <c r="AM624" i="2"/>
  <c r="AM620" i="2"/>
  <c r="AM616" i="2"/>
  <c r="AM612" i="2"/>
  <c r="AM608" i="2"/>
  <c r="AM604" i="2"/>
  <c r="AM597" i="2"/>
  <c r="AM593" i="2"/>
  <c r="AM586" i="2"/>
  <c r="AM576" i="2"/>
  <c r="AM572" i="2"/>
  <c r="AM564" i="2"/>
  <c r="AM560" i="2"/>
  <c r="AM556" i="2"/>
  <c r="AM548" i="2"/>
  <c r="AM618" i="2"/>
  <c r="AM615" i="2"/>
  <c r="AM602" i="2"/>
  <c r="AM562" i="2"/>
  <c r="AM559" i="2"/>
  <c r="AM532" i="2"/>
  <c r="AM528" i="2"/>
  <c r="AM524" i="2"/>
  <c r="AM520" i="2"/>
  <c r="AM516" i="2"/>
  <c r="AM512" i="2"/>
  <c r="AM496" i="2"/>
  <c r="AM492" i="2"/>
  <c r="AM488" i="2"/>
  <c r="AM471" i="2"/>
  <c r="AM467" i="2"/>
  <c r="AM463" i="2"/>
  <c r="AM452" i="2"/>
  <c r="AM451" i="2"/>
  <c r="AM448" i="2"/>
  <c r="AM447" i="2"/>
  <c r="AM444" i="2"/>
  <c r="AM443" i="2"/>
  <c r="AM440" i="2"/>
  <c r="AM439" i="2"/>
  <c r="AM436" i="2"/>
  <c r="AM435" i="2"/>
  <c r="AM432" i="2"/>
  <c r="AM411" i="2"/>
  <c r="AM410" i="2"/>
  <c r="AM407" i="2"/>
  <c r="AM406" i="2"/>
  <c r="AM400" i="2"/>
  <c r="AM397" i="2"/>
  <c r="AM391" i="2"/>
  <c r="AM387" i="2"/>
  <c r="AM383" i="2"/>
  <c r="AM379" i="2"/>
  <c r="AM375" i="2"/>
  <c r="AM371" i="2"/>
  <c r="AM367" i="2"/>
  <c r="AM363" i="2"/>
  <c r="AM355" i="2"/>
  <c r="AM347" i="2"/>
  <c r="AM343" i="2"/>
  <c r="AM339" i="2"/>
  <c r="AM335" i="2"/>
  <c r="AM331" i="2"/>
  <c r="AM327" i="2"/>
  <c r="AM323" i="2"/>
  <c r="AM319" i="2"/>
  <c r="AM315" i="2"/>
  <c r="AM307" i="2"/>
  <c r="AM303" i="2"/>
  <c r="AM299" i="2"/>
  <c r="AM295" i="2"/>
  <c r="AM291" i="2"/>
  <c r="AM287" i="2"/>
  <c r="AM279" i="2"/>
  <c r="AM275" i="2"/>
  <c r="AM267" i="2"/>
  <c r="AM257" i="2"/>
  <c r="AM622" i="2"/>
  <c r="AM611" i="2"/>
  <c r="AM607" i="2"/>
  <c r="AM578" i="2"/>
  <c r="AM574" i="2"/>
  <c r="AM547" i="2"/>
  <c r="AM530" i="2"/>
  <c r="AM526" i="2"/>
  <c r="AM522" i="2"/>
  <c r="AM518" i="2"/>
  <c r="AM514" i="2"/>
  <c r="AM510" i="2"/>
  <c r="AM495" i="2"/>
  <c r="AM491" i="2"/>
  <c r="AM626" i="2"/>
  <c r="AM619" i="2"/>
  <c r="AM595" i="2"/>
  <c r="AM588" i="2"/>
  <c r="AM575" i="2"/>
  <c r="AM571" i="2"/>
  <c r="AM558" i="2"/>
  <c r="AM544" i="2"/>
  <c r="AM540" i="2"/>
  <c r="AM494" i="2"/>
  <c r="AM614" i="2"/>
  <c r="AM610" i="2"/>
  <c r="AM606" i="2"/>
  <c r="AM570" i="2"/>
  <c r="AM603" i="2"/>
  <c r="AM563" i="2"/>
  <c r="AM527" i="2"/>
  <c r="AM511" i="2"/>
  <c r="AM487" i="2"/>
  <c r="AM623" i="2"/>
  <c r="AM596" i="2"/>
  <c r="AM589" i="2"/>
  <c r="AM566" i="2"/>
  <c r="AM546" i="2"/>
  <c r="AM542" i="2"/>
  <c r="AM519" i="2"/>
  <c r="AM504" i="2"/>
  <c r="AM480" i="2"/>
  <c r="AM474" i="2"/>
  <c r="AM470" i="2"/>
  <c r="AM630" i="2"/>
  <c r="AM478" i="2"/>
  <c r="AM425" i="2"/>
  <c r="AM539" i="2"/>
  <c r="AM523" i="2"/>
  <c r="AM502" i="2"/>
  <c r="AM479" i="2"/>
  <c r="AM462" i="2"/>
  <c r="AM449" i="2"/>
  <c r="AM445" i="2"/>
  <c r="AM441" i="2"/>
  <c r="AM437" i="2"/>
  <c r="AM433" i="2"/>
  <c r="AM424" i="2"/>
  <c r="AM423" i="2"/>
  <c r="AM412" i="2"/>
  <c r="AM408" i="2"/>
  <c r="AM404" i="2"/>
  <c r="AM398" i="2"/>
  <c r="AM392" i="2"/>
  <c r="AM389" i="2"/>
  <c r="AM388" i="2"/>
  <c r="AM385" i="2"/>
  <c r="AM384" i="2"/>
  <c r="AM381" i="2"/>
  <c r="AM380" i="2"/>
  <c r="AM377" i="2"/>
  <c r="AM376" i="2"/>
  <c r="AM373" i="2"/>
  <c r="AM372" i="2"/>
  <c r="AM369" i="2"/>
  <c r="AM515" i="2"/>
  <c r="AM506" i="2"/>
  <c r="AM503" i="2"/>
  <c r="AM483" i="2"/>
  <c r="AM465" i="2"/>
  <c r="AM421" i="2"/>
  <c r="AM420" i="2"/>
  <c r="AM378" i="2"/>
  <c r="AM366" i="2"/>
  <c r="AM362" i="2"/>
  <c r="AM346" i="2"/>
  <c r="AM342" i="2"/>
  <c r="AM338" i="2"/>
  <c r="AM334" i="2"/>
  <c r="AM330" i="2"/>
  <c r="AM326" i="2"/>
  <c r="AM322" i="2"/>
  <c r="AM318" i="2"/>
  <c r="AM314" i="2"/>
  <c r="AM278" i="2"/>
  <c r="AM274" i="2"/>
  <c r="AM253" i="2"/>
  <c r="AM249" i="2"/>
  <c r="AM245" i="2"/>
  <c r="AM241" i="2"/>
  <c r="AM237" i="2"/>
  <c r="AM233" i="2"/>
  <c r="AM223" i="2"/>
  <c r="AM219" i="2"/>
  <c r="AM215" i="2"/>
  <c r="AM543" i="2"/>
  <c r="AM538" i="2"/>
  <c r="AM473" i="2"/>
  <c r="AM469" i="2"/>
  <c r="AM466" i="2"/>
  <c r="AM419" i="2"/>
  <c r="AM386" i="2"/>
  <c r="AM370" i="2"/>
  <c r="AM354" i="2"/>
  <c r="AM310" i="2"/>
  <c r="AM306" i="2"/>
  <c r="AM302" i="2"/>
  <c r="AM298" i="2"/>
  <c r="AM294" i="2"/>
  <c r="AM290" i="2"/>
  <c r="AM286" i="2"/>
  <c r="AM270" i="2"/>
  <c r="AM266" i="2"/>
  <c r="AM255" i="2"/>
  <c r="AM251" i="2"/>
  <c r="AM247" i="2"/>
  <c r="AM239" i="2"/>
  <c r="AM235" i="2"/>
  <c r="AM231" i="2"/>
  <c r="AM225" i="2"/>
  <c r="AM221" i="2"/>
  <c r="AM217" i="2"/>
  <c r="AM12" i="2"/>
  <c r="AM20" i="2"/>
  <c r="AM24" i="2"/>
  <c r="AM28" i="2"/>
  <c r="AM32" i="2"/>
  <c r="AM40" i="2"/>
  <c r="AM44" i="2"/>
  <c r="AM48" i="2"/>
  <c r="AM52" i="2"/>
  <c r="AM56" i="2"/>
  <c r="AM60" i="2"/>
  <c r="AM64" i="2"/>
  <c r="AM68" i="2"/>
  <c r="AM76" i="2"/>
  <c r="AM80" i="2"/>
  <c r="AM84" i="2"/>
  <c r="AM88" i="2"/>
  <c r="AM92" i="2"/>
  <c r="AM96" i="2"/>
  <c r="AM100" i="2"/>
  <c r="AM104" i="2"/>
  <c r="AM111" i="2"/>
  <c r="AM113" i="2"/>
  <c r="AM115" i="2"/>
  <c r="AM121" i="2"/>
  <c r="AM125" i="2"/>
  <c r="AM129" i="2"/>
  <c r="AM137" i="2"/>
  <c r="AM141" i="2"/>
  <c r="AM149" i="2"/>
  <c r="AM153" i="2"/>
  <c r="AM157" i="2"/>
  <c r="AM161" i="2"/>
  <c r="AM169" i="2"/>
  <c r="AM177" i="2"/>
  <c r="AM181" i="2"/>
  <c r="AM185" i="2"/>
  <c r="AM189" i="2"/>
  <c r="AM198" i="2"/>
  <c r="AM202" i="2"/>
  <c r="AM206" i="2"/>
  <c r="AM216" i="2"/>
  <c r="AM224" i="2"/>
  <c r="AB231" i="2"/>
  <c r="AJ231" i="2"/>
  <c r="AC232" i="2"/>
  <c r="AK232" i="2"/>
  <c r="AB235" i="2"/>
  <c r="AJ235" i="2"/>
  <c r="AC236" i="2"/>
  <c r="AK236" i="2"/>
  <c r="AH268" i="2"/>
  <c r="AD268" i="2"/>
  <c r="AK268" i="2"/>
  <c r="AF268" i="2"/>
  <c r="AI268" i="2"/>
  <c r="AC268" i="2"/>
  <c r="AJ268" i="2"/>
  <c r="AH276" i="2"/>
  <c r="AD276" i="2"/>
  <c r="AI276" i="2"/>
  <c r="AC276" i="2"/>
  <c r="AK276" i="2"/>
  <c r="AF276" i="2"/>
  <c r="AJ276" i="2"/>
  <c r="AH280" i="2"/>
  <c r="AD280" i="2"/>
  <c r="AI280" i="2"/>
  <c r="AC280" i="2"/>
  <c r="AK280" i="2"/>
  <c r="AF280" i="2"/>
  <c r="AJ280" i="2"/>
  <c r="AH288" i="2"/>
  <c r="AD288" i="2"/>
  <c r="AK288" i="2"/>
  <c r="AF288" i="2"/>
  <c r="AI288" i="2"/>
  <c r="AC288" i="2"/>
  <c r="AJ288" i="2"/>
  <c r="AH292" i="2"/>
  <c r="AD292" i="2"/>
  <c r="AK292" i="2"/>
  <c r="AF292" i="2"/>
  <c r="AI292" i="2"/>
  <c r="AC292" i="2"/>
  <c r="AJ292" i="2"/>
  <c r="AH296" i="2"/>
  <c r="AD296" i="2"/>
  <c r="AK296" i="2"/>
  <c r="AF296" i="2"/>
  <c r="AI296" i="2"/>
  <c r="AC296" i="2"/>
  <c r="AJ296" i="2"/>
  <c r="AH300" i="2"/>
  <c r="AD300" i="2"/>
  <c r="AK300" i="2"/>
  <c r="AF300" i="2"/>
  <c r="AI300" i="2"/>
  <c r="AC300" i="2"/>
  <c r="AJ300" i="2"/>
  <c r="AH304" i="2"/>
  <c r="AD304" i="2"/>
  <c r="AK304" i="2"/>
  <c r="AF304" i="2"/>
  <c r="AI304" i="2"/>
  <c r="AC304" i="2"/>
  <c r="AJ304" i="2"/>
  <c r="AH308" i="2"/>
  <c r="AD308" i="2"/>
  <c r="AK308" i="2"/>
  <c r="AF308" i="2"/>
  <c r="AI308" i="2"/>
  <c r="AC308" i="2"/>
  <c r="AJ308" i="2"/>
  <c r="AH316" i="2"/>
  <c r="AD316" i="2"/>
  <c r="AI316" i="2"/>
  <c r="AC316" i="2"/>
  <c r="AK316" i="2"/>
  <c r="AF316" i="2"/>
  <c r="AJ316" i="2"/>
  <c r="AH320" i="2"/>
  <c r="AD320" i="2"/>
  <c r="AI320" i="2"/>
  <c r="AC320" i="2"/>
  <c r="AK320" i="2"/>
  <c r="AF320" i="2"/>
  <c r="AJ320" i="2"/>
  <c r="AH324" i="2"/>
  <c r="AD324" i="2"/>
  <c r="AI324" i="2"/>
  <c r="AC324" i="2"/>
  <c r="AK324" i="2"/>
  <c r="AF324" i="2"/>
  <c r="AJ324" i="2"/>
  <c r="AH328" i="2"/>
  <c r="AD328" i="2"/>
  <c r="AI328" i="2"/>
  <c r="AC328" i="2"/>
  <c r="AK328" i="2"/>
  <c r="AF328" i="2"/>
  <c r="AJ328" i="2"/>
  <c r="AH332" i="2"/>
  <c r="AD332" i="2"/>
  <c r="AI332" i="2"/>
  <c r="AC332" i="2"/>
  <c r="AK332" i="2"/>
  <c r="AF332" i="2"/>
  <c r="AJ332" i="2"/>
  <c r="AH336" i="2"/>
  <c r="AD336" i="2"/>
  <c r="AI336" i="2"/>
  <c r="AC336" i="2"/>
  <c r="AK336" i="2"/>
  <c r="AF336" i="2"/>
  <c r="AJ336" i="2"/>
  <c r="AH340" i="2"/>
  <c r="AD340" i="2"/>
  <c r="AI340" i="2"/>
  <c r="AC340" i="2"/>
  <c r="AK340" i="2"/>
  <c r="AF340" i="2"/>
  <c r="AJ340" i="2"/>
  <c r="AH344" i="2"/>
  <c r="AD344" i="2"/>
  <c r="AI344" i="2"/>
  <c r="AC344" i="2"/>
  <c r="AK344" i="2"/>
  <c r="AF344" i="2"/>
  <c r="AJ344" i="2"/>
  <c r="AH348" i="2"/>
  <c r="AD348" i="2"/>
  <c r="AI348" i="2"/>
  <c r="AC348" i="2"/>
  <c r="AK348" i="2"/>
  <c r="AF348" i="2"/>
  <c r="AJ348" i="2"/>
  <c r="AH356" i="2"/>
  <c r="AD356" i="2"/>
  <c r="AK356" i="2"/>
  <c r="AF356" i="2"/>
  <c r="AI356" i="2"/>
  <c r="AC356" i="2"/>
  <c r="AJ356" i="2"/>
  <c r="AH364" i="2"/>
  <c r="AD364" i="2"/>
  <c r="AI364" i="2"/>
  <c r="AC364" i="2"/>
  <c r="AK364" i="2"/>
  <c r="AF364" i="2"/>
  <c r="AJ364" i="2"/>
  <c r="AH368" i="2"/>
  <c r="AD368" i="2"/>
  <c r="AI368" i="2"/>
  <c r="AC368" i="2"/>
  <c r="AK368" i="2"/>
  <c r="AF368" i="2"/>
  <c r="AJ368" i="2"/>
  <c r="AK373" i="2"/>
  <c r="AG373" i="2"/>
  <c r="AC373" i="2"/>
  <c r="AJ373" i="2"/>
  <c r="AE373" i="2"/>
  <c r="AH373" i="2"/>
  <c r="AB373" i="2"/>
  <c r="AI373" i="2"/>
  <c r="AD373" i="2"/>
  <c r="AJ378" i="2"/>
  <c r="AF378" i="2"/>
  <c r="AB378" i="2"/>
  <c r="AI378" i="2"/>
  <c r="AD378" i="2"/>
  <c r="AG378" i="2"/>
  <c r="AC378" i="2"/>
  <c r="AH378" i="2"/>
  <c r="AJ386" i="2"/>
  <c r="AF386" i="2"/>
  <c r="AB386" i="2"/>
  <c r="AI386" i="2"/>
  <c r="AD386" i="2"/>
  <c r="AG386" i="2"/>
  <c r="AH386" i="2"/>
  <c r="AC386" i="2"/>
  <c r="AM390" i="2"/>
  <c r="AH410" i="2"/>
  <c r="AD410" i="2"/>
  <c r="AG410" i="2"/>
  <c r="AB410" i="2"/>
  <c r="AJ410" i="2"/>
  <c r="AC410" i="2"/>
  <c r="AF410" i="2"/>
  <c r="AI410" i="2"/>
  <c r="AJ412" i="2"/>
  <c r="AF412" i="2"/>
  <c r="AB412" i="2"/>
  <c r="AG412" i="2"/>
  <c r="AI412" i="2"/>
  <c r="AC412" i="2"/>
  <c r="AE412" i="2"/>
  <c r="AD412" i="2"/>
  <c r="AK412" i="2"/>
  <c r="AI422" i="2"/>
  <c r="AE422" i="2"/>
  <c r="AJ422" i="2"/>
  <c r="AD422" i="2"/>
  <c r="AH422" i="2"/>
  <c r="AB422" i="2"/>
  <c r="AF422" i="2"/>
  <c r="AC422" i="2"/>
  <c r="AK422" i="2"/>
  <c r="AK428" i="2"/>
  <c r="AG428" i="2"/>
  <c r="AC428" i="2"/>
  <c r="AJ428" i="2"/>
  <c r="AE428" i="2"/>
  <c r="AH428" i="2"/>
  <c r="AD428" i="2"/>
  <c r="AB428" i="2"/>
  <c r="AI428" i="2"/>
  <c r="AH439" i="2"/>
  <c r="AD439" i="2"/>
  <c r="AG439" i="2"/>
  <c r="AB439" i="2"/>
  <c r="AJ439" i="2"/>
  <c r="AC439" i="2"/>
  <c r="AF439" i="2"/>
  <c r="AI439" i="2"/>
  <c r="AJ441" i="2"/>
  <c r="AF441" i="2"/>
  <c r="AB441" i="2"/>
  <c r="AG441" i="2"/>
  <c r="AI441" i="2"/>
  <c r="AC441" i="2"/>
  <c r="AE441" i="2"/>
  <c r="AD441" i="2"/>
  <c r="AK441" i="2"/>
  <c r="AI442" i="2"/>
  <c r="AE442" i="2"/>
  <c r="AG442" i="2"/>
  <c r="AB442" i="2"/>
  <c r="AJ442" i="2"/>
  <c r="AC442" i="2"/>
  <c r="AF442" i="2"/>
  <c r="AK442" i="2"/>
  <c r="AD442" i="2"/>
  <c r="AH443" i="2"/>
  <c r="AD443" i="2"/>
  <c r="AG443" i="2"/>
  <c r="AB443" i="2"/>
  <c r="AJ443" i="2"/>
  <c r="AC443" i="2"/>
  <c r="AF443" i="2"/>
  <c r="AE443" i="2"/>
  <c r="AK443" i="2"/>
  <c r="AK444" i="2"/>
  <c r="AG444" i="2"/>
  <c r="AC444" i="2"/>
  <c r="AH444" i="2"/>
  <c r="AB444" i="2"/>
  <c r="AJ444" i="2"/>
  <c r="AD444" i="2"/>
  <c r="AF444" i="2"/>
  <c r="AE444" i="2"/>
  <c r="AH447" i="2"/>
  <c r="AD447" i="2"/>
  <c r="AG447" i="2"/>
  <c r="AB447" i="2"/>
  <c r="AJ447" i="2"/>
  <c r="AC447" i="2"/>
  <c r="AF447" i="2"/>
  <c r="AI447" i="2"/>
  <c r="AJ449" i="2"/>
  <c r="AF449" i="2"/>
  <c r="AB449" i="2"/>
  <c r="AG449" i="2"/>
  <c r="AI449" i="2"/>
  <c r="AC449" i="2"/>
  <c r="AE449" i="2"/>
  <c r="AK449" i="2"/>
  <c r="AD449" i="2"/>
  <c r="AI450" i="2"/>
  <c r="AE450" i="2"/>
  <c r="AG450" i="2"/>
  <c r="AB450" i="2"/>
  <c r="AJ450" i="2"/>
  <c r="AC450" i="2"/>
  <c r="AF450" i="2"/>
  <c r="AD450" i="2"/>
  <c r="AK450" i="2"/>
  <c r="AH451" i="2"/>
  <c r="AD451" i="2"/>
  <c r="AG451" i="2"/>
  <c r="AB451" i="2"/>
  <c r="AJ451" i="2"/>
  <c r="AC451" i="2"/>
  <c r="AF451" i="2"/>
  <c r="AK451" i="2"/>
  <c r="AE451" i="2"/>
  <c r="AK452" i="2"/>
  <c r="AG452" i="2"/>
  <c r="AC452" i="2"/>
  <c r="AH452" i="2"/>
  <c r="AB452" i="2"/>
  <c r="AJ452" i="2"/>
  <c r="AD452" i="2"/>
  <c r="AF452" i="2"/>
  <c r="AE452" i="2"/>
  <c r="AK462" i="2"/>
  <c r="AH465" i="2"/>
  <c r="AD465" i="2"/>
  <c r="AI465" i="2"/>
  <c r="AC465" i="2"/>
  <c r="AK465" i="2"/>
  <c r="AE465" i="2"/>
  <c r="AF465" i="2"/>
  <c r="AJ465" i="2"/>
  <c r="AB465" i="2"/>
  <c r="AK466" i="2"/>
  <c r="AG466" i="2"/>
  <c r="AC466" i="2"/>
  <c r="AI466" i="2"/>
  <c r="AD466" i="2"/>
  <c r="AJ466" i="2"/>
  <c r="AB466" i="2"/>
  <c r="AF466" i="2"/>
  <c r="AE466" i="2"/>
  <c r="AJ467" i="2"/>
  <c r="AF467" i="2"/>
  <c r="AB467" i="2"/>
  <c r="AH467" i="2"/>
  <c r="AC467" i="2"/>
  <c r="AG467" i="2"/>
  <c r="AE467" i="2"/>
  <c r="AK467" i="2"/>
  <c r="AD467" i="2"/>
  <c r="AH482" i="2"/>
  <c r="AD482" i="2"/>
  <c r="AK482" i="2"/>
  <c r="AF482" i="2"/>
  <c r="AJ482" i="2"/>
  <c r="AC482" i="2"/>
  <c r="AG482" i="2"/>
  <c r="AI482" i="2"/>
  <c r="AB482" i="2"/>
  <c r="AE482" i="2"/>
  <c r="AM490" i="2"/>
  <c r="AK515" i="2"/>
  <c r="AG515" i="2"/>
  <c r="AC515" i="2"/>
  <c r="AI515" i="2"/>
  <c r="AD515" i="2"/>
  <c r="AE515" i="2"/>
  <c r="AJ515" i="2"/>
  <c r="AB515" i="2"/>
  <c r="AH515" i="2"/>
  <c r="AF515" i="2"/>
  <c r="AM531" i="2"/>
  <c r="AU415" i="2"/>
  <c r="AJ374" i="2"/>
  <c r="AF374" i="2"/>
  <c r="AB374" i="2"/>
  <c r="AI374" i="2"/>
  <c r="AD374" i="2"/>
  <c r="AG374" i="2"/>
  <c r="AK374" i="2"/>
  <c r="AJ390" i="2"/>
  <c r="AF390" i="2"/>
  <c r="AB390" i="2"/>
  <c r="AI390" i="2"/>
  <c r="AD390" i="2"/>
  <c r="AG390" i="2"/>
  <c r="AK390" i="2"/>
  <c r="AJ408" i="2"/>
  <c r="AF408" i="2"/>
  <c r="AB408" i="2"/>
  <c r="AG408" i="2"/>
  <c r="AI408" i="2"/>
  <c r="AC408" i="2"/>
  <c r="AE408" i="2"/>
  <c r="AH423" i="2"/>
  <c r="AD423" i="2"/>
  <c r="AJ423" i="2"/>
  <c r="AE423" i="2"/>
  <c r="AI423" i="2"/>
  <c r="AB423" i="2"/>
  <c r="AF423" i="2"/>
  <c r="AJ425" i="2"/>
  <c r="AF425" i="2"/>
  <c r="AB425" i="2"/>
  <c r="AI425" i="2"/>
  <c r="AD425" i="2"/>
  <c r="AG425" i="2"/>
  <c r="AK425" i="2"/>
  <c r="AC425" i="2"/>
  <c r="AJ437" i="2"/>
  <c r="AF437" i="2"/>
  <c r="AB437" i="2"/>
  <c r="AG437" i="2"/>
  <c r="AI437" i="2"/>
  <c r="AC437" i="2"/>
  <c r="AE437" i="2"/>
  <c r="AI464" i="2"/>
  <c r="AE464" i="2"/>
  <c r="AH464" i="2"/>
  <c r="AC464" i="2"/>
  <c r="AF464" i="2"/>
  <c r="AJ464" i="2"/>
  <c r="AB464" i="2"/>
  <c r="AJ471" i="2"/>
  <c r="AF471" i="2"/>
  <c r="AB471" i="2"/>
  <c r="AH471" i="2"/>
  <c r="AC471" i="2"/>
  <c r="AG471" i="2"/>
  <c r="AK471" i="2"/>
  <c r="AD471" i="2"/>
  <c r="AE471" i="2"/>
  <c r="AK483" i="2"/>
  <c r="AG483" i="2"/>
  <c r="AC483" i="2"/>
  <c r="AF483" i="2"/>
  <c r="AJ483" i="2"/>
  <c r="AD483" i="2"/>
  <c r="AH483" i="2"/>
  <c r="AB483" i="2"/>
  <c r="AI483" i="2"/>
  <c r="AH518" i="2"/>
  <c r="AD518" i="2"/>
  <c r="AI518" i="2"/>
  <c r="AC518" i="2"/>
  <c r="AF518" i="2"/>
  <c r="AK518" i="2"/>
  <c r="AE518" i="2"/>
  <c r="AB518" i="2"/>
  <c r="AJ518" i="2"/>
  <c r="AG518" i="2"/>
  <c r="AI561" i="2"/>
  <c r="AE561" i="2"/>
  <c r="AH561" i="2"/>
  <c r="AD561" i="2"/>
  <c r="AJ561" i="2"/>
  <c r="AB561" i="2"/>
  <c r="AF561" i="2"/>
  <c r="AC561" i="2"/>
  <c r="AK561" i="2"/>
  <c r="AG561" i="2"/>
  <c r="AE374" i="2"/>
  <c r="AJ382" i="2"/>
  <c r="AF382" i="2"/>
  <c r="AB382" i="2"/>
  <c r="AI382" i="2"/>
  <c r="AD382" i="2"/>
  <c r="AG382" i="2"/>
  <c r="AK382" i="2"/>
  <c r="AE390" i="2"/>
  <c r="AJ398" i="2"/>
  <c r="AF398" i="2"/>
  <c r="AB398" i="2"/>
  <c r="AG398" i="2"/>
  <c r="AI398" i="2"/>
  <c r="AC398" i="2"/>
  <c r="AE398" i="2"/>
  <c r="AH408" i="2"/>
  <c r="AK420" i="2"/>
  <c r="AG420" i="2"/>
  <c r="AC420" i="2"/>
  <c r="AJ420" i="2"/>
  <c r="AE420" i="2"/>
  <c r="AD420" i="2"/>
  <c r="AH420" i="2"/>
  <c r="AJ421" i="2"/>
  <c r="AF421" i="2"/>
  <c r="AB421" i="2"/>
  <c r="AI421" i="2"/>
  <c r="AD421" i="2"/>
  <c r="AH421" i="2"/>
  <c r="AE421" i="2"/>
  <c r="AG423" i="2"/>
  <c r="AH425" i="2"/>
  <c r="AH437" i="2"/>
  <c r="AJ445" i="2"/>
  <c r="AF445" i="2"/>
  <c r="AB445" i="2"/>
  <c r="AG445" i="2"/>
  <c r="AI445" i="2"/>
  <c r="AC445" i="2"/>
  <c r="AE445" i="2"/>
  <c r="AH469" i="2"/>
  <c r="AD469" i="2"/>
  <c r="AI469" i="2"/>
  <c r="AC469" i="2"/>
  <c r="AK469" i="2"/>
  <c r="AE469" i="2"/>
  <c r="AG469" i="2"/>
  <c r="AB469" i="2"/>
  <c r="AJ469" i="2"/>
  <c r="AH473" i="2"/>
  <c r="AD473" i="2"/>
  <c r="AI473" i="2"/>
  <c r="AC473" i="2"/>
  <c r="AK473" i="2"/>
  <c r="AE473" i="2"/>
  <c r="AG473" i="2"/>
  <c r="AJ473" i="2"/>
  <c r="AB473" i="2"/>
  <c r="AI481" i="2"/>
  <c r="AE481" i="2"/>
  <c r="AK481" i="2"/>
  <c r="AF481" i="2"/>
  <c r="AJ481" i="2"/>
  <c r="AC481" i="2"/>
  <c r="AG481" i="2"/>
  <c r="AB481" i="2"/>
  <c r="AH481" i="2"/>
  <c r="AK491" i="2"/>
  <c r="AG491" i="2"/>
  <c r="AC491" i="2"/>
  <c r="AI491" i="2"/>
  <c r="AD491" i="2"/>
  <c r="AF491" i="2"/>
  <c r="AH491" i="2"/>
  <c r="AB491" i="2"/>
  <c r="AE491" i="2"/>
  <c r="AJ492" i="2"/>
  <c r="AF492" i="2"/>
  <c r="AB492" i="2"/>
  <c r="AH492" i="2"/>
  <c r="AC492" i="2"/>
  <c r="AK492" i="2"/>
  <c r="AD492" i="2"/>
  <c r="AI492" i="2"/>
  <c r="AE492" i="2"/>
  <c r="AG492" i="2"/>
  <c r="AI497" i="2"/>
  <c r="AE497" i="2"/>
  <c r="AH497" i="2"/>
  <c r="AC497" i="2"/>
  <c r="AJ497" i="2"/>
  <c r="AB497" i="2"/>
  <c r="AG497" i="2"/>
  <c r="AD497" i="2"/>
  <c r="AK497" i="2"/>
  <c r="AF497" i="2"/>
  <c r="AH526" i="2"/>
  <c r="AD526" i="2"/>
  <c r="AI526" i="2"/>
  <c r="AC526" i="2"/>
  <c r="AF526" i="2"/>
  <c r="AK526" i="2"/>
  <c r="AE526" i="2"/>
  <c r="AJ526" i="2"/>
  <c r="AB526" i="2"/>
  <c r="AG526" i="2"/>
  <c r="AK531" i="2"/>
  <c r="AG531" i="2"/>
  <c r="AC531" i="2"/>
  <c r="AI531" i="2"/>
  <c r="AD531" i="2"/>
  <c r="AE531" i="2"/>
  <c r="AJ531" i="2"/>
  <c r="AB531" i="2"/>
  <c r="AH531" i="2"/>
  <c r="AF531" i="2"/>
  <c r="AH558" i="2"/>
  <c r="AD558" i="2"/>
  <c r="AK558" i="2"/>
  <c r="AG558" i="2"/>
  <c r="AC558" i="2"/>
  <c r="AF558" i="2"/>
  <c r="AE558" i="2"/>
  <c r="AB558" i="2"/>
  <c r="AI558" i="2"/>
  <c r="AJ558" i="2"/>
  <c r="AK563" i="2"/>
  <c r="AG563" i="2"/>
  <c r="AC563" i="2"/>
  <c r="AJ563" i="2"/>
  <c r="AF563" i="2"/>
  <c r="AB563" i="2"/>
  <c r="AD563" i="2"/>
  <c r="AI563" i="2"/>
  <c r="AH563" i="2"/>
  <c r="AE563" i="2"/>
  <c r="AH566" i="2"/>
  <c r="AD566" i="2"/>
  <c r="AK566" i="2"/>
  <c r="AG566" i="2"/>
  <c r="AC566" i="2"/>
  <c r="AJ566" i="2"/>
  <c r="AB566" i="2"/>
  <c r="AF566" i="2"/>
  <c r="AE566" i="2"/>
  <c r="AI566" i="2"/>
  <c r="AI577" i="2"/>
  <c r="AE577" i="2"/>
  <c r="AH577" i="2"/>
  <c r="AD577" i="2"/>
  <c r="AK577" i="2"/>
  <c r="AC577" i="2"/>
  <c r="AF577" i="2"/>
  <c r="AB577" i="2"/>
  <c r="AJ577" i="2"/>
  <c r="AG577" i="2"/>
  <c r="AI605" i="2"/>
  <c r="AE605" i="2"/>
  <c r="AH605" i="2"/>
  <c r="AD605" i="2"/>
  <c r="AG605" i="2"/>
  <c r="AF605" i="2"/>
  <c r="AC605" i="2"/>
  <c r="AK605" i="2"/>
  <c r="AB605" i="2"/>
  <c r="AJ605" i="2"/>
  <c r="AI472" i="2"/>
  <c r="AE472" i="2"/>
  <c r="AH472" i="2"/>
  <c r="AC472" i="2"/>
  <c r="AF472" i="2"/>
  <c r="AJ472" i="2"/>
  <c r="AB472" i="2"/>
  <c r="AJ480" i="2"/>
  <c r="AF480" i="2"/>
  <c r="AB480" i="2"/>
  <c r="AK480" i="2"/>
  <c r="AE480" i="2"/>
  <c r="AI480" i="2"/>
  <c r="AC480" i="2"/>
  <c r="AG480" i="2"/>
  <c r="AI489" i="2"/>
  <c r="AE489" i="2"/>
  <c r="AH489" i="2"/>
  <c r="AC489" i="2"/>
  <c r="AJ489" i="2"/>
  <c r="AB489" i="2"/>
  <c r="AF489" i="2"/>
  <c r="AK495" i="2"/>
  <c r="AG495" i="2"/>
  <c r="AC495" i="2"/>
  <c r="AI495" i="2"/>
  <c r="AD495" i="2"/>
  <c r="AF495" i="2"/>
  <c r="AE495" i="2"/>
  <c r="AJ495" i="2"/>
  <c r="AB495" i="2"/>
  <c r="AI505" i="2"/>
  <c r="AE505" i="2"/>
  <c r="AK505" i="2"/>
  <c r="AF505" i="2"/>
  <c r="AJ505" i="2"/>
  <c r="AC505" i="2"/>
  <c r="AH505" i="2"/>
  <c r="AB505" i="2"/>
  <c r="AG505" i="2"/>
  <c r="AK519" i="2"/>
  <c r="AG519" i="2"/>
  <c r="AC519" i="2"/>
  <c r="AI519" i="2"/>
  <c r="AD519" i="2"/>
  <c r="AE519" i="2"/>
  <c r="AJ519" i="2"/>
  <c r="AB519" i="2"/>
  <c r="AF519" i="2"/>
  <c r="AJ520" i="2"/>
  <c r="AF520" i="2"/>
  <c r="AB520" i="2"/>
  <c r="AH520" i="2"/>
  <c r="AC520" i="2"/>
  <c r="AI520" i="2"/>
  <c r="AG520" i="2"/>
  <c r="AK520" i="2"/>
  <c r="AD520" i="2"/>
  <c r="AH562" i="2"/>
  <c r="AD562" i="2"/>
  <c r="AK562" i="2"/>
  <c r="AG562" i="2"/>
  <c r="AC562" i="2"/>
  <c r="AE562" i="2"/>
  <c r="AF562" i="2"/>
  <c r="AB562" i="2"/>
  <c r="AJ562" i="2"/>
  <c r="AI562" i="2"/>
  <c r="AJ564" i="2"/>
  <c r="AF564" i="2"/>
  <c r="AB564" i="2"/>
  <c r="AI564" i="2"/>
  <c r="AE564" i="2"/>
  <c r="AD564" i="2"/>
  <c r="AG564" i="2"/>
  <c r="AC564" i="2"/>
  <c r="AH564" i="2"/>
  <c r="AK564" i="2"/>
  <c r="AH606" i="2"/>
  <c r="AD606" i="2"/>
  <c r="AK606" i="2"/>
  <c r="AG606" i="2"/>
  <c r="AC606" i="2"/>
  <c r="AJ606" i="2"/>
  <c r="AB606" i="2"/>
  <c r="AF606" i="2"/>
  <c r="AE606" i="2"/>
  <c r="AI606" i="2"/>
  <c r="AH618" i="2"/>
  <c r="AD618" i="2"/>
  <c r="AK618" i="2"/>
  <c r="AG618" i="2"/>
  <c r="AC618" i="2"/>
  <c r="AE618" i="2"/>
  <c r="AJ618" i="2"/>
  <c r="AI618" i="2"/>
  <c r="AB618" i="2"/>
  <c r="AF618" i="2"/>
  <c r="AH622" i="2"/>
  <c r="AD622" i="2"/>
  <c r="AK622" i="2"/>
  <c r="AG622" i="2"/>
  <c r="AC622" i="2"/>
  <c r="AJ622" i="2"/>
  <c r="AB622" i="2"/>
  <c r="AI622" i="2"/>
  <c r="AE622" i="2"/>
  <c r="AF622" i="2"/>
  <c r="AI468" i="2"/>
  <c r="AE468" i="2"/>
  <c r="AH468" i="2"/>
  <c r="AC468" i="2"/>
  <c r="AF468" i="2"/>
  <c r="AJ468" i="2"/>
  <c r="AG472" i="2"/>
  <c r="AH480" i="2"/>
  <c r="AG489" i="2"/>
  <c r="AH502" i="2"/>
  <c r="AD502" i="2"/>
  <c r="AK502" i="2"/>
  <c r="AF502" i="2"/>
  <c r="AJ502" i="2"/>
  <c r="AC502" i="2"/>
  <c r="AI502" i="2"/>
  <c r="AB502" i="2"/>
  <c r="AG502" i="2"/>
  <c r="AK511" i="2"/>
  <c r="AG511" i="2"/>
  <c r="AC511" i="2"/>
  <c r="AI511" i="2"/>
  <c r="AD511" i="2"/>
  <c r="AE511" i="2"/>
  <c r="AJ511" i="2"/>
  <c r="AB511" i="2"/>
  <c r="AF511" i="2"/>
  <c r="AJ512" i="2"/>
  <c r="AF512" i="2"/>
  <c r="AB512" i="2"/>
  <c r="AH512" i="2"/>
  <c r="AC512" i="2"/>
  <c r="AI512" i="2"/>
  <c r="AG512" i="2"/>
  <c r="AD512" i="2"/>
  <c r="AK512" i="2"/>
  <c r="AK523" i="2"/>
  <c r="AG523" i="2"/>
  <c r="AC523" i="2"/>
  <c r="AI523" i="2"/>
  <c r="AD523" i="2"/>
  <c r="AE523" i="2"/>
  <c r="AJ523" i="2"/>
  <c r="AB523" i="2"/>
  <c r="AH523" i="2"/>
  <c r="AK527" i="2"/>
  <c r="AG527" i="2"/>
  <c r="AC527" i="2"/>
  <c r="AI527" i="2"/>
  <c r="AD527" i="2"/>
  <c r="AE527" i="2"/>
  <c r="AJ527" i="2"/>
  <c r="AB527" i="2"/>
  <c r="AF527" i="2"/>
  <c r="AJ528" i="2"/>
  <c r="AF528" i="2"/>
  <c r="AB528" i="2"/>
  <c r="AH528" i="2"/>
  <c r="AC528" i="2"/>
  <c r="AI528" i="2"/>
  <c r="AG528" i="2"/>
  <c r="AD528" i="2"/>
  <c r="AK528" i="2"/>
  <c r="AK539" i="2"/>
  <c r="AG539" i="2"/>
  <c r="AC539" i="2"/>
  <c r="AF539" i="2"/>
  <c r="AI539" i="2"/>
  <c r="AB539" i="2"/>
  <c r="AH539" i="2"/>
  <c r="AD539" i="2"/>
  <c r="AJ539" i="2"/>
  <c r="AK543" i="2"/>
  <c r="AG543" i="2"/>
  <c r="AC543" i="2"/>
  <c r="AF543" i="2"/>
  <c r="AI543" i="2"/>
  <c r="AB543" i="2"/>
  <c r="AH543" i="2"/>
  <c r="AD543" i="2"/>
  <c r="AJ543" i="2"/>
  <c r="AE543" i="2"/>
  <c r="AJ597" i="2"/>
  <c r="AF597" i="2"/>
  <c r="AB597" i="2"/>
  <c r="AI597" i="2"/>
  <c r="AE597" i="2"/>
  <c r="AK597" i="2"/>
  <c r="AC597" i="2"/>
  <c r="AH597" i="2"/>
  <c r="AG597" i="2"/>
  <c r="AD597" i="2"/>
  <c r="AJ604" i="2"/>
  <c r="AF604" i="2"/>
  <c r="AB604" i="2"/>
  <c r="AI604" i="2"/>
  <c r="AE604" i="2"/>
  <c r="AD604" i="2"/>
  <c r="AG604" i="2"/>
  <c r="AC604" i="2"/>
  <c r="AK604" i="2"/>
  <c r="AH604" i="2"/>
  <c r="AJ504" i="2"/>
  <c r="AF504" i="2"/>
  <c r="AB504" i="2"/>
  <c r="AK504" i="2"/>
  <c r="AE504" i="2"/>
  <c r="AI504" i="2"/>
  <c r="AC504" i="2"/>
  <c r="AH504" i="2"/>
  <c r="AJ516" i="2"/>
  <c r="AF516" i="2"/>
  <c r="AB516" i="2"/>
  <c r="AH516" i="2"/>
  <c r="AC516" i="2"/>
  <c r="AI516" i="2"/>
  <c r="AG516" i="2"/>
  <c r="AH522" i="2"/>
  <c r="AD522" i="2"/>
  <c r="AI522" i="2"/>
  <c r="AC522" i="2"/>
  <c r="AF522" i="2"/>
  <c r="AK522" i="2"/>
  <c r="AE522" i="2"/>
  <c r="AJ532" i="2"/>
  <c r="AF532" i="2"/>
  <c r="AB532" i="2"/>
  <c r="AH532" i="2"/>
  <c r="AC532" i="2"/>
  <c r="AI532" i="2"/>
  <c r="AG532" i="2"/>
  <c r="AJ540" i="2"/>
  <c r="AF540" i="2"/>
  <c r="AB540" i="2"/>
  <c r="AK540" i="2"/>
  <c r="AE540" i="2"/>
  <c r="AH540" i="2"/>
  <c r="AG540" i="2"/>
  <c r="AH542" i="2"/>
  <c r="AD542" i="2"/>
  <c r="AK542" i="2"/>
  <c r="AF542" i="2"/>
  <c r="AI542" i="2"/>
  <c r="AB542" i="2"/>
  <c r="AG542" i="2"/>
  <c r="AH602" i="2"/>
  <c r="AD602" i="2"/>
  <c r="AK602" i="2"/>
  <c r="AG602" i="2"/>
  <c r="AC602" i="2"/>
  <c r="AE602" i="2"/>
  <c r="AF602" i="2"/>
  <c r="AB602" i="2"/>
  <c r="AI602" i="2"/>
  <c r="AW551" i="2"/>
  <c r="AH494" i="2"/>
  <c r="AD494" i="2"/>
  <c r="AI494" i="2"/>
  <c r="AC494" i="2"/>
  <c r="AG494" i="2"/>
  <c r="AF494" i="2"/>
  <c r="AK494" i="2"/>
  <c r="AG504" i="2"/>
  <c r="AH514" i="2"/>
  <c r="AD514" i="2"/>
  <c r="AI514" i="2"/>
  <c r="AC514" i="2"/>
  <c r="AF514" i="2"/>
  <c r="AK514" i="2"/>
  <c r="AE514" i="2"/>
  <c r="AE516" i="2"/>
  <c r="AG522" i="2"/>
  <c r="AJ524" i="2"/>
  <c r="AF524" i="2"/>
  <c r="AB524" i="2"/>
  <c r="AH524" i="2"/>
  <c r="AC524" i="2"/>
  <c r="AI524" i="2"/>
  <c r="AG524" i="2"/>
  <c r="AH530" i="2"/>
  <c r="AD530" i="2"/>
  <c r="AI530" i="2"/>
  <c r="AC530" i="2"/>
  <c r="AF530" i="2"/>
  <c r="AK530" i="2"/>
  <c r="AE530" i="2"/>
  <c r="AE532" i="2"/>
  <c r="AD540" i="2"/>
  <c r="AI541" i="2"/>
  <c r="AE541" i="2"/>
  <c r="AK541" i="2"/>
  <c r="AF541" i="2"/>
  <c r="AH541" i="2"/>
  <c r="AB541" i="2"/>
  <c r="AG541" i="2"/>
  <c r="AE542" i="2"/>
  <c r="AJ620" i="2"/>
  <c r="AF620" i="2"/>
  <c r="AB620" i="2"/>
  <c r="AI620" i="2"/>
  <c r="AE620" i="2"/>
  <c r="AD620" i="2"/>
  <c r="AK620" i="2"/>
  <c r="AH620" i="2"/>
  <c r="AC620" i="2"/>
  <c r="AJ624" i="2"/>
  <c r="AF624" i="2"/>
  <c r="AB624" i="2"/>
  <c r="AI624" i="2"/>
  <c r="AE624" i="2"/>
  <c r="AK624" i="2"/>
  <c r="AC624" i="2"/>
  <c r="AG624" i="2"/>
  <c r="AD624" i="2"/>
  <c r="AI627" i="2"/>
  <c r="AG627" i="2"/>
  <c r="AC627" i="2"/>
  <c r="AK627" i="2"/>
  <c r="AF627" i="2"/>
  <c r="AB627" i="2"/>
  <c r="AH627" i="2"/>
  <c r="AJ627" i="2"/>
  <c r="AE627" i="2"/>
  <c r="AD627" i="2"/>
  <c r="AJ630" i="2"/>
  <c r="AF630" i="2"/>
  <c r="AB630" i="2"/>
  <c r="AG630" i="2"/>
  <c r="AK630" i="2"/>
  <c r="AE630" i="2"/>
  <c r="AH630" i="2"/>
  <c r="AD630" i="2"/>
  <c r="AC630" i="2"/>
  <c r="AI630" i="2"/>
  <c r="AJ544" i="2"/>
  <c r="AF544" i="2"/>
  <c r="AB544" i="2"/>
  <c r="AK544" i="2"/>
  <c r="AE544" i="2"/>
  <c r="AH544" i="2"/>
  <c r="AG544" i="2"/>
  <c r="AJ560" i="2"/>
  <c r="AF560" i="2"/>
  <c r="AB560" i="2"/>
  <c r="AI560" i="2"/>
  <c r="AE560" i="2"/>
  <c r="AG560" i="2"/>
  <c r="AD560" i="2"/>
  <c r="AC560" i="2"/>
  <c r="AI565" i="2"/>
  <c r="AE565" i="2"/>
  <c r="AH565" i="2"/>
  <c r="AD565" i="2"/>
  <c r="AG565" i="2"/>
  <c r="AF565" i="2"/>
  <c r="AC565" i="2"/>
  <c r="AK575" i="2"/>
  <c r="AG575" i="2"/>
  <c r="AC575" i="2"/>
  <c r="AJ575" i="2"/>
  <c r="AF575" i="2"/>
  <c r="AB575" i="2"/>
  <c r="AH575" i="2"/>
  <c r="AE575" i="2"/>
  <c r="AD575" i="2"/>
  <c r="AJ576" i="2"/>
  <c r="AF576" i="2"/>
  <c r="AB576" i="2"/>
  <c r="AI576" i="2"/>
  <c r="AE576" i="2"/>
  <c r="AH576" i="2"/>
  <c r="AD576" i="2"/>
  <c r="AC576" i="2"/>
  <c r="AJ593" i="2"/>
  <c r="AF593" i="2"/>
  <c r="AB593" i="2"/>
  <c r="AI593" i="2"/>
  <c r="AE593" i="2"/>
  <c r="AD593" i="2"/>
  <c r="AC593" i="2"/>
  <c r="AK593" i="2"/>
  <c r="AI594" i="2"/>
  <c r="AE594" i="2"/>
  <c r="AH594" i="2"/>
  <c r="AD594" i="2"/>
  <c r="AG594" i="2"/>
  <c r="AC594" i="2"/>
  <c r="AK594" i="2"/>
  <c r="AB594" i="2"/>
  <c r="AH595" i="2"/>
  <c r="AD595" i="2"/>
  <c r="AK595" i="2"/>
  <c r="AG595" i="2"/>
  <c r="AC595" i="2"/>
  <c r="AJ595" i="2"/>
  <c r="AB595" i="2"/>
  <c r="AE595" i="2"/>
  <c r="AI613" i="2"/>
  <c r="AE613" i="2"/>
  <c r="AH613" i="2"/>
  <c r="AD613" i="2"/>
  <c r="AK613" i="2"/>
  <c r="AC613" i="2"/>
  <c r="AB613" i="2"/>
  <c r="AJ613" i="2"/>
  <c r="AK623" i="2"/>
  <c r="AG623" i="2"/>
  <c r="AC623" i="2"/>
  <c r="AJ623" i="2"/>
  <c r="AF623" i="2"/>
  <c r="AB623" i="2"/>
  <c r="AI623" i="2"/>
  <c r="AH623" i="2"/>
  <c r="AE623" i="2"/>
  <c r="AD544" i="2"/>
  <c r="AI545" i="2"/>
  <c r="AE545" i="2"/>
  <c r="AH545" i="2"/>
  <c r="AF545" i="2"/>
  <c r="AJ545" i="2"/>
  <c r="AB545" i="2"/>
  <c r="AG545" i="2"/>
  <c r="AI557" i="2"/>
  <c r="AE557" i="2"/>
  <c r="AH557" i="2"/>
  <c r="AD557" i="2"/>
  <c r="AK557" i="2"/>
  <c r="AC557" i="2"/>
  <c r="AG557" i="2"/>
  <c r="AF557" i="2"/>
  <c r="AK559" i="2"/>
  <c r="AG559" i="2"/>
  <c r="AC559" i="2"/>
  <c r="AJ559" i="2"/>
  <c r="AF559" i="2"/>
  <c r="AB559" i="2"/>
  <c r="AE559" i="2"/>
  <c r="AI559" i="2"/>
  <c r="AH559" i="2"/>
  <c r="AK560" i="2"/>
  <c r="AJ565" i="2"/>
  <c r="AK571" i="2"/>
  <c r="AG571" i="2"/>
  <c r="AC571" i="2"/>
  <c r="AJ571" i="2"/>
  <c r="AF571" i="2"/>
  <c r="AB571" i="2"/>
  <c r="AI571" i="2"/>
  <c r="AE571" i="2"/>
  <c r="AD571" i="2"/>
  <c r="AJ572" i="2"/>
  <c r="AF572" i="2"/>
  <c r="AB572" i="2"/>
  <c r="AI572" i="2"/>
  <c r="AE572" i="2"/>
  <c r="AK572" i="2"/>
  <c r="AC572" i="2"/>
  <c r="AD572" i="2"/>
  <c r="AI587" i="2"/>
  <c r="AE587" i="2"/>
  <c r="AH587" i="2"/>
  <c r="AD587" i="2"/>
  <c r="AG587" i="2"/>
  <c r="AC587" i="2"/>
  <c r="AK587" i="2"/>
  <c r="AB587" i="2"/>
  <c r="AH588" i="2"/>
  <c r="AD588" i="2"/>
  <c r="AK588" i="2"/>
  <c r="AG588" i="2"/>
  <c r="AC588" i="2"/>
  <c r="AJ588" i="2"/>
  <c r="AB588" i="2"/>
  <c r="AE588" i="2"/>
  <c r="AI598" i="2"/>
  <c r="AE598" i="2"/>
  <c r="AH598" i="2"/>
  <c r="AD598" i="2"/>
  <c r="AF598" i="2"/>
  <c r="AG598" i="2"/>
  <c r="AC598" i="2"/>
  <c r="AK603" i="2"/>
  <c r="AG603" i="2"/>
  <c r="AC603" i="2"/>
  <c r="AJ603" i="2"/>
  <c r="AF603" i="2"/>
  <c r="AB603" i="2"/>
  <c r="AD603" i="2"/>
  <c r="AI603" i="2"/>
  <c r="AH603" i="2"/>
  <c r="AK615" i="2"/>
  <c r="AG615" i="2"/>
  <c r="AC615" i="2"/>
  <c r="AJ615" i="2"/>
  <c r="AF615" i="2"/>
  <c r="AB615" i="2"/>
  <c r="AE615" i="2"/>
  <c r="AD615" i="2"/>
  <c r="AI617" i="2"/>
  <c r="AE617" i="2"/>
  <c r="AH617" i="2"/>
  <c r="AD617" i="2"/>
  <c r="AJ617" i="2"/>
  <c r="AB617" i="2"/>
  <c r="AK617" i="2"/>
  <c r="AG617" i="2"/>
  <c r="AK619" i="2"/>
  <c r="AG619" i="2"/>
  <c r="AC619" i="2"/>
  <c r="AJ619" i="2"/>
  <c r="AF619" i="2"/>
  <c r="AB619" i="2"/>
  <c r="AD619" i="2"/>
  <c r="AE619" i="2"/>
  <c r="AI625" i="2"/>
  <c r="AE625" i="2"/>
  <c r="AH625" i="2"/>
  <c r="AD625" i="2"/>
  <c r="AF625" i="2"/>
  <c r="AC625" i="2"/>
  <c r="AK625" i="2"/>
  <c r="AB625" i="2"/>
  <c r="AH626" i="2"/>
  <c r="AD626" i="2"/>
  <c r="AK626" i="2"/>
  <c r="AG626" i="2"/>
  <c r="AC626" i="2"/>
  <c r="AI626" i="2"/>
  <c r="AE626" i="2"/>
  <c r="AB626" i="2"/>
  <c r="AK547" i="2"/>
  <c r="AG547" i="2"/>
  <c r="AC547" i="2"/>
  <c r="AJ547" i="2"/>
  <c r="AF547" i="2"/>
  <c r="AB547" i="2"/>
  <c r="AH547" i="2"/>
  <c r="AJ548" i="2"/>
  <c r="AF548" i="2"/>
  <c r="AB548" i="2"/>
  <c r="AI548" i="2"/>
  <c r="AE548" i="2"/>
  <c r="AH548" i="2"/>
  <c r="AK548" i="2"/>
  <c r="AI573" i="2"/>
  <c r="AE573" i="2"/>
  <c r="AH573" i="2"/>
  <c r="AD573" i="2"/>
  <c r="AF573" i="2"/>
  <c r="AJ573" i="2"/>
  <c r="AH574" i="2"/>
  <c r="AD574" i="2"/>
  <c r="AK574" i="2"/>
  <c r="AG574" i="2"/>
  <c r="AC574" i="2"/>
  <c r="AI574" i="2"/>
  <c r="AJ574" i="2"/>
  <c r="AH578" i="2"/>
  <c r="AD578" i="2"/>
  <c r="AK578" i="2"/>
  <c r="AG578" i="2"/>
  <c r="AC578" i="2"/>
  <c r="AF578" i="2"/>
  <c r="AJ578" i="2"/>
  <c r="AJ591" i="2"/>
  <c r="AF591" i="2"/>
  <c r="AB591" i="2"/>
  <c r="AI591" i="2"/>
  <c r="AE591" i="2"/>
  <c r="AH591" i="2"/>
  <c r="AK591" i="2"/>
  <c r="AJ592" i="2"/>
  <c r="AF592" i="2"/>
  <c r="AB592" i="2"/>
  <c r="AI592" i="2"/>
  <c r="AE592" i="2"/>
  <c r="AG592" i="2"/>
  <c r="AK592" i="2"/>
  <c r="AK607" i="2"/>
  <c r="AG607" i="2"/>
  <c r="AC607" i="2"/>
  <c r="AJ607" i="2"/>
  <c r="AF607" i="2"/>
  <c r="AB607" i="2"/>
  <c r="AI607" i="2"/>
  <c r="AK611" i="2"/>
  <c r="AG611" i="2"/>
  <c r="AC611" i="2"/>
  <c r="AJ611" i="2"/>
  <c r="AF611" i="2"/>
  <c r="AB611" i="2"/>
  <c r="AH611" i="2"/>
  <c r="AJ612" i="2"/>
  <c r="AF612" i="2"/>
  <c r="AB612" i="2"/>
  <c r="AI612" i="2"/>
  <c r="AE612" i="2"/>
  <c r="AH612" i="2"/>
  <c r="AK612" i="2"/>
  <c r="AI621" i="2"/>
  <c r="AE621" i="2"/>
  <c r="AH621" i="2"/>
  <c r="AD621" i="2"/>
  <c r="AG621" i="2"/>
  <c r="AJ621" i="2"/>
  <c r="AK629" i="2"/>
  <c r="AG629" i="2"/>
  <c r="AC629" i="2"/>
  <c r="AH629" i="2"/>
  <c r="AB629" i="2"/>
  <c r="AF629" i="2"/>
  <c r="AI629" i="2"/>
  <c r="AI513" i="2"/>
  <c r="AE513" i="2"/>
  <c r="AH513" i="2"/>
  <c r="AC513" i="2"/>
  <c r="AG513" i="2"/>
  <c r="AI517" i="2"/>
  <c r="AE517" i="2"/>
  <c r="AH517" i="2"/>
  <c r="AC517" i="2"/>
  <c r="AG517" i="2"/>
  <c r="AI521" i="2"/>
  <c r="AE521" i="2"/>
  <c r="AH521" i="2"/>
  <c r="AC521" i="2"/>
  <c r="AG521" i="2"/>
  <c r="AI525" i="2"/>
  <c r="AE525" i="2"/>
  <c r="AH525" i="2"/>
  <c r="AC525" i="2"/>
  <c r="AG525" i="2"/>
  <c r="AI529" i="2"/>
  <c r="AE529" i="2"/>
  <c r="AH529" i="2"/>
  <c r="AC529" i="2"/>
  <c r="AG529" i="2"/>
  <c r="AI533" i="2"/>
  <c r="AE533" i="2"/>
  <c r="AH533" i="2"/>
  <c r="AC533" i="2"/>
  <c r="AG533" i="2"/>
  <c r="AH546" i="2"/>
  <c r="AD546" i="2"/>
  <c r="AK546" i="2"/>
  <c r="AG546" i="2"/>
  <c r="AC546" i="2"/>
  <c r="AI546" i="2"/>
  <c r="AJ546" i="2"/>
  <c r="AD547" i="2"/>
  <c r="AC548" i="2"/>
  <c r="AB573" i="2"/>
  <c r="AK573" i="2"/>
  <c r="AB574" i="2"/>
  <c r="AK589" i="2"/>
  <c r="AG589" i="2"/>
  <c r="AC589" i="2"/>
  <c r="AJ589" i="2"/>
  <c r="AF589" i="2"/>
  <c r="AB589" i="2"/>
  <c r="AI589" i="2"/>
  <c r="AC591" i="2"/>
  <c r="AC592" i="2"/>
  <c r="AK596" i="2"/>
  <c r="AG596" i="2"/>
  <c r="AC596" i="2"/>
  <c r="AJ596" i="2"/>
  <c r="AF596" i="2"/>
  <c r="AB596" i="2"/>
  <c r="AI596" i="2"/>
  <c r="AD607" i="2"/>
  <c r="AJ608" i="2"/>
  <c r="AF608" i="2"/>
  <c r="AB608" i="2"/>
  <c r="AI608" i="2"/>
  <c r="AE608" i="2"/>
  <c r="AK608" i="2"/>
  <c r="AC608" i="2"/>
  <c r="AI609" i="2"/>
  <c r="AE609" i="2"/>
  <c r="AH609" i="2"/>
  <c r="AD609" i="2"/>
  <c r="AF609" i="2"/>
  <c r="AJ609" i="2"/>
  <c r="AH610" i="2"/>
  <c r="AD610" i="2"/>
  <c r="AK610" i="2"/>
  <c r="AG610" i="2"/>
  <c r="AC610" i="2"/>
  <c r="AI610" i="2"/>
  <c r="AJ610" i="2"/>
  <c r="AD611" i="2"/>
  <c r="AC612" i="2"/>
  <c r="AH614" i="2"/>
  <c r="AD614" i="2"/>
  <c r="AK614" i="2"/>
  <c r="AG614" i="2"/>
  <c r="AC614" i="2"/>
  <c r="AF614" i="2"/>
  <c r="AJ614" i="2"/>
  <c r="AJ616" i="2"/>
  <c r="AF616" i="2"/>
  <c r="AB616" i="2"/>
  <c r="AI616" i="2"/>
  <c r="AE616" i="2"/>
  <c r="AG616" i="2"/>
  <c r="AK616" i="2"/>
  <c r="AB621" i="2"/>
  <c r="AK621" i="2"/>
  <c r="AH628" i="2"/>
  <c r="AD628" i="2"/>
  <c r="AG628" i="2"/>
  <c r="AB628" i="2"/>
  <c r="AK628" i="2"/>
  <c r="AF628" i="2"/>
  <c r="AI628" i="2"/>
  <c r="AD629" i="2"/>
  <c r="AO1402" i="1"/>
  <c r="AN1402" i="1"/>
  <c r="AX1400" i="1"/>
  <c r="AW1400" i="1"/>
  <c r="AV1400" i="1"/>
  <c r="AU1400" i="1"/>
  <c r="AT1400" i="1"/>
  <c r="AS1400" i="1"/>
  <c r="AR1400" i="1"/>
  <c r="AQ1400" i="1"/>
  <c r="AP1400" i="1"/>
  <c r="AM1400" i="1"/>
  <c r="AL1400" i="1"/>
  <c r="AK1400" i="1"/>
  <c r="AJ1400" i="1"/>
  <c r="AI1400" i="1"/>
  <c r="AH1400" i="1"/>
  <c r="AG1400" i="1"/>
  <c r="AF1400" i="1"/>
  <c r="AE1400" i="1"/>
  <c r="AD1400" i="1"/>
  <c r="AC1400" i="1"/>
  <c r="AB1400" i="1"/>
  <c r="AA1400" i="1"/>
  <c r="Z1400" i="1"/>
  <c r="Y1400" i="1"/>
  <c r="X1400" i="1"/>
  <c r="W1400" i="1"/>
  <c r="V1400" i="1"/>
  <c r="U1400" i="1"/>
  <c r="U1402" i="1" s="1"/>
  <c r="P1400" i="1"/>
  <c r="O1400" i="1"/>
  <c r="N1400" i="1"/>
  <c r="N1402" i="1" s="1"/>
  <c r="M1400" i="1"/>
  <c r="M1402" i="1" s="1"/>
  <c r="L1400" i="1"/>
  <c r="L1402" i="1" s="1"/>
  <c r="K1400" i="1"/>
  <c r="J1400" i="1"/>
  <c r="I1400" i="1"/>
  <c r="H1400" i="1"/>
  <c r="G1400" i="1"/>
  <c r="F1400" i="1"/>
  <c r="E1400" i="1"/>
  <c r="D1400" i="1"/>
  <c r="AN1399" i="1"/>
  <c r="Q1399" i="1"/>
  <c r="R1399" i="1" s="1"/>
  <c r="S1399" i="1" s="1"/>
  <c r="T1399" i="1" s="1"/>
  <c r="AN1398" i="1"/>
  <c r="Q1398" i="1"/>
  <c r="R1398" i="1" s="1"/>
  <c r="S1398" i="1" s="1"/>
  <c r="T1398" i="1" s="1"/>
  <c r="AN1397" i="1"/>
  <c r="Q1397" i="1"/>
  <c r="R1397" i="1" s="1"/>
  <c r="S1397" i="1" s="1"/>
  <c r="T1397" i="1" s="1"/>
  <c r="AN1396" i="1"/>
  <c r="Q1396" i="1"/>
  <c r="R1396" i="1" s="1"/>
  <c r="S1396" i="1" s="1"/>
  <c r="T1396" i="1" s="1"/>
  <c r="AN1395" i="1"/>
  <c r="Q1395" i="1"/>
  <c r="R1395" i="1" s="1"/>
  <c r="S1395" i="1" s="1"/>
  <c r="T1395" i="1" s="1"/>
  <c r="AN1394" i="1"/>
  <c r="Q1394" i="1"/>
  <c r="R1394" i="1" s="1"/>
  <c r="S1394" i="1" s="1"/>
  <c r="T1394" i="1" s="1"/>
  <c r="AN1393" i="1"/>
  <c r="Q1393" i="1"/>
  <c r="R1393" i="1" s="1"/>
  <c r="S1393" i="1" s="1"/>
  <c r="T1393" i="1" s="1"/>
  <c r="AN1392" i="1"/>
  <c r="Q1392" i="1"/>
  <c r="R1392" i="1" s="1"/>
  <c r="S1392" i="1" s="1"/>
  <c r="T1392" i="1" s="1"/>
  <c r="AN1391" i="1"/>
  <c r="Q1391" i="1"/>
  <c r="R1391" i="1" s="1"/>
  <c r="S1391" i="1" s="1"/>
  <c r="T1391" i="1" s="1"/>
  <c r="AN1390" i="1"/>
  <c r="Q1390" i="1"/>
  <c r="R1390" i="1" s="1"/>
  <c r="S1390" i="1" s="1"/>
  <c r="T1390" i="1" s="1"/>
  <c r="AN1389" i="1"/>
  <c r="Q1389" i="1"/>
  <c r="R1389" i="1" s="1"/>
  <c r="S1389" i="1" s="1"/>
  <c r="T1389" i="1" s="1"/>
  <c r="AN1388" i="1"/>
  <c r="R1388" i="1"/>
  <c r="S1388" i="1" s="1"/>
  <c r="T1388" i="1" s="1"/>
  <c r="Q1388" i="1"/>
  <c r="AN1387" i="1"/>
  <c r="S1387" i="1"/>
  <c r="T1387" i="1" s="1"/>
  <c r="R1387" i="1"/>
  <c r="Q1387" i="1"/>
  <c r="AN1386" i="1"/>
  <c r="Q1386" i="1"/>
  <c r="R1386" i="1" s="1"/>
  <c r="S1386" i="1" s="1"/>
  <c r="T1386" i="1" s="1"/>
  <c r="AN1385" i="1"/>
  <c r="Q1385" i="1"/>
  <c r="R1385" i="1" s="1"/>
  <c r="S1385" i="1" s="1"/>
  <c r="T1385" i="1" s="1"/>
  <c r="AN1384" i="1"/>
  <c r="R1384" i="1"/>
  <c r="S1384" i="1" s="1"/>
  <c r="T1384" i="1" s="1"/>
  <c r="Q1384" i="1"/>
  <c r="AN1383" i="1"/>
  <c r="Q1383" i="1"/>
  <c r="R1383" i="1" s="1"/>
  <c r="S1383" i="1" s="1"/>
  <c r="T1383" i="1" s="1"/>
  <c r="AN1382" i="1"/>
  <c r="Q1382" i="1"/>
  <c r="R1382" i="1" s="1"/>
  <c r="S1382" i="1" s="1"/>
  <c r="T1382" i="1" s="1"/>
  <c r="AN1381" i="1"/>
  <c r="Q1381" i="1"/>
  <c r="R1381" i="1" s="1"/>
  <c r="S1381" i="1" s="1"/>
  <c r="T1381" i="1" s="1"/>
  <c r="AN1380" i="1"/>
  <c r="Q1380" i="1"/>
  <c r="R1380" i="1" s="1"/>
  <c r="S1380" i="1" s="1"/>
  <c r="T1380" i="1" s="1"/>
  <c r="AN1379" i="1"/>
  <c r="R1379" i="1"/>
  <c r="S1379" i="1" s="1"/>
  <c r="T1379" i="1" s="1"/>
  <c r="Q1379" i="1"/>
  <c r="AN1378" i="1"/>
  <c r="Q1378" i="1"/>
  <c r="R1378" i="1" s="1"/>
  <c r="S1378" i="1" s="1"/>
  <c r="T1378" i="1" s="1"/>
  <c r="AN1377" i="1"/>
  <c r="Q1377" i="1"/>
  <c r="R1377" i="1" s="1"/>
  <c r="S1377" i="1" s="1"/>
  <c r="T1377" i="1" s="1"/>
  <c r="AN1376" i="1"/>
  <c r="Q1376" i="1"/>
  <c r="R1376" i="1" s="1"/>
  <c r="S1376" i="1" s="1"/>
  <c r="T1376" i="1" s="1"/>
  <c r="AN1375" i="1"/>
  <c r="Q1375" i="1"/>
  <c r="R1375" i="1" s="1"/>
  <c r="S1375" i="1" s="1"/>
  <c r="T1375" i="1" s="1"/>
  <c r="AN1374" i="1"/>
  <c r="Q1374" i="1"/>
  <c r="R1374" i="1" s="1"/>
  <c r="S1374" i="1" s="1"/>
  <c r="T1374" i="1" s="1"/>
  <c r="AN1373" i="1"/>
  <c r="Q1373" i="1"/>
  <c r="R1373" i="1" s="1"/>
  <c r="S1373" i="1" s="1"/>
  <c r="T1373" i="1" s="1"/>
  <c r="AN1372" i="1"/>
  <c r="Q1372" i="1"/>
  <c r="R1372" i="1" s="1"/>
  <c r="S1372" i="1" s="1"/>
  <c r="T1372" i="1" s="1"/>
  <c r="AN1371" i="1"/>
  <c r="Q1371" i="1"/>
  <c r="R1371" i="1" s="1"/>
  <c r="S1371" i="1" s="1"/>
  <c r="T1371" i="1" s="1"/>
  <c r="AW1368" i="1"/>
  <c r="AW1402" i="1" s="1"/>
  <c r="AU1368" i="1"/>
  <c r="AT1368" i="1"/>
  <c r="AS1368" i="1"/>
  <c r="AS1402" i="1" s="1"/>
  <c r="AB1368" i="1"/>
  <c r="AA1368" i="1"/>
  <c r="AA1402" i="1" s="1"/>
  <c r="Z1368" i="1"/>
  <c r="Z1402" i="1" s="1"/>
  <c r="Y1368" i="1"/>
  <c r="X1368" i="1"/>
  <c r="V1368" i="1"/>
  <c r="V1402" i="1" s="1"/>
  <c r="U1368" i="1"/>
  <c r="P1368" i="1"/>
  <c r="O1368" i="1"/>
  <c r="K1368" i="1"/>
  <c r="K1402" i="1" s="1"/>
  <c r="J1368" i="1"/>
  <c r="I1368" i="1"/>
  <c r="I1402" i="1" s="1"/>
  <c r="H1368" i="1"/>
  <c r="G1368" i="1"/>
  <c r="G1402" i="1" s="1"/>
  <c r="F1368" i="1"/>
  <c r="E1368" i="1"/>
  <c r="E1402" i="1" s="1"/>
  <c r="D1368" i="1"/>
  <c r="AN1367" i="1"/>
  <c r="Q1367" i="1"/>
  <c r="R1367" i="1" s="1"/>
  <c r="S1367" i="1" s="1"/>
  <c r="T1367" i="1" s="1"/>
  <c r="AN1366" i="1"/>
  <c r="Q1366" i="1"/>
  <c r="R1366" i="1" s="1"/>
  <c r="S1366" i="1" s="1"/>
  <c r="T1366" i="1" s="1"/>
  <c r="AN1365" i="1"/>
  <c r="Q1365" i="1"/>
  <c r="R1365" i="1" s="1"/>
  <c r="S1365" i="1" s="1"/>
  <c r="T1365" i="1" s="1"/>
  <c r="AN1364" i="1"/>
  <c r="Q1364" i="1"/>
  <c r="R1364" i="1" s="1"/>
  <c r="S1364" i="1" s="1"/>
  <c r="T1364" i="1" s="1"/>
  <c r="AN1363" i="1"/>
  <c r="W1363" i="1"/>
  <c r="AN1362" i="1"/>
  <c r="Q1362" i="1"/>
  <c r="R1362" i="1" s="1"/>
  <c r="S1362" i="1" s="1"/>
  <c r="T1362" i="1" s="1"/>
  <c r="AN1361" i="1"/>
  <c r="Q1361" i="1"/>
  <c r="R1361" i="1" s="1"/>
  <c r="S1361" i="1" s="1"/>
  <c r="T1361" i="1" s="1"/>
  <c r="AN1360" i="1"/>
  <c r="Q1360" i="1"/>
  <c r="R1360" i="1" s="1"/>
  <c r="S1360" i="1" s="1"/>
  <c r="T1360" i="1" s="1"/>
  <c r="AN1359" i="1"/>
  <c r="Q1359" i="1"/>
  <c r="R1359" i="1" s="1"/>
  <c r="S1359" i="1" s="1"/>
  <c r="T1359" i="1" s="1"/>
  <c r="AN1358" i="1"/>
  <c r="Q1358" i="1"/>
  <c r="R1358" i="1" s="1"/>
  <c r="S1358" i="1" s="1"/>
  <c r="T1358" i="1" s="1"/>
  <c r="AN1357" i="1"/>
  <c r="Q1357" i="1"/>
  <c r="R1357" i="1" s="1"/>
  <c r="S1357" i="1" s="1"/>
  <c r="T1357" i="1" s="1"/>
  <c r="AN1356" i="1"/>
  <c r="Q1356" i="1"/>
  <c r="R1356" i="1" s="1"/>
  <c r="S1356" i="1" s="1"/>
  <c r="T1356" i="1" s="1"/>
  <c r="AN1355" i="1"/>
  <c r="R1355" i="1"/>
  <c r="S1355" i="1" s="1"/>
  <c r="T1355" i="1" s="1"/>
  <c r="Q1355" i="1"/>
  <c r="AN1354" i="1"/>
  <c r="Q1354" i="1"/>
  <c r="AX1347" i="1"/>
  <c r="AW1347" i="1"/>
  <c r="AV1347" i="1"/>
  <c r="AU1347" i="1"/>
  <c r="AU1349" i="1" s="1"/>
  <c r="AT1347" i="1"/>
  <c r="AS1347" i="1"/>
  <c r="AR1347" i="1"/>
  <c r="AQ1347" i="1"/>
  <c r="AQ1349" i="1" s="1"/>
  <c r="AP1347" i="1"/>
  <c r="AM1347" i="1"/>
  <c r="AL1347" i="1"/>
  <c r="AK1347" i="1"/>
  <c r="AJ1347" i="1"/>
  <c r="AI1347" i="1"/>
  <c r="AH1347" i="1"/>
  <c r="AG1347" i="1"/>
  <c r="AG1349" i="1" s="1"/>
  <c r="AF1347" i="1"/>
  <c r="AE1347" i="1"/>
  <c r="AD1347" i="1"/>
  <c r="AC1347" i="1"/>
  <c r="AC1349" i="1" s="1"/>
  <c r="AB1347" i="1"/>
  <c r="AA1347" i="1"/>
  <c r="Z1347" i="1"/>
  <c r="Y1347" i="1"/>
  <c r="Y1349" i="1" s="1"/>
  <c r="X1347" i="1"/>
  <c r="W1347" i="1"/>
  <c r="V1347" i="1"/>
  <c r="U1347" i="1"/>
  <c r="U1349" i="1" s="1"/>
  <c r="P1347" i="1"/>
  <c r="O1347" i="1"/>
  <c r="N1347" i="1"/>
  <c r="M1347" i="1"/>
  <c r="M1349" i="1" s="1"/>
  <c r="L1347" i="1"/>
  <c r="K1347" i="1"/>
  <c r="J1347" i="1"/>
  <c r="I1347" i="1"/>
  <c r="I1349" i="1" s="1"/>
  <c r="H1347" i="1"/>
  <c r="G1347" i="1"/>
  <c r="F1347" i="1"/>
  <c r="E1347" i="1"/>
  <c r="D1347" i="1"/>
  <c r="AN1346" i="1"/>
  <c r="Q1346" i="1"/>
  <c r="R1346" i="1" s="1"/>
  <c r="S1346" i="1" s="1"/>
  <c r="T1346" i="1" s="1"/>
  <c r="AN1345" i="1"/>
  <c r="Q1345" i="1"/>
  <c r="R1345" i="1" s="1"/>
  <c r="S1345" i="1" s="1"/>
  <c r="T1345" i="1" s="1"/>
  <c r="AN1344" i="1"/>
  <c r="Q1344" i="1"/>
  <c r="R1344" i="1" s="1"/>
  <c r="S1344" i="1" s="1"/>
  <c r="T1344" i="1" s="1"/>
  <c r="AN1343" i="1"/>
  <c r="Q1343" i="1"/>
  <c r="R1343" i="1" s="1"/>
  <c r="S1343" i="1" s="1"/>
  <c r="T1343" i="1" s="1"/>
  <c r="AN1342" i="1"/>
  <c r="R1342" i="1"/>
  <c r="S1342" i="1" s="1"/>
  <c r="T1342" i="1" s="1"/>
  <c r="Q1342" i="1"/>
  <c r="AN1341" i="1"/>
  <c r="Q1341" i="1"/>
  <c r="R1341" i="1" s="1"/>
  <c r="S1341" i="1" s="1"/>
  <c r="T1341" i="1" s="1"/>
  <c r="AN1340" i="1"/>
  <c r="Q1340" i="1"/>
  <c r="R1340" i="1" s="1"/>
  <c r="S1340" i="1" s="1"/>
  <c r="T1340" i="1" s="1"/>
  <c r="AN1339" i="1"/>
  <c r="Q1339" i="1"/>
  <c r="R1339" i="1" s="1"/>
  <c r="S1339" i="1" s="1"/>
  <c r="T1339" i="1" s="1"/>
  <c r="AN1338" i="1"/>
  <c r="S1338" i="1"/>
  <c r="T1338" i="1" s="1"/>
  <c r="Q1338" i="1"/>
  <c r="R1338" i="1" s="1"/>
  <c r="AX1335" i="1"/>
  <c r="AW1335" i="1"/>
  <c r="AW1349" i="1" s="1"/>
  <c r="AV1335" i="1"/>
  <c r="AU1335" i="1"/>
  <c r="AT1335" i="1"/>
  <c r="AS1335" i="1"/>
  <c r="AS1349" i="1" s="1"/>
  <c r="AR1335" i="1"/>
  <c r="AQ1335" i="1"/>
  <c r="AP1335" i="1"/>
  <c r="AM1335" i="1"/>
  <c r="AM1349" i="1" s="1"/>
  <c r="AL1335" i="1"/>
  <c r="AK1335" i="1"/>
  <c r="AJ1335" i="1"/>
  <c r="AI1335" i="1"/>
  <c r="AI1349" i="1" s="1"/>
  <c r="AH1335" i="1"/>
  <c r="AG1335" i="1"/>
  <c r="AF1335" i="1"/>
  <c r="AE1335" i="1"/>
  <c r="AE1349" i="1" s="1"/>
  <c r="AD1335" i="1"/>
  <c r="AC1335" i="1"/>
  <c r="AB1335" i="1"/>
  <c r="AA1335" i="1"/>
  <c r="AA1349" i="1" s="1"/>
  <c r="Z1335" i="1"/>
  <c r="Y1335" i="1"/>
  <c r="X1335" i="1"/>
  <c r="W1335" i="1"/>
  <c r="W1349" i="1" s="1"/>
  <c r="V1335" i="1"/>
  <c r="U1335" i="1"/>
  <c r="P1335" i="1"/>
  <c r="O1335" i="1"/>
  <c r="O1349" i="1" s="1"/>
  <c r="N1335" i="1"/>
  <c r="M1335" i="1"/>
  <c r="L1335" i="1"/>
  <c r="K1335" i="1"/>
  <c r="K1349" i="1" s="1"/>
  <c r="J1335" i="1"/>
  <c r="I1335" i="1"/>
  <c r="H1335" i="1"/>
  <c r="G1335" i="1"/>
  <c r="G1349" i="1" s="1"/>
  <c r="F1335" i="1"/>
  <c r="E1335" i="1"/>
  <c r="D1335" i="1"/>
  <c r="AN1334" i="1"/>
  <c r="Q1334" i="1"/>
  <c r="R1334" i="1" s="1"/>
  <c r="S1334" i="1" s="1"/>
  <c r="T1334" i="1" s="1"/>
  <c r="AN1333" i="1"/>
  <c r="Q1333" i="1"/>
  <c r="R1333" i="1" s="1"/>
  <c r="S1333" i="1" s="1"/>
  <c r="T1333" i="1" s="1"/>
  <c r="AN1332" i="1"/>
  <c r="R1332" i="1"/>
  <c r="S1332" i="1" s="1"/>
  <c r="T1332" i="1" s="1"/>
  <c r="Q1332" i="1"/>
  <c r="AN1331" i="1"/>
  <c r="Q1331" i="1"/>
  <c r="R1331" i="1" s="1"/>
  <c r="S1331" i="1" s="1"/>
  <c r="T1331" i="1" s="1"/>
  <c r="AN1330" i="1"/>
  <c r="Q1330" i="1"/>
  <c r="R1330" i="1" s="1"/>
  <c r="S1330" i="1" s="1"/>
  <c r="T1330" i="1" s="1"/>
  <c r="AN1329" i="1"/>
  <c r="Q1329" i="1"/>
  <c r="R1329" i="1" s="1"/>
  <c r="S1329" i="1" s="1"/>
  <c r="T1329" i="1" s="1"/>
  <c r="AN1328" i="1"/>
  <c r="Q1328" i="1"/>
  <c r="R1328" i="1" s="1"/>
  <c r="S1328" i="1" s="1"/>
  <c r="T1328" i="1" s="1"/>
  <c r="AN1327" i="1"/>
  <c r="R1327" i="1"/>
  <c r="S1327" i="1" s="1"/>
  <c r="T1327" i="1" s="1"/>
  <c r="Q1327" i="1"/>
  <c r="AN1326" i="1"/>
  <c r="Q1326" i="1"/>
  <c r="R1326" i="1" s="1"/>
  <c r="S1326" i="1" s="1"/>
  <c r="T1326" i="1" s="1"/>
  <c r="AN1325" i="1"/>
  <c r="Q1325" i="1"/>
  <c r="R1325" i="1" s="1"/>
  <c r="S1325" i="1" s="1"/>
  <c r="T1325" i="1" s="1"/>
  <c r="AN1324" i="1"/>
  <c r="Q1324" i="1"/>
  <c r="AX1317" i="1"/>
  <c r="AW1317" i="1"/>
  <c r="AV1317" i="1"/>
  <c r="AU1317" i="1"/>
  <c r="AT1317" i="1"/>
  <c r="AS1317" i="1"/>
  <c r="AR1317" i="1"/>
  <c r="AQ1317" i="1"/>
  <c r="AP1317" i="1"/>
  <c r="AM1317" i="1"/>
  <c r="AL1317" i="1"/>
  <c r="AK1317" i="1"/>
  <c r="AJ1317" i="1"/>
  <c r="AI1317" i="1"/>
  <c r="AH1317" i="1"/>
  <c r="AG1317" i="1"/>
  <c r="AF1317" i="1"/>
  <c r="AE1317" i="1"/>
  <c r="AD1317" i="1"/>
  <c r="AC1317" i="1"/>
  <c r="AB1317" i="1"/>
  <c r="AA1317" i="1"/>
  <c r="Z1317" i="1"/>
  <c r="Y1317" i="1"/>
  <c r="X1317" i="1"/>
  <c r="W1317" i="1"/>
  <c r="V1317" i="1"/>
  <c r="U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AN1316" i="1"/>
  <c r="Q1316" i="1"/>
  <c r="R1316" i="1" s="1"/>
  <c r="S1316" i="1" s="1"/>
  <c r="T1316" i="1" s="1"/>
  <c r="AN1315" i="1"/>
  <c r="Q1315" i="1"/>
  <c r="R1315" i="1" s="1"/>
  <c r="S1315" i="1" s="1"/>
  <c r="T1315" i="1" s="1"/>
  <c r="AN1314" i="1"/>
  <c r="Q1314" i="1"/>
  <c r="R1314" i="1" s="1"/>
  <c r="S1314" i="1" s="1"/>
  <c r="T1314" i="1" s="1"/>
  <c r="AN1313" i="1"/>
  <c r="Q1313" i="1"/>
  <c r="R1313" i="1" s="1"/>
  <c r="S1313" i="1" s="1"/>
  <c r="T1313" i="1" s="1"/>
  <c r="AN1312" i="1"/>
  <c r="R1312" i="1"/>
  <c r="S1312" i="1" s="1"/>
  <c r="T1312" i="1" s="1"/>
  <c r="Q1312" i="1"/>
  <c r="AN1311" i="1"/>
  <c r="Q1311" i="1"/>
  <c r="R1311" i="1" s="1"/>
  <c r="S1311" i="1" s="1"/>
  <c r="T1311" i="1" s="1"/>
  <c r="AN1310" i="1"/>
  <c r="Q1310" i="1"/>
  <c r="R1310" i="1" s="1"/>
  <c r="S1310" i="1" s="1"/>
  <c r="T1310" i="1" s="1"/>
  <c r="AN1309" i="1"/>
  <c r="Q1309" i="1"/>
  <c r="R1309" i="1" s="1"/>
  <c r="S1309" i="1" s="1"/>
  <c r="T1309" i="1" s="1"/>
  <c r="AN1308" i="1"/>
  <c r="R1308" i="1"/>
  <c r="S1308" i="1" s="1"/>
  <c r="T1308" i="1" s="1"/>
  <c r="Q1308" i="1"/>
  <c r="AN1307" i="1"/>
  <c r="S1307" i="1"/>
  <c r="T1307" i="1" s="1"/>
  <c r="Q1307" i="1"/>
  <c r="R1307" i="1" s="1"/>
  <c r="AN1306" i="1"/>
  <c r="Q1306" i="1"/>
  <c r="R1306" i="1" s="1"/>
  <c r="S1306" i="1" s="1"/>
  <c r="T1306" i="1" s="1"/>
  <c r="AN1305" i="1"/>
  <c r="Q1305" i="1"/>
  <c r="R1305" i="1" s="1"/>
  <c r="AU1302" i="1"/>
  <c r="AT1302" i="1"/>
  <c r="AS1302" i="1"/>
  <c r="AB1302" i="1"/>
  <c r="AA1302" i="1"/>
  <c r="Z1302" i="1"/>
  <c r="Y1302" i="1"/>
  <c r="X1302" i="1"/>
  <c r="V1302" i="1"/>
  <c r="U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AN1301" i="1"/>
  <c r="Q1301" i="1"/>
  <c r="R1301" i="1" s="1"/>
  <c r="S1301" i="1" s="1"/>
  <c r="T1301" i="1" s="1"/>
  <c r="AN1300" i="1"/>
  <c r="Q1300" i="1"/>
  <c r="R1300" i="1" s="1"/>
  <c r="S1300" i="1" s="1"/>
  <c r="T1300" i="1" s="1"/>
  <c r="AN1298" i="1"/>
  <c r="Q1298" i="1"/>
  <c r="R1298" i="1" s="1"/>
  <c r="S1298" i="1" s="1"/>
  <c r="T1298" i="1" s="1"/>
  <c r="AN1297" i="1"/>
  <c r="W1297" i="1"/>
  <c r="AK1297" i="1" s="1"/>
  <c r="AK1302" i="1" s="1"/>
  <c r="AN1296" i="1"/>
  <c r="Q1296" i="1"/>
  <c r="R1296" i="1" s="1"/>
  <c r="S1296" i="1" s="1"/>
  <c r="T1296" i="1" s="1"/>
  <c r="AN1295" i="1"/>
  <c r="R1295" i="1"/>
  <c r="S1295" i="1" s="1"/>
  <c r="T1295" i="1" s="1"/>
  <c r="Q1295" i="1"/>
  <c r="AN1294" i="1"/>
  <c r="Q1294" i="1"/>
  <c r="R1294" i="1" s="1"/>
  <c r="S1294" i="1" s="1"/>
  <c r="T1294" i="1" s="1"/>
  <c r="AN1293" i="1"/>
  <c r="Q1293" i="1"/>
  <c r="R1293" i="1" s="1"/>
  <c r="S1293" i="1" s="1"/>
  <c r="T1293" i="1" s="1"/>
  <c r="AN1292" i="1"/>
  <c r="R1292" i="1"/>
  <c r="S1292" i="1" s="1"/>
  <c r="T1292" i="1" s="1"/>
  <c r="Q1292" i="1"/>
  <c r="AN1291" i="1"/>
  <c r="Q1291" i="1"/>
  <c r="R1291" i="1" s="1"/>
  <c r="S1291" i="1" s="1"/>
  <c r="T1291" i="1" s="1"/>
  <c r="AN1290" i="1"/>
  <c r="S1290" i="1"/>
  <c r="T1290" i="1" s="1"/>
  <c r="Q1290" i="1"/>
  <c r="R1290" i="1" s="1"/>
  <c r="AN1289" i="1"/>
  <c r="R1289" i="1"/>
  <c r="S1289" i="1" s="1"/>
  <c r="T1289" i="1" s="1"/>
  <c r="Q1289" i="1"/>
  <c r="AN1288" i="1"/>
  <c r="Q1288" i="1"/>
  <c r="R1288" i="1" s="1"/>
  <c r="S1288" i="1" s="1"/>
  <c r="T1288" i="1" s="1"/>
  <c r="AN1287" i="1"/>
  <c r="R1287" i="1"/>
  <c r="S1287" i="1" s="1"/>
  <c r="T1287" i="1" s="1"/>
  <c r="Q1287" i="1"/>
  <c r="AN1286" i="1"/>
  <c r="Q1286" i="1"/>
  <c r="R1286" i="1" s="1"/>
  <c r="S1286" i="1" s="1"/>
  <c r="T1286" i="1" s="1"/>
  <c r="AN1285" i="1"/>
  <c r="Q1285" i="1"/>
  <c r="R1285" i="1" s="1"/>
  <c r="S1285" i="1" s="1"/>
  <c r="T1285" i="1" s="1"/>
  <c r="AN1284" i="1"/>
  <c r="Q1284" i="1"/>
  <c r="R1284" i="1" s="1"/>
  <c r="S1284" i="1" s="1"/>
  <c r="T1284" i="1" s="1"/>
  <c r="AN1283" i="1"/>
  <c r="Q1283" i="1"/>
  <c r="R1283" i="1" s="1"/>
  <c r="S1283" i="1" s="1"/>
  <c r="T1283" i="1" s="1"/>
  <c r="AN1282" i="1"/>
  <c r="Q1282" i="1"/>
  <c r="R1282" i="1" s="1"/>
  <c r="S1282" i="1" s="1"/>
  <c r="T1282" i="1" s="1"/>
  <c r="AN1281" i="1"/>
  <c r="Q1281" i="1"/>
  <c r="R1281" i="1" s="1"/>
  <c r="S1281" i="1" s="1"/>
  <c r="T1281" i="1" s="1"/>
  <c r="AN1280" i="1"/>
  <c r="Q1280" i="1"/>
  <c r="R1280" i="1" s="1"/>
  <c r="S1280" i="1" s="1"/>
  <c r="T1280" i="1" s="1"/>
  <c r="AN1279" i="1"/>
  <c r="Q1279" i="1"/>
  <c r="R1279" i="1" s="1"/>
  <c r="S1279" i="1" s="1"/>
  <c r="T1279" i="1" s="1"/>
  <c r="AN1278" i="1"/>
  <c r="Q1278" i="1"/>
  <c r="R1278" i="1" s="1"/>
  <c r="S1278" i="1" s="1"/>
  <c r="T1278" i="1" s="1"/>
  <c r="AN1277" i="1"/>
  <c r="Q1277" i="1"/>
  <c r="R1277" i="1" s="1"/>
  <c r="S1277" i="1" s="1"/>
  <c r="T1277" i="1" s="1"/>
  <c r="AN1276" i="1"/>
  <c r="Q1276" i="1"/>
  <c r="AX1273" i="1"/>
  <c r="AW1273" i="1"/>
  <c r="AV1273" i="1"/>
  <c r="AU1273" i="1"/>
  <c r="AT1273" i="1"/>
  <c r="AS1273" i="1"/>
  <c r="AR1273" i="1"/>
  <c r="AQ1273" i="1"/>
  <c r="AP1273" i="1"/>
  <c r="AM1273" i="1"/>
  <c r="AL1273" i="1"/>
  <c r="AK1273" i="1"/>
  <c r="AJ1273" i="1"/>
  <c r="AI1273" i="1"/>
  <c r="AH1273" i="1"/>
  <c r="AG1273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AN1272" i="1"/>
  <c r="Q1272" i="1"/>
  <c r="R1272" i="1" s="1"/>
  <c r="S1272" i="1" s="1"/>
  <c r="T1272" i="1" s="1"/>
  <c r="AN1271" i="1"/>
  <c r="Q1271" i="1"/>
  <c r="R1271" i="1" s="1"/>
  <c r="S1271" i="1" s="1"/>
  <c r="T1271" i="1" s="1"/>
  <c r="AN1270" i="1"/>
  <c r="Q1270" i="1"/>
  <c r="R1270" i="1" s="1"/>
  <c r="S1270" i="1" s="1"/>
  <c r="T1270" i="1" s="1"/>
  <c r="AN1269" i="1"/>
  <c r="Q1269" i="1"/>
  <c r="R1269" i="1" s="1"/>
  <c r="S1269" i="1" s="1"/>
  <c r="T1269" i="1" s="1"/>
  <c r="AN1268" i="1"/>
  <c r="S1268" i="1"/>
  <c r="T1268" i="1" s="1"/>
  <c r="Q1268" i="1"/>
  <c r="R1268" i="1" s="1"/>
  <c r="AN1267" i="1"/>
  <c r="Q1267" i="1"/>
  <c r="R1267" i="1" s="1"/>
  <c r="AX1264" i="1"/>
  <c r="AW1264" i="1"/>
  <c r="AV1264" i="1"/>
  <c r="AU1264" i="1"/>
  <c r="AT1264" i="1"/>
  <c r="AS1264" i="1"/>
  <c r="AR1264" i="1"/>
  <c r="AQ1264" i="1"/>
  <c r="AP1264" i="1"/>
  <c r="AM1264" i="1"/>
  <c r="AL1264" i="1"/>
  <c r="AK1264" i="1"/>
  <c r="AJ1264" i="1"/>
  <c r="AI1264" i="1"/>
  <c r="AH1264" i="1"/>
  <c r="AG1264" i="1"/>
  <c r="AF1264" i="1"/>
  <c r="AE1264" i="1"/>
  <c r="AD1264" i="1"/>
  <c r="AC1264" i="1"/>
  <c r="AB1264" i="1"/>
  <c r="AA1264" i="1"/>
  <c r="Z1264" i="1"/>
  <c r="Y1264" i="1"/>
  <c r="X1264" i="1"/>
  <c r="W1264" i="1"/>
  <c r="V1264" i="1"/>
  <c r="U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AN1263" i="1"/>
  <c r="Q1263" i="1"/>
  <c r="R1263" i="1" s="1"/>
  <c r="S1263" i="1" s="1"/>
  <c r="T1263" i="1" s="1"/>
  <c r="AN1262" i="1"/>
  <c r="R1262" i="1"/>
  <c r="S1262" i="1" s="1"/>
  <c r="T1262" i="1" s="1"/>
  <c r="Q1262" i="1"/>
  <c r="AN1261" i="1"/>
  <c r="Q1261" i="1"/>
  <c r="R1261" i="1" s="1"/>
  <c r="S1261" i="1" s="1"/>
  <c r="T1261" i="1" s="1"/>
  <c r="AN1260" i="1"/>
  <c r="Q1260" i="1"/>
  <c r="R1260" i="1" s="1"/>
  <c r="S1260" i="1" s="1"/>
  <c r="T1260" i="1" s="1"/>
  <c r="AN1259" i="1"/>
  <c r="Q1259" i="1"/>
  <c r="R1259" i="1" s="1"/>
  <c r="S1259" i="1" s="1"/>
  <c r="T1259" i="1" s="1"/>
  <c r="AN1258" i="1"/>
  <c r="R1258" i="1"/>
  <c r="S1258" i="1" s="1"/>
  <c r="T1258" i="1" s="1"/>
  <c r="Q1258" i="1"/>
  <c r="AN1257" i="1"/>
  <c r="Q1257" i="1"/>
  <c r="R1257" i="1" s="1"/>
  <c r="S1257" i="1" s="1"/>
  <c r="T1257" i="1" s="1"/>
  <c r="AN1256" i="1"/>
  <c r="Q1256" i="1"/>
  <c r="R1256" i="1" s="1"/>
  <c r="S1256" i="1" s="1"/>
  <c r="T1256" i="1" s="1"/>
  <c r="AN1255" i="1"/>
  <c r="Q1255" i="1"/>
  <c r="R1255" i="1" s="1"/>
  <c r="S1255" i="1" s="1"/>
  <c r="T1255" i="1" s="1"/>
  <c r="AN1254" i="1"/>
  <c r="Q1254" i="1"/>
  <c r="R1254" i="1" s="1"/>
  <c r="S1254" i="1" s="1"/>
  <c r="T1254" i="1" s="1"/>
  <c r="AN1253" i="1"/>
  <c r="Q1253" i="1"/>
  <c r="AW1250" i="1"/>
  <c r="AU1250" i="1"/>
  <c r="AT1250" i="1"/>
  <c r="AS1250" i="1"/>
  <c r="AB1250" i="1"/>
  <c r="AA1250" i="1"/>
  <c r="Z1250" i="1"/>
  <c r="Y1250" i="1"/>
  <c r="X1250" i="1"/>
  <c r="W1250" i="1"/>
  <c r="V1250" i="1"/>
  <c r="U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N1249" i="1"/>
  <c r="AK1249" i="1"/>
  <c r="AK1250" i="1" s="1"/>
  <c r="AI1249" i="1"/>
  <c r="AI1250" i="1" s="1"/>
  <c r="AE1249" i="1"/>
  <c r="AE1250" i="1" s="1"/>
  <c r="AD1249" i="1"/>
  <c r="AC1249" i="1"/>
  <c r="AC1250" i="1" s="1"/>
  <c r="W1249" i="1"/>
  <c r="AJ1249" i="1" s="1"/>
  <c r="AJ1250" i="1" s="1"/>
  <c r="AN1248" i="1"/>
  <c r="Q1248" i="1"/>
  <c r="R1248" i="1" s="1"/>
  <c r="S1248" i="1" s="1"/>
  <c r="T1248" i="1" s="1"/>
  <c r="AN1247" i="1"/>
  <c r="Q1247" i="1"/>
  <c r="R1247" i="1" s="1"/>
  <c r="S1247" i="1" s="1"/>
  <c r="T1247" i="1" s="1"/>
  <c r="AN1246" i="1"/>
  <c r="R1246" i="1"/>
  <c r="S1246" i="1" s="1"/>
  <c r="T1246" i="1" s="1"/>
  <c r="Q1246" i="1"/>
  <c r="AN1245" i="1"/>
  <c r="R1245" i="1"/>
  <c r="S1245" i="1" s="1"/>
  <c r="T1245" i="1" s="1"/>
  <c r="Q1245" i="1"/>
  <c r="AN1244" i="1"/>
  <c r="S1244" i="1"/>
  <c r="T1244" i="1" s="1"/>
  <c r="Q1244" i="1"/>
  <c r="R1244" i="1" s="1"/>
  <c r="AN1243" i="1"/>
  <c r="Q1243" i="1"/>
  <c r="AW1240" i="1"/>
  <c r="AU1240" i="1"/>
  <c r="AT1240" i="1"/>
  <c r="AS1240" i="1"/>
  <c r="AB1240" i="1"/>
  <c r="AA1240" i="1"/>
  <c r="Z1240" i="1"/>
  <c r="Y1240" i="1"/>
  <c r="X1240" i="1"/>
  <c r="V1240" i="1"/>
  <c r="U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S1239" i="1"/>
  <c r="T1239" i="1" s="1"/>
  <c r="R1239" i="1"/>
  <c r="Q1239" i="1"/>
  <c r="AN1238" i="1"/>
  <c r="AI1238" i="1"/>
  <c r="AF1238" i="1"/>
  <c r="W1238" i="1"/>
  <c r="AE1238" i="1" s="1"/>
  <c r="AN1237" i="1"/>
  <c r="R1237" i="1"/>
  <c r="S1237" i="1" s="1"/>
  <c r="T1237" i="1" s="1"/>
  <c r="Q1237" i="1"/>
  <c r="AN1236" i="1"/>
  <c r="R1236" i="1"/>
  <c r="S1236" i="1" s="1"/>
  <c r="T1236" i="1" s="1"/>
  <c r="Q1236" i="1"/>
  <c r="AN1235" i="1"/>
  <c r="AF1235" i="1"/>
  <c r="AF1240" i="1" s="1"/>
  <c r="W1235" i="1"/>
  <c r="AE1235" i="1" s="1"/>
  <c r="AN1234" i="1"/>
  <c r="Q1234" i="1"/>
  <c r="R1234" i="1" s="1"/>
  <c r="S1234" i="1" s="1"/>
  <c r="T1234" i="1" s="1"/>
  <c r="AN1233" i="1"/>
  <c r="Q1233" i="1"/>
  <c r="R1233" i="1" s="1"/>
  <c r="S1233" i="1" s="1"/>
  <c r="T1233" i="1" s="1"/>
  <c r="AN1232" i="1"/>
  <c r="Q1232" i="1"/>
  <c r="R1232" i="1" s="1"/>
  <c r="S1232" i="1" s="1"/>
  <c r="T1232" i="1" s="1"/>
  <c r="AN1231" i="1"/>
  <c r="Q1231" i="1"/>
  <c r="R1231" i="1" s="1"/>
  <c r="S1231" i="1" s="1"/>
  <c r="T1231" i="1" s="1"/>
  <c r="AN1230" i="1"/>
  <c r="Q1230" i="1"/>
  <c r="R1230" i="1" s="1"/>
  <c r="S1230" i="1" s="1"/>
  <c r="T1230" i="1" s="1"/>
  <c r="AN1229" i="1"/>
  <c r="R1229" i="1"/>
  <c r="S1229" i="1" s="1"/>
  <c r="T1229" i="1" s="1"/>
  <c r="Q1229" i="1"/>
  <c r="AN1228" i="1"/>
  <c r="Q1228" i="1"/>
  <c r="R1228" i="1" s="1"/>
  <c r="S1228" i="1" s="1"/>
  <c r="T1228" i="1" s="1"/>
  <c r="AN1227" i="1"/>
  <c r="Q1227" i="1"/>
  <c r="R1227" i="1" s="1"/>
  <c r="S1227" i="1" s="1"/>
  <c r="T1227" i="1" s="1"/>
  <c r="AN1226" i="1"/>
  <c r="Q1226" i="1"/>
  <c r="R1226" i="1" s="1"/>
  <c r="S1226" i="1" s="1"/>
  <c r="T1226" i="1" s="1"/>
  <c r="AN1225" i="1"/>
  <c r="Q1225" i="1"/>
  <c r="R1225" i="1" s="1"/>
  <c r="S1225" i="1" s="1"/>
  <c r="T1225" i="1" s="1"/>
  <c r="AN1224" i="1"/>
  <c r="Q1224" i="1"/>
  <c r="R1224" i="1" s="1"/>
  <c r="S1224" i="1" s="1"/>
  <c r="T1224" i="1" s="1"/>
  <c r="AN1223" i="1"/>
  <c r="Q1223" i="1"/>
  <c r="R1223" i="1" s="1"/>
  <c r="N1218" i="1"/>
  <c r="AW1216" i="1"/>
  <c r="AU1216" i="1"/>
  <c r="AT1216" i="1"/>
  <c r="AS1216" i="1"/>
  <c r="AB1216" i="1"/>
  <c r="AA1216" i="1"/>
  <c r="Z1216" i="1"/>
  <c r="Y1216" i="1"/>
  <c r="X1216" i="1"/>
  <c r="V1216" i="1"/>
  <c r="U1216" i="1"/>
  <c r="P1216" i="1"/>
  <c r="O1216" i="1"/>
  <c r="M1216" i="1"/>
  <c r="M1218" i="1" s="1"/>
  <c r="L1216" i="1"/>
  <c r="L1218" i="1" s="1"/>
  <c r="K1216" i="1"/>
  <c r="K1218" i="1" s="1"/>
  <c r="J1216" i="1"/>
  <c r="I1216" i="1"/>
  <c r="H1216" i="1"/>
  <c r="G1216" i="1"/>
  <c r="F1216" i="1"/>
  <c r="E1216" i="1"/>
  <c r="D1216" i="1"/>
  <c r="AN1215" i="1"/>
  <c r="AN1214" i="1"/>
  <c r="Q1214" i="1"/>
  <c r="R1214" i="1" s="1"/>
  <c r="S1214" i="1" s="1"/>
  <c r="AN1213" i="1"/>
  <c r="Q1213" i="1"/>
  <c r="R1213" i="1" s="1"/>
  <c r="S1213" i="1" s="1"/>
  <c r="T1213" i="1" s="1"/>
  <c r="AN1212" i="1"/>
  <c r="R1212" i="1"/>
  <c r="S1212" i="1" s="1"/>
  <c r="T1212" i="1" s="1"/>
  <c r="Q1212" i="1"/>
  <c r="AN1211" i="1"/>
  <c r="Q1211" i="1"/>
  <c r="R1211" i="1" s="1"/>
  <c r="S1211" i="1" s="1"/>
  <c r="T1211" i="1" s="1"/>
  <c r="AN1210" i="1"/>
  <c r="Q1210" i="1"/>
  <c r="R1210" i="1" s="1"/>
  <c r="S1210" i="1" s="1"/>
  <c r="T1210" i="1" s="1"/>
  <c r="AN1209" i="1"/>
  <c r="Q1209" i="1"/>
  <c r="R1209" i="1" s="1"/>
  <c r="S1209" i="1" s="1"/>
  <c r="T1209" i="1" s="1"/>
  <c r="AN1208" i="1"/>
  <c r="Q1208" i="1"/>
  <c r="R1208" i="1" s="1"/>
  <c r="S1208" i="1" s="1"/>
  <c r="T1208" i="1" s="1"/>
  <c r="AN1207" i="1"/>
  <c r="S1207" i="1"/>
  <c r="T1207" i="1" s="1"/>
  <c r="Q1207" i="1"/>
  <c r="R1207" i="1" s="1"/>
  <c r="AN1206" i="1"/>
  <c r="Q1206" i="1"/>
  <c r="R1206" i="1" s="1"/>
  <c r="S1206" i="1" s="1"/>
  <c r="T1206" i="1" s="1"/>
  <c r="AN1205" i="1"/>
  <c r="Q1205" i="1"/>
  <c r="R1205" i="1" s="1"/>
  <c r="S1205" i="1" s="1"/>
  <c r="T1205" i="1" s="1"/>
  <c r="AN1204" i="1"/>
  <c r="R1204" i="1"/>
  <c r="S1204" i="1" s="1"/>
  <c r="T1204" i="1" s="1"/>
  <c r="Q1204" i="1"/>
  <c r="AN1203" i="1"/>
  <c r="Q1203" i="1"/>
  <c r="R1203" i="1" s="1"/>
  <c r="S1203" i="1" s="1"/>
  <c r="T1203" i="1" s="1"/>
  <c r="AN1202" i="1"/>
  <c r="Q1202" i="1"/>
  <c r="R1202" i="1" s="1"/>
  <c r="S1202" i="1" s="1"/>
  <c r="T1202" i="1" s="1"/>
  <c r="AN1201" i="1"/>
  <c r="Q1201" i="1"/>
  <c r="R1201" i="1" s="1"/>
  <c r="S1201" i="1" s="1"/>
  <c r="T1201" i="1" s="1"/>
  <c r="AN1200" i="1"/>
  <c r="Q1200" i="1"/>
  <c r="R1200" i="1" s="1"/>
  <c r="S1200" i="1" s="1"/>
  <c r="T1200" i="1" s="1"/>
  <c r="AN1199" i="1"/>
  <c r="Q1199" i="1"/>
  <c r="R1199" i="1" s="1"/>
  <c r="S1199" i="1" s="1"/>
  <c r="T1199" i="1" s="1"/>
  <c r="AN1198" i="1"/>
  <c r="Q1198" i="1"/>
  <c r="R1198" i="1" s="1"/>
  <c r="S1198" i="1" s="1"/>
  <c r="T1198" i="1" s="1"/>
  <c r="AN1197" i="1"/>
  <c r="Q1197" i="1"/>
  <c r="R1197" i="1" s="1"/>
  <c r="S1197" i="1" s="1"/>
  <c r="T1197" i="1" s="1"/>
  <c r="AN1196" i="1"/>
  <c r="Q1196" i="1"/>
  <c r="R1196" i="1" s="1"/>
  <c r="S1196" i="1" s="1"/>
  <c r="T1196" i="1" s="1"/>
  <c r="AN1195" i="1"/>
  <c r="Q1195" i="1"/>
  <c r="R1195" i="1" s="1"/>
  <c r="S1195" i="1" s="1"/>
  <c r="T1195" i="1" s="1"/>
  <c r="AN1194" i="1"/>
  <c r="Q1194" i="1"/>
  <c r="R1194" i="1" s="1"/>
  <c r="S1194" i="1" s="1"/>
  <c r="T1194" i="1" s="1"/>
  <c r="AW1191" i="1"/>
  <c r="AU1191" i="1"/>
  <c r="AT1191" i="1"/>
  <c r="AT1218" i="1" s="1"/>
  <c r="AS1191" i="1"/>
  <c r="AB1191" i="1"/>
  <c r="AA1191" i="1"/>
  <c r="Z1191" i="1"/>
  <c r="Z1218" i="1" s="1"/>
  <c r="Y1191" i="1"/>
  <c r="X1191" i="1"/>
  <c r="X1218" i="1" s="1"/>
  <c r="V1191" i="1"/>
  <c r="U1191" i="1"/>
  <c r="U1218" i="1" s="1"/>
  <c r="P1191" i="1"/>
  <c r="O1191" i="1"/>
  <c r="J1191" i="1"/>
  <c r="J1218" i="1" s="1"/>
  <c r="I1191" i="1"/>
  <c r="H1191" i="1"/>
  <c r="H1218" i="1" s="1"/>
  <c r="G1191" i="1"/>
  <c r="F1191" i="1"/>
  <c r="E1191" i="1"/>
  <c r="D1191" i="1"/>
  <c r="D1218" i="1" s="1"/>
  <c r="AN1190" i="1"/>
  <c r="AL1190" i="1"/>
  <c r="AD1190" i="1"/>
  <c r="W1190" i="1"/>
  <c r="AI1190" i="1" s="1"/>
  <c r="AN1189" i="1"/>
  <c r="Q1189" i="1"/>
  <c r="R1189" i="1" s="1"/>
  <c r="S1189" i="1" s="1"/>
  <c r="T1189" i="1" s="1"/>
  <c r="AN1188" i="1"/>
  <c r="W1188" i="1"/>
  <c r="AN1187" i="1"/>
  <c r="Q1187" i="1"/>
  <c r="R1187" i="1" s="1"/>
  <c r="S1187" i="1" s="1"/>
  <c r="T1187" i="1" s="1"/>
  <c r="AN1186" i="1"/>
  <c r="Q1186" i="1"/>
  <c r="R1186" i="1" s="1"/>
  <c r="S1186" i="1" s="1"/>
  <c r="T1186" i="1" s="1"/>
  <c r="AN1185" i="1"/>
  <c r="Q1185" i="1"/>
  <c r="R1185" i="1" s="1"/>
  <c r="S1185" i="1" s="1"/>
  <c r="T1185" i="1" s="1"/>
  <c r="AN1184" i="1"/>
  <c r="Q1184" i="1"/>
  <c r="R1184" i="1" s="1"/>
  <c r="S1184" i="1" s="1"/>
  <c r="T1184" i="1" s="1"/>
  <c r="AN1183" i="1"/>
  <c r="Q1183" i="1"/>
  <c r="R1183" i="1" s="1"/>
  <c r="S1183" i="1" s="1"/>
  <c r="T1183" i="1" s="1"/>
  <c r="AN1182" i="1"/>
  <c r="Q1182" i="1"/>
  <c r="R1182" i="1" s="1"/>
  <c r="S1182" i="1" s="1"/>
  <c r="T1182" i="1" s="1"/>
  <c r="AN1181" i="1"/>
  <c r="AN1180" i="1"/>
  <c r="Q1180" i="1"/>
  <c r="R1180" i="1" s="1"/>
  <c r="S1180" i="1" s="1"/>
  <c r="AN1179" i="1"/>
  <c r="Q1179" i="1"/>
  <c r="R1179" i="1" s="1"/>
  <c r="S1179" i="1" s="1"/>
  <c r="T1179" i="1" s="1"/>
  <c r="AN1178" i="1"/>
  <c r="Q1178" i="1"/>
  <c r="AU1172" i="1"/>
  <c r="AT1172" i="1"/>
  <c r="AS1172" i="1"/>
  <c r="AB1172" i="1"/>
  <c r="AA1172" i="1"/>
  <c r="Z1172" i="1"/>
  <c r="Y1172" i="1"/>
  <c r="X1172" i="1"/>
  <c r="V1172" i="1"/>
  <c r="U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AN1171" i="1"/>
  <c r="AE1171" i="1"/>
  <c r="W1171" i="1"/>
  <c r="AI1171" i="1" s="1"/>
  <c r="AN1170" i="1"/>
  <c r="Q1170" i="1"/>
  <c r="R1170" i="1" s="1"/>
  <c r="S1170" i="1" s="1"/>
  <c r="T1170" i="1" s="1"/>
  <c r="AN1169" i="1"/>
  <c r="AH1169" i="1"/>
  <c r="W1169" i="1"/>
  <c r="AN1168" i="1"/>
  <c r="Q1168" i="1"/>
  <c r="R1168" i="1" s="1"/>
  <c r="S1168" i="1" s="1"/>
  <c r="T1168" i="1" s="1"/>
  <c r="AN1167" i="1"/>
  <c r="AI1167" i="1"/>
  <c r="W1167" i="1"/>
  <c r="AN1166" i="1"/>
  <c r="R1166" i="1"/>
  <c r="S1166" i="1" s="1"/>
  <c r="T1166" i="1" s="1"/>
  <c r="Q1166" i="1"/>
  <c r="AN1165" i="1"/>
  <c r="AL1165" i="1"/>
  <c r="AK1165" i="1"/>
  <c r="AJ1165" i="1"/>
  <c r="AI1165" i="1"/>
  <c r="AH1165" i="1"/>
  <c r="AG1165" i="1"/>
  <c r="AF1165" i="1"/>
  <c r="AE1165" i="1"/>
  <c r="AD1165" i="1"/>
  <c r="AC1165" i="1"/>
  <c r="AN1164" i="1"/>
  <c r="Q1164" i="1"/>
  <c r="R1164" i="1" s="1"/>
  <c r="S1164" i="1" s="1"/>
  <c r="T1164" i="1" s="1"/>
  <c r="AN1163" i="1"/>
  <c r="AK1163" i="1"/>
  <c r="AF1163" i="1"/>
  <c r="W1163" i="1"/>
  <c r="AN1162" i="1"/>
  <c r="S1162" i="1"/>
  <c r="T1162" i="1" s="1"/>
  <c r="Q1162" i="1"/>
  <c r="R1162" i="1" s="1"/>
  <c r="AN1161" i="1"/>
  <c r="AL1161" i="1"/>
  <c r="AK1161" i="1"/>
  <c r="AJ1161" i="1"/>
  <c r="AI1161" i="1"/>
  <c r="AH1161" i="1"/>
  <c r="AG1161" i="1"/>
  <c r="AF1161" i="1"/>
  <c r="AE1161" i="1"/>
  <c r="AD1161" i="1"/>
  <c r="AC1161" i="1"/>
  <c r="AN1160" i="1"/>
  <c r="Q1160" i="1"/>
  <c r="R1160" i="1" s="1"/>
  <c r="S1160" i="1" s="1"/>
  <c r="T1160" i="1" s="1"/>
  <c r="AN1159" i="1"/>
  <c r="Q1159" i="1"/>
  <c r="R1159" i="1" s="1"/>
  <c r="S1159" i="1" s="1"/>
  <c r="T1159" i="1" s="1"/>
  <c r="AN1158" i="1"/>
  <c r="W1158" i="1"/>
  <c r="W1172" i="1" s="1"/>
  <c r="AN1157" i="1"/>
  <c r="Q1157" i="1"/>
  <c r="R1157" i="1" s="1"/>
  <c r="S1157" i="1" s="1"/>
  <c r="T1157" i="1" s="1"/>
  <c r="AN1156" i="1"/>
  <c r="AL1156" i="1"/>
  <c r="AK1156" i="1"/>
  <c r="AJ1156" i="1"/>
  <c r="AI1156" i="1"/>
  <c r="AH1156" i="1"/>
  <c r="AG1156" i="1"/>
  <c r="AF1156" i="1"/>
  <c r="AE1156" i="1"/>
  <c r="AD1156" i="1"/>
  <c r="AC1156" i="1"/>
  <c r="AN1155" i="1"/>
  <c r="Q1155" i="1"/>
  <c r="R1155" i="1" s="1"/>
  <c r="S1155" i="1" s="1"/>
  <c r="AW1152" i="1"/>
  <c r="AU1152" i="1"/>
  <c r="AT1152" i="1"/>
  <c r="AS1152" i="1"/>
  <c r="AB1152" i="1"/>
  <c r="AA1152" i="1"/>
  <c r="Z1152" i="1"/>
  <c r="Y1152" i="1"/>
  <c r="X1152" i="1"/>
  <c r="V1152" i="1"/>
  <c r="U1152" i="1"/>
  <c r="P1152" i="1"/>
  <c r="O1152" i="1"/>
  <c r="H1152" i="1"/>
  <c r="G1152" i="1"/>
  <c r="F1152" i="1"/>
  <c r="E1152" i="1"/>
  <c r="D1152" i="1"/>
  <c r="AN1151" i="1"/>
  <c r="W1151" i="1"/>
  <c r="AL1151" i="1" s="1"/>
  <c r="AN1150" i="1"/>
  <c r="Q1150" i="1"/>
  <c r="R1150" i="1" s="1"/>
  <c r="S1150" i="1" s="1"/>
  <c r="T1150" i="1" s="1"/>
  <c r="AN1149" i="1"/>
  <c r="AL1149" i="1"/>
  <c r="AK1149" i="1"/>
  <c r="AJ1149" i="1"/>
  <c r="AI1149" i="1"/>
  <c r="AH1149" i="1"/>
  <c r="AG1149" i="1"/>
  <c r="AF1149" i="1"/>
  <c r="AE1149" i="1"/>
  <c r="AD1149" i="1"/>
  <c r="AC1149" i="1"/>
  <c r="AN1148" i="1"/>
  <c r="Q1148" i="1"/>
  <c r="R1148" i="1" s="1"/>
  <c r="S1148" i="1" s="1"/>
  <c r="T1148" i="1" s="1"/>
  <c r="AN1147" i="1"/>
  <c r="W1147" i="1"/>
  <c r="AN1146" i="1"/>
  <c r="Q1146" i="1"/>
  <c r="R1146" i="1" s="1"/>
  <c r="S1146" i="1" s="1"/>
  <c r="T1146" i="1" s="1"/>
  <c r="AN1145" i="1"/>
  <c r="W1145" i="1"/>
  <c r="AL1145" i="1" s="1"/>
  <c r="AN1144" i="1"/>
  <c r="Q1144" i="1"/>
  <c r="AU1141" i="1"/>
  <c r="AT1141" i="1"/>
  <c r="AS1141" i="1"/>
  <c r="AB1141" i="1"/>
  <c r="AA1141" i="1"/>
  <c r="Z1141" i="1"/>
  <c r="Y1141" i="1"/>
  <c r="X1141" i="1"/>
  <c r="V1141" i="1"/>
  <c r="U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AN1140" i="1"/>
  <c r="W1140" i="1"/>
  <c r="AL1140" i="1" s="1"/>
  <c r="AN1139" i="1"/>
  <c r="Q1139" i="1"/>
  <c r="R1139" i="1" s="1"/>
  <c r="S1139" i="1" s="1"/>
  <c r="T1139" i="1" s="1"/>
  <c r="AN1138" i="1"/>
  <c r="W1138" i="1"/>
  <c r="AN1137" i="1"/>
  <c r="T1137" i="1"/>
  <c r="Q1137" i="1"/>
  <c r="R1137" i="1" s="1"/>
  <c r="S1137" i="1" s="1"/>
  <c r="AN1136" i="1"/>
  <c r="W1136" i="1"/>
  <c r="AD1136" i="1" s="1"/>
  <c r="AN1135" i="1"/>
  <c r="S1135" i="1"/>
  <c r="T1135" i="1" s="1"/>
  <c r="Q1135" i="1"/>
  <c r="R1135" i="1" s="1"/>
  <c r="AN1133" i="1"/>
  <c r="Q1133" i="1"/>
  <c r="R1133" i="1" s="1"/>
  <c r="S1133" i="1" s="1"/>
  <c r="T1133" i="1" s="1"/>
  <c r="AN1132" i="1"/>
  <c r="Q1132" i="1"/>
  <c r="R1132" i="1" s="1"/>
  <c r="S1132" i="1" s="1"/>
  <c r="T1132" i="1" s="1"/>
  <c r="AN1131" i="1"/>
  <c r="Q1131" i="1"/>
  <c r="R1131" i="1" s="1"/>
  <c r="S1131" i="1" s="1"/>
  <c r="T1131" i="1" s="1"/>
  <c r="AN1130" i="1"/>
  <c r="AH1130" i="1"/>
  <c r="W1130" i="1"/>
  <c r="AN1129" i="1"/>
  <c r="Q1129" i="1"/>
  <c r="R1129" i="1" s="1"/>
  <c r="S1129" i="1" s="1"/>
  <c r="T1129" i="1" s="1"/>
  <c r="AN1128" i="1"/>
  <c r="W1128" i="1"/>
  <c r="AN1127" i="1"/>
  <c r="Q1127" i="1"/>
  <c r="R1127" i="1" s="1"/>
  <c r="S1127" i="1" s="1"/>
  <c r="T1127" i="1" s="1"/>
  <c r="AN1126" i="1"/>
  <c r="W1126" i="1"/>
  <c r="AG1126" i="1" s="1"/>
  <c r="AN1125" i="1"/>
  <c r="Q1125" i="1"/>
  <c r="R1125" i="1" s="1"/>
  <c r="S1125" i="1" s="1"/>
  <c r="T1125" i="1" s="1"/>
  <c r="AN1124" i="1"/>
  <c r="AC1124" i="1"/>
  <c r="W1124" i="1"/>
  <c r="AN1123" i="1"/>
  <c r="Q1123" i="1"/>
  <c r="R1123" i="1" s="1"/>
  <c r="S1123" i="1" s="1"/>
  <c r="T1123" i="1" s="1"/>
  <c r="AN1122" i="1"/>
  <c r="Q1122" i="1"/>
  <c r="R1122" i="1" s="1"/>
  <c r="S1122" i="1" s="1"/>
  <c r="T1122" i="1" s="1"/>
  <c r="AN1121" i="1"/>
  <c r="AG1121" i="1"/>
  <c r="W1121" i="1"/>
  <c r="AK1121" i="1" s="1"/>
  <c r="AN1120" i="1"/>
  <c r="Q1120" i="1"/>
  <c r="R1120" i="1" s="1"/>
  <c r="S1120" i="1" s="1"/>
  <c r="T1120" i="1" s="1"/>
  <c r="AN1119" i="1"/>
  <c r="Q1119" i="1"/>
  <c r="R1119" i="1" s="1"/>
  <c r="S1119" i="1" s="1"/>
  <c r="T1119" i="1" s="1"/>
  <c r="AN1118" i="1"/>
  <c r="Q1118" i="1"/>
  <c r="R1118" i="1" s="1"/>
  <c r="S1118" i="1" s="1"/>
  <c r="T1118" i="1" s="1"/>
  <c r="AN1117" i="1"/>
  <c r="Q1117" i="1"/>
  <c r="R1117" i="1" s="1"/>
  <c r="S1117" i="1" s="1"/>
  <c r="T1117" i="1" s="1"/>
  <c r="AN1116" i="1"/>
  <c r="S1116" i="1"/>
  <c r="T1116" i="1" s="1"/>
  <c r="Q1116" i="1"/>
  <c r="R1116" i="1" s="1"/>
  <c r="AN1112" i="1"/>
  <c r="Q1112" i="1"/>
  <c r="R1112" i="1" s="1"/>
  <c r="S1112" i="1" s="1"/>
  <c r="T1112" i="1" s="1"/>
  <c r="AN1111" i="1"/>
  <c r="AC1111" i="1"/>
  <c r="W1111" i="1"/>
  <c r="AG1111" i="1" s="1"/>
  <c r="AN1110" i="1"/>
  <c r="R1110" i="1"/>
  <c r="S1110" i="1" s="1"/>
  <c r="T1110" i="1" s="1"/>
  <c r="Q1110" i="1"/>
  <c r="AN1109" i="1"/>
  <c r="W1109" i="1"/>
  <c r="AK1109" i="1" s="1"/>
  <c r="AN1108" i="1"/>
  <c r="R1108" i="1"/>
  <c r="S1108" i="1" s="1"/>
  <c r="T1108" i="1" s="1"/>
  <c r="Q1108" i="1"/>
  <c r="AN1107" i="1"/>
  <c r="W1107" i="1"/>
  <c r="AN1106" i="1"/>
  <c r="Q1106" i="1"/>
  <c r="R1106" i="1" s="1"/>
  <c r="S1106" i="1" s="1"/>
  <c r="T1106" i="1" s="1"/>
  <c r="AN1105" i="1"/>
  <c r="W1105" i="1"/>
  <c r="AD1105" i="1" s="1"/>
  <c r="AN1104" i="1"/>
  <c r="Q1104" i="1"/>
  <c r="R1104" i="1" s="1"/>
  <c r="S1104" i="1" s="1"/>
  <c r="T1104" i="1" s="1"/>
  <c r="AN1103" i="1"/>
  <c r="AC1103" i="1"/>
  <c r="W1103" i="1"/>
  <c r="AN1102" i="1"/>
  <c r="Q1102" i="1"/>
  <c r="R1102" i="1" s="1"/>
  <c r="S1102" i="1" s="1"/>
  <c r="T1102" i="1" s="1"/>
  <c r="AN1101" i="1"/>
  <c r="Q1101" i="1"/>
  <c r="R1101" i="1" s="1"/>
  <c r="S1101" i="1" s="1"/>
  <c r="T1101" i="1" s="1"/>
  <c r="AN1100" i="1"/>
  <c r="Q1100" i="1"/>
  <c r="R1100" i="1" s="1"/>
  <c r="S1100" i="1" s="1"/>
  <c r="T1100" i="1" s="1"/>
  <c r="AN1099" i="1"/>
  <c r="Q1099" i="1"/>
  <c r="AN1098" i="1"/>
  <c r="AL1098" i="1"/>
  <c r="AK1098" i="1"/>
  <c r="W1098" i="1"/>
  <c r="AC1098" i="1" s="1"/>
  <c r="AN1097" i="1"/>
  <c r="Q1097" i="1"/>
  <c r="R1097" i="1" s="1"/>
  <c r="S1097" i="1" s="1"/>
  <c r="T1097" i="1" s="1"/>
  <c r="AN1096" i="1"/>
  <c r="W1096" i="1"/>
  <c r="AK1096" i="1" s="1"/>
  <c r="AN1095" i="1"/>
  <c r="Q1095" i="1"/>
  <c r="R1095" i="1" s="1"/>
  <c r="S1095" i="1" s="1"/>
  <c r="T1095" i="1" s="1"/>
  <c r="AN1094" i="1"/>
  <c r="AN1093" i="1"/>
  <c r="Q1093" i="1"/>
  <c r="R1093" i="1" s="1"/>
  <c r="S1093" i="1" s="1"/>
  <c r="T1093" i="1" s="1"/>
  <c r="AN1092" i="1"/>
  <c r="Q1092" i="1"/>
  <c r="R1092" i="1" s="1"/>
  <c r="S1092" i="1" s="1"/>
  <c r="T1092" i="1" s="1"/>
  <c r="AN1091" i="1"/>
  <c r="R1091" i="1"/>
  <c r="S1091" i="1" s="1"/>
  <c r="T1091" i="1" s="1"/>
  <c r="Q1091" i="1"/>
  <c r="AN1090" i="1"/>
  <c r="W1090" i="1"/>
  <c r="AJ1090" i="1" s="1"/>
  <c r="AN1089" i="1"/>
  <c r="Q1089" i="1"/>
  <c r="R1089" i="1" s="1"/>
  <c r="S1089" i="1" s="1"/>
  <c r="T1089" i="1" s="1"/>
  <c r="AN1088" i="1"/>
  <c r="Q1088" i="1"/>
  <c r="R1088" i="1" s="1"/>
  <c r="S1088" i="1" s="1"/>
  <c r="T1088" i="1" s="1"/>
  <c r="AN1087" i="1"/>
  <c r="W1087" i="1"/>
  <c r="AJ1087" i="1" s="1"/>
  <c r="AN1086" i="1"/>
  <c r="Q1086" i="1"/>
  <c r="R1086" i="1" s="1"/>
  <c r="S1086" i="1" s="1"/>
  <c r="T1086" i="1" s="1"/>
  <c r="AN1085" i="1"/>
  <c r="Q1085" i="1"/>
  <c r="R1085" i="1" s="1"/>
  <c r="S1085" i="1" s="1"/>
  <c r="AU1082" i="1"/>
  <c r="AT1082" i="1"/>
  <c r="AS1082" i="1"/>
  <c r="AB1082" i="1"/>
  <c r="AA1082" i="1"/>
  <c r="Z1082" i="1"/>
  <c r="Y1082" i="1"/>
  <c r="X1082" i="1"/>
  <c r="V1082" i="1"/>
  <c r="U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AN1081" i="1"/>
  <c r="Q1081" i="1"/>
  <c r="R1081" i="1" s="1"/>
  <c r="S1081" i="1" s="1"/>
  <c r="T1081" i="1" s="1"/>
  <c r="AN1080" i="1"/>
  <c r="W1080" i="1"/>
  <c r="AN1079" i="1"/>
  <c r="Q1079" i="1"/>
  <c r="R1079" i="1" s="1"/>
  <c r="S1079" i="1" s="1"/>
  <c r="T1079" i="1" s="1"/>
  <c r="AN1078" i="1"/>
  <c r="Q1078" i="1"/>
  <c r="R1078" i="1" s="1"/>
  <c r="S1078" i="1" s="1"/>
  <c r="T1078" i="1" s="1"/>
  <c r="AN1077" i="1"/>
  <c r="AH1077" i="1"/>
  <c r="W1077" i="1"/>
  <c r="AN1076" i="1"/>
  <c r="Q1076" i="1"/>
  <c r="R1076" i="1" s="1"/>
  <c r="S1076" i="1" s="1"/>
  <c r="T1076" i="1" s="1"/>
  <c r="AN1075" i="1"/>
  <c r="W1075" i="1"/>
  <c r="AN1074" i="1"/>
  <c r="Q1074" i="1"/>
  <c r="AU1071" i="1"/>
  <c r="AT1071" i="1"/>
  <c r="AS1071" i="1"/>
  <c r="AB1071" i="1"/>
  <c r="AA1071" i="1"/>
  <c r="Z1071" i="1"/>
  <c r="Y1071" i="1"/>
  <c r="X1071" i="1"/>
  <c r="V1071" i="1"/>
  <c r="U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AN1070" i="1"/>
  <c r="Q1070" i="1"/>
  <c r="R1070" i="1" s="1"/>
  <c r="S1070" i="1" s="1"/>
  <c r="T1070" i="1" s="1"/>
  <c r="AN1069" i="1"/>
  <c r="Q1069" i="1"/>
  <c r="R1069" i="1" s="1"/>
  <c r="S1069" i="1" s="1"/>
  <c r="T1069" i="1" s="1"/>
  <c r="AN1068" i="1"/>
  <c r="W1068" i="1"/>
  <c r="AN1067" i="1"/>
  <c r="Q1067" i="1"/>
  <c r="R1067" i="1" s="1"/>
  <c r="S1067" i="1" s="1"/>
  <c r="T1067" i="1" s="1"/>
  <c r="AN1066" i="1"/>
  <c r="AL1066" i="1"/>
  <c r="AK1066" i="1"/>
  <c r="AJ1066" i="1"/>
  <c r="AI1066" i="1"/>
  <c r="AH1066" i="1"/>
  <c r="AG1066" i="1"/>
  <c r="AF1066" i="1"/>
  <c r="AE1066" i="1"/>
  <c r="AM1066" i="1" s="1"/>
  <c r="AP1066" i="1" s="1"/>
  <c r="AQ1066" i="1" s="1"/>
  <c r="AR1066" i="1" s="1"/>
  <c r="AD1066" i="1"/>
  <c r="AC1066" i="1"/>
  <c r="AN1065" i="1"/>
  <c r="Q1065" i="1"/>
  <c r="R1065" i="1" s="1"/>
  <c r="S1065" i="1" s="1"/>
  <c r="T1065" i="1" s="1"/>
  <c r="AN1064" i="1"/>
  <c r="W1064" i="1"/>
  <c r="AN1063" i="1"/>
  <c r="Q1063" i="1"/>
  <c r="R1063" i="1" s="1"/>
  <c r="S1063" i="1" s="1"/>
  <c r="T1063" i="1" s="1"/>
  <c r="AN1062" i="1"/>
  <c r="R1062" i="1"/>
  <c r="S1062" i="1" s="1"/>
  <c r="T1062" i="1" s="1"/>
  <c r="Q1062" i="1"/>
  <c r="AN1061" i="1"/>
  <c r="AJ1061" i="1"/>
  <c r="W1061" i="1"/>
  <c r="AE1061" i="1" s="1"/>
  <c r="AN1060" i="1"/>
  <c r="Q1060" i="1"/>
  <c r="R1060" i="1" s="1"/>
  <c r="S1060" i="1" s="1"/>
  <c r="T1060" i="1" s="1"/>
  <c r="AN1059" i="1"/>
  <c r="AL1059" i="1"/>
  <c r="AK1059" i="1"/>
  <c r="AJ1059" i="1"/>
  <c r="AI1059" i="1"/>
  <c r="AH1059" i="1"/>
  <c r="AG1059" i="1"/>
  <c r="AF1059" i="1"/>
  <c r="AE1059" i="1"/>
  <c r="AD1059" i="1"/>
  <c r="AC1059" i="1"/>
  <c r="AN1058" i="1"/>
  <c r="Q1058" i="1"/>
  <c r="R1058" i="1" s="1"/>
  <c r="S1058" i="1" s="1"/>
  <c r="T1058" i="1" s="1"/>
  <c r="AN1057" i="1"/>
  <c r="AL1057" i="1"/>
  <c r="AK1057" i="1"/>
  <c r="AJ1057" i="1"/>
  <c r="AI1057" i="1"/>
  <c r="AH1057" i="1"/>
  <c r="AG1057" i="1"/>
  <c r="AF1057" i="1"/>
  <c r="AE1057" i="1"/>
  <c r="AD1057" i="1"/>
  <c r="AC1057" i="1"/>
  <c r="AN1056" i="1"/>
  <c r="Q1056" i="1"/>
  <c r="R1056" i="1" s="1"/>
  <c r="S1056" i="1" s="1"/>
  <c r="T1056" i="1" s="1"/>
  <c r="AN1055" i="1"/>
  <c r="AL1055" i="1"/>
  <c r="AK1055" i="1"/>
  <c r="AJ1055" i="1"/>
  <c r="AI1055" i="1"/>
  <c r="AH1055" i="1"/>
  <c r="AG1055" i="1"/>
  <c r="AF1055" i="1"/>
  <c r="AE1055" i="1"/>
  <c r="AD1055" i="1"/>
  <c r="AC1055" i="1"/>
  <c r="AN1054" i="1"/>
  <c r="Q1054" i="1"/>
  <c r="R1054" i="1" s="1"/>
  <c r="S1054" i="1" s="1"/>
  <c r="T1054" i="1" s="1"/>
  <c r="AN1053" i="1"/>
  <c r="S1053" i="1"/>
  <c r="T1053" i="1" s="1"/>
  <c r="Q1053" i="1"/>
  <c r="R1053" i="1" s="1"/>
  <c r="AN1052" i="1"/>
  <c r="W1052" i="1"/>
  <c r="AN1051" i="1"/>
  <c r="Q1051" i="1"/>
  <c r="R1051" i="1" s="1"/>
  <c r="S1051" i="1" s="1"/>
  <c r="T1051" i="1" s="1"/>
  <c r="AN1050" i="1"/>
  <c r="Q1050" i="1"/>
  <c r="R1050" i="1" s="1"/>
  <c r="S1050" i="1" s="1"/>
  <c r="T1050" i="1" s="1"/>
  <c r="AN1049" i="1"/>
  <c r="AH1049" i="1"/>
  <c r="AD1049" i="1"/>
  <c r="W1049" i="1"/>
  <c r="AF1049" i="1" s="1"/>
  <c r="AN1048" i="1"/>
  <c r="R1048" i="1"/>
  <c r="S1048" i="1" s="1"/>
  <c r="T1048" i="1" s="1"/>
  <c r="Q1048" i="1"/>
  <c r="AN1047" i="1"/>
  <c r="AI1047" i="1"/>
  <c r="AC1047" i="1"/>
  <c r="W1047" i="1"/>
  <c r="AK1047" i="1" s="1"/>
  <c r="AN1046" i="1"/>
  <c r="Q1046" i="1"/>
  <c r="R1046" i="1" s="1"/>
  <c r="S1046" i="1" s="1"/>
  <c r="T1046" i="1" s="1"/>
  <c r="AN1045" i="1"/>
  <c r="AL1045" i="1"/>
  <c r="AK1045" i="1"/>
  <c r="AJ1045" i="1"/>
  <c r="AI1045" i="1"/>
  <c r="AH1045" i="1"/>
  <c r="AG1045" i="1"/>
  <c r="AF1045" i="1"/>
  <c r="AE1045" i="1"/>
  <c r="AD1045" i="1"/>
  <c r="AC1045" i="1"/>
  <c r="AN1044" i="1"/>
  <c r="Q1044" i="1"/>
  <c r="R1044" i="1" s="1"/>
  <c r="S1044" i="1" s="1"/>
  <c r="T1044" i="1" s="1"/>
  <c r="AN1043" i="1"/>
  <c r="AK1043" i="1"/>
  <c r="W1043" i="1"/>
  <c r="AN1042" i="1"/>
  <c r="Q1042" i="1"/>
  <c r="R1042" i="1" s="1"/>
  <c r="S1042" i="1" s="1"/>
  <c r="T1042" i="1" s="1"/>
  <c r="AN1041" i="1"/>
  <c r="AI1041" i="1"/>
  <c r="W1041" i="1"/>
  <c r="AN1040" i="1"/>
  <c r="Q1040" i="1"/>
  <c r="R1040" i="1" s="1"/>
  <c r="S1040" i="1" s="1"/>
  <c r="T1040" i="1" s="1"/>
  <c r="AN1039" i="1"/>
  <c r="AL1039" i="1"/>
  <c r="AK1039" i="1"/>
  <c r="AJ1039" i="1"/>
  <c r="AI1039" i="1"/>
  <c r="AH1039" i="1"/>
  <c r="AG1039" i="1"/>
  <c r="AF1039" i="1"/>
  <c r="AE1039" i="1"/>
  <c r="AD1039" i="1"/>
  <c r="AC1039" i="1"/>
  <c r="AN1038" i="1"/>
  <c r="Q1038" i="1"/>
  <c r="R1038" i="1" s="1"/>
  <c r="S1038" i="1" s="1"/>
  <c r="T1038" i="1" s="1"/>
  <c r="AN1037" i="1"/>
  <c r="AI1037" i="1"/>
  <c r="AG1037" i="1"/>
  <c r="AC1037" i="1"/>
  <c r="W1037" i="1"/>
  <c r="AD1037" i="1" s="1"/>
  <c r="AN1036" i="1"/>
  <c r="Q1036" i="1"/>
  <c r="R1036" i="1" s="1"/>
  <c r="S1036" i="1" s="1"/>
  <c r="T1036" i="1" s="1"/>
  <c r="AN1035" i="1"/>
  <c r="AF1035" i="1"/>
  <c r="W1035" i="1"/>
  <c r="AD1035" i="1" s="1"/>
  <c r="AN1034" i="1"/>
  <c r="R1034" i="1"/>
  <c r="S1034" i="1" s="1"/>
  <c r="T1034" i="1" s="1"/>
  <c r="Q1034" i="1"/>
  <c r="AN1033" i="1"/>
  <c r="AL1033" i="1"/>
  <c r="AK1033" i="1"/>
  <c r="AJ1033" i="1"/>
  <c r="AI1033" i="1"/>
  <c r="AH1033" i="1"/>
  <c r="AG1033" i="1"/>
  <c r="AF1033" i="1"/>
  <c r="AE1033" i="1"/>
  <c r="AD1033" i="1"/>
  <c r="AC1033" i="1"/>
  <c r="AN1032" i="1"/>
  <c r="Q1032" i="1"/>
  <c r="R1032" i="1" s="1"/>
  <c r="S1032" i="1" s="1"/>
  <c r="T1032" i="1" s="1"/>
  <c r="AN1031" i="1"/>
  <c r="AI1031" i="1"/>
  <c r="W1031" i="1"/>
  <c r="AN1030" i="1"/>
  <c r="T1030" i="1"/>
  <c r="Q1030" i="1"/>
  <c r="R1030" i="1" s="1"/>
  <c r="S1030" i="1" s="1"/>
  <c r="AN1029" i="1"/>
  <c r="Q1029" i="1"/>
  <c r="R1029" i="1" s="1"/>
  <c r="S1029" i="1" s="1"/>
  <c r="T1029" i="1" s="1"/>
  <c r="AN1028" i="1"/>
  <c r="AL1028" i="1"/>
  <c r="AK1028" i="1"/>
  <c r="AJ1028" i="1"/>
  <c r="AI1028" i="1"/>
  <c r="AH1028" i="1"/>
  <c r="AG1028" i="1"/>
  <c r="AF1028" i="1"/>
  <c r="AE1028" i="1"/>
  <c r="AD1028" i="1"/>
  <c r="AC1028" i="1"/>
  <c r="AN1027" i="1"/>
  <c r="Q1027" i="1"/>
  <c r="R1027" i="1" s="1"/>
  <c r="S1027" i="1" s="1"/>
  <c r="T1027" i="1" s="1"/>
  <c r="AN1026" i="1"/>
  <c r="Q1026" i="1"/>
  <c r="R1026" i="1" s="1"/>
  <c r="S1026" i="1" s="1"/>
  <c r="T1026" i="1" s="1"/>
  <c r="AN1025" i="1"/>
  <c r="W1025" i="1"/>
  <c r="AN1024" i="1"/>
  <c r="Q1024" i="1"/>
  <c r="R1024" i="1" s="1"/>
  <c r="S1024" i="1" s="1"/>
  <c r="T1024" i="1" s="1"/>
  <c r="AN1023" i="1"/>
  <c r="AG1023" i="1"/>
  <c r="W1023" i="1"/>
  <c r="AN1022" i="1"/>
  <c r="Q1022" i="1"/>
  <c r="R1022" i="1" s="1"/>
  <c r="S1022" i="1" s="1"/>
  <c r="T1022" i="1" s="1"/>
  <c r="AN1021" i="1"/>
  <c r="W1021" i="1"/>
  <c r="AN1020" i="1"/>
  <c r="Q1020" i="1"/>
  <c r="R1020" i="1" s="1"/>
  <c r="S1020" i="1" s="1"/>
  <c r="T1020" i="1" s="1"/>
  <c r="AN1019" i="1"/>
  <c r="AL1019" i="1"/>
  <c r="AK1019" i="1"/>
  <c r="AJ1019" i="1"/>
  <c r="AI1019" i="1"/>
  <c r="AH1019" i="1"/>
  <c r="AG1019" i="1"/>
  <c r="AF1019" i="1"/>
  <c r="AE1019" i="1"/>
  <c r="AD1019" i="1"/>
  <c r="AC1019" i="1"/>
  <c r="AN1018" i="1"/>
  <c r="Q1018" i="1"/>
  <c r="R1018" i="1" s="1"/>
  <c r="S1018" i="1" s="1"/>
  <c r="T1018" i="1" s="1"/>
  <c r="AN1017" i="1"/>
  <c r="AH1017" i="1"/>
  <c r="AD1017" i="1"/>
  <c r="W1017" i="1"/>
  <c r="AE1017" i="1" s="1"/>
  <c r="AN1016" i="1"/>
  <c r="W1016" i="1"/>
  <c r="AK1016" i="1" s="1"/>
  <c r="AN1015" i="1"/>
  <c r="Q1015" i="1"/>
  <c r="R1015" i="1" s="1"/>
  <c r="S1015" i="1" s="1"/>
  <c r="T1015" i="1" s="1"/>
  <c r="AN1014" i="1"/>
  <c r="AL1014" i="1"/>
  <c r="AK1014" i="1"/>
  <c r="AJ1014" i="1"/>
  <c r="AI1014" i="1"/>
  <c r="AH1014" i="1"/>
  <c r="AG1014" i="1"/>
  <c r="AF1014" i="1"/>
  <c r="AE1014" i="1"/>
  <c r="AM1014" i="1" s="1"/>
  <c r="AP1014" i="1" s="1"/>
  <c r="AQ1014" i="1" s="1"/>
  <c r="AR1014" i="1" s="1"/>
  <c r="AD1014" i="1"/>
  <c r="AC1014" i="1"/>
  <c r="AN1013" i="1"/>
  <c r="Q1013" i="1"/>
  <c r="R1013" i="1" s="1"/>
  <c r="S1013" i="1" s="1"/>
  <c r="T1013" i="1" s="1"/>
  <c r="AN1012" i="1"/>
  <c r="Q1012" i="1"/>
  <c r="R1012" i="1" s="1"/>
  <c r="S1012" i="1" s="1"/>
  <c r="T1012" i="1" s="1"/>
  <c r="AN1011" i="1"/>
  <c r="W1011" i="1"/>
  <c r="AN1010" i="1"/>
  <c r="Q1010" i="1"/>
  <c r="R1010" i="1" s="1"/>
  <c r="S1010" i="1" s="1"/>
  <c r="T1010" i="1" s="1"/>
  <c r="AN1009" i="1"/>
  <c r="AL1009" i="1"/>
  <c r="AK1009" i="1"/>
  <c r="AJ1009" i="1"/>
  <c r="AI1009" i="1"/>
  <c r="AH1009" i="1"/>
  <c r="AG1009" i="1"/>
  <c r="AF1009" i="1"/>
  <c r="AE1009" i="1"/>
  <c r="AD1009" i="1"/>
  <c r="AM1009" i="1" s="1"/>
  <c r="AC1009" i="1"/>
  <c r="AN1008" i="1"/>
  <c r="Q1008" i="1"/>
  <c r="R1008" i="1" s="1"/>
  <c r="AU1005" i="1"/>
  <c r="AT1005" i="1"/>
  <c r="AS1005" i="1"/>
  <c r="AB1005" i="1"/>
  <c r="AA1005" i="1"/>
  <c r="Z1005" i="1"/>
  <c r="Y1005" i="1"/>
  <c r="X1005" i="1"/>
  <c r="V1005" i="1"/>
  <c r="U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AN1004" i="1"/>
  <c r="Q1004" i="1"/>
  <c r="R1004" i="1" s="1"/>
  <c r="S1004" i="1" s="1"/>
  <c r="T1004" i="1" s="1"/>
  <c r="AN1003" i="1"/>
  <c r="W1003" i="1"/>
  <c r="AN1002" i="1"/>
  <c r="R1002" i="1"/>
  <c r="S1002" i="1" s="1"/>
  <c r="T1002" i="1" s="1"/>
  <c r="Q1002" i="1"/>
  <c r="AN1001" i="1"/>
  <c r="Q1001" i="1"/>
  <c r="R1001" i="1" s="1"/>
  <c r="S1001" i="1" s="1"/>
  <c r="T1001" i="1" s="1"/>
  <c r="AN1000" i="1"/>
  <c r="AK1000" i="1"/>
  <c r="AI1000" i="1"/>
  <c r="AE1000" i="1"/>
  <c r="AD1000" i="1"/>
  <c r="AC1000" i="1"/>
  <c r="W1000" i="1"/>
  <c r="AJ1000" i="1" s="1"/>
  <c r="AN999" i="1"/>
  <c r="Q999" i="1"/>
  <c r="R999" i="1" s="1"/>
  <c r="S999" i="1" s="1"/>
  <c r="T999" i="1" s="1"/>
  <c r="AN998" i="1"/>
  <c r="W998" i="1"/>
  <c r="AE998" i="1" s="1"/>
  <c r="AN997" i="1"/>
  <c r="AG997" i="1"/>
  <c r="W997" i="1"/>
  <c r="AK997" i="1" s="1"/>
  <c r="AN996" i="1"/>
  <c r="Q996" i="1"/>
  <c r="R996" i="1" s="1"/>
  <c r="S996" i="1" s="1"/>
  <c r="T996" i="1" s="1"/>
  <c r="AN995" i="1"/>
  <c r="W995" i="1"/>
  <c r="AK995" i="1" s="1"/>
  <c r="AN994" i="1"/>
  <c r="Q994" i="1"/>
  <c r="R994" i="1" s="1"/>
  <c r="S994" i="1" s="1"/>
  <c r="T994" i="1" s="1"/>
  <c r="AN991" i="1"/>
  <c r="W991" i="1"/>
  <c r="AK991" i="1" s="1"/>
  <c r="AN990" i="1"/>
  <c r="Q990" i="1"/>
  <c r="R990" i="1" s="1"/>
  <c r="S990" i="1" s="1"/>
  <c r="T990" i="1" s="1"/>
  <c r="AN989" i="1"/>
  <c r="W989" i="1"/>
  <c r="AL989" i="1" s="1"/>
  <c r="AN988" i="1"/>
  <c r="Q988" i="1"/>
  <c r="R988" i="1" s="1"/>
  <c r="S988" i="1" s="1"/>
  <c r="T988" i="1" s="1"/>
  <c r="AN987" i="1"/>
  <c r="Q987" i="1"/>
  <c r="R987" i="1" s="1"/>
  <c r="S987" i="1" s="1"/>
  <c r="T987" i="1" s="1"/>
  <c r="AN986" i="1"/>
  <c r="W986" i="1"/>
  <c r="AN985" i="1"/>
  <c r="R985" i="1"/>
  <c r="S985" i="1" s="1"/>
  <c r="T985" i="1" s="1"/>
  <c r="Q985" i="1"/>
  <c r="AN984" i="1"/>
  <c r="AL984" i="1"/>
  <c r="AK984" i="1"/>
  <c r="AJ984" i="1"/>
  <c r="AI984" i="1"/>
  <c r="AH984" i="1"/>
  <c r="AG984" i="1"/>
  <c r="AF984" i="1"/>
  <c r="AE984" i="1"/>
  <c r="AD984" i="1"/>
  <c r="AC984" i="1"/>
  <c r="AN983" i="1"/>
  <c r="Q983" i="1"/>
  <c r="R983" i="1" s="1"/>
  <c r="S983" i="1" s="1"/>
  <c r="T983" i="1" s="1"/>
  <c r="AN982" i="1"/>
  <c r="AL982" i="1"/>
  <c r="AK982" i="1"/>
  <c r="AJ982" i="1"/>
  <c r="AI982" i="1"/>
  <c r="AH982" i="1"/>
  <c r="AG982" i="1"/>
  <c r="AF982" i="1"/>
  <c r="AE982" i="1"/>
  <c r="AD982" i="1"/>
  <c r="AC982" i="1"/>
  <c r="AN981" i="1"/>
  <c r="AG981" i="1"/>
  <c r="W981" i="1"/>
  <c r="AN980" i="1"/>
  <c r="Q980" i="1"/>
  <c r="R980" i="1" s="1"/>
  <c r="S980" i="1" s="1"/>
  <c r="T980" i="1" s="1"/>
  <c r="AN979" i="1"/>
  <c r="AL979" i="1"/>
  <c r="AK979" i="1"/>
  <c r="AJ979" i="1"/>
  <c r="AI979" i="1"/>
  <c r="AH979" i="1"/>
  <c r="AG979" i="1"/>
  <c r="AF979" i="1"/>
  <c r="AE979" i="1"/>
  <c r="AD979" i="1"/>
  <c r="AC979" i="1"/>
  <c r="AN978" i="1"/>
  <c r="Q978" i="1"/>
  <c r="R978" i="1" s="1"/>
  <c r="S978" i="1" s="1"/>
  <c r="T978" i="1" s="1"/>
  <c r="AN977" i="1"/>
  <c r="W977" i="1"/>
  <c r="AN976" i="1"/>
  <c r="Q976" i="1"/>
  <c r="R976" i="1" s="1"/>
  <c r="S976" i="1" s="1"/>
  <c r="T976" i="1" s="1"/>
  <c r="AN975" i="1"/>
  <c r="AL975" i="1"/>
  <c r="AK975" i="1"/>
  <c r="AJ975" i="1"/>
  <c r="AI975" i="1"/>
  <c r="AH975" i="1"/>
  <c r="AG975" i="1"/>
  <c r="AF975" i="1"/>
  <c r="AE975" i="1"/>
  <c r="AD975" i="1"/>
  <c r="AC975" i="1"/>
  <c r="AN974" i="1"/>
  <c r="Q974" i="1"/>
  <c r="R974" i="1" s="1"/>
  <c r="S974" i="1" s="1"/>
  <c r="T974" i="1" s="1"/>
  <c r="AN973" i="1"/>
  <c r="AL973" i="1"/>
  <c r="AK973" i="1"/>
  <c r="AJ973" i="1"/>
  <c r="AI973" i="1"/>
  <c r="AH973" i="1"/>
  <c r="AG973" i="1"/>
  <c r="AF973" i="1"/>
  <c r="AE973" i="1"/>
  <c r="AD973" i="1"/>
  <c r="AC973" i="1"/>
  <c r="AN972" i="1"/>
  <c r="Q972" i="1"/>
  <c r="R972" i="1" s="1"/>
  <c r="S972" i="1" s="1"/>
  <c r="T972" i="1" s="1"/>
  <c r="AN971" i="1"/>
  <c r="AL971" i="1"/>
  <c r="AK971" i="1"/>
  <c r="AJ971" i="1"/>
  <c r="AI971" i="1"/>
  <c r="AH971" i="1"/>
  <c r="AG971" i="1"/>
  <c r="AF971" i="1"/>
  <c r="AE971" i="1"/>
  <c r="AD971" i="1"/>
  <c r="AC971" i="1"/>
  <c r="AN970" i="1"/>
  <c r="AL970" i="1"/>
  <c r="AK970" i="1"/>
  <c r="AJ970" i="1"/>
  <c r="AI970" i="1"/>
  <c r="AH970" i="1"/>
  <c r="AG970" i="1"/>
  <c r="AF970" i="1"/>
  <c r="AE970" i="1"/>
  <c r="AD970" i="1"/>
  <c r="AC970" i="1"/>
  <c r="AN969" i="1"/>
  <c r="T969" i="1"/>
  <c r="Q969" i="1"/>
  <c r="R969" i="1" s="1"/>
  <c r="S969" i="1" s="1"/>
  <c r="AN968" i="1"/>
  <c r="AL968" i="1"/>
  <c r="AK968" i="1"/>
  <c r="AJ968" i="1"/>
  <c r="AI968" i="1"/>
  <c r="AH968" i="1"/>
  <c r="AG968" i="1"/>
  <c r="AF968" i="1"/>
  <c r="AE968" i="1"/>
  <c r="AD968" i="1"/>
  <c r="AC968" i="1"/>
  <c r="AN967" i="1"/>
  <c r="Q967" i="1"/>
  <c r="R967" i="1" s="1"/>
  <c r="S967" i="1" s="1"/>
  <c r="T967" i="1" s="1"/>
  <c r="AN966" i="1"/>
  <c r="AL966" i="1"/>
  <c r="AK966" i="1"/>
  <c r="AJ966" i="1"/>
  <c r="AI966" i="1"/>
  <c r="AH966" i="1"/>
  <c r="AG966" i="1"/>
  <c r="AF966" i="1"/>
  <c r="AE966" i="1"/>
  <c r="AD966" i="1"/>
  <c r="AC966" i="1"/>
  <c r="AN965" i="1"/>
  <c r="S965" i="1"/>
  <c r="T965" i="1" s="1"/>
  <c r="Q965" i="1"/>
  <c r="R965" i="1" s="1"/>
  <c r="AN964" i="1"/>
  <c r="AL964" i="1"/>
  <c r="AK964" i="1"/>
  <c r="AJ964" i="1"/>
  <c r="AI964" i="1"/>
  <c r="AH964" i="1"/>
  <c r="AG964" i="1"/>
  <c r="AF964" i="1"/>
  <c r="AE964" i="1"/>
  <c r="AD964" i="1"/>
  <c r="AC964" i="1"/>
  <c r="AN963" i="1"/>
  <c r="Q963" i="1"/>
  <c r="R963" i="1" s="1"/>
  <c r="S963" i="1" s="1"/>
  <c r="T963" i="1" s="1"/>
  <c r="AN962" i="1"/>
  <c r="AL962" i="1"/>
  <c r="AK962" i="1"/>
  <c r="AJ962" i="1"/>
  <c r="AI962" i="1"/>
  <c r="AH962" i="1"/>
  <c r="AG962" i="1"/>
  <c r="AF962" i="1"/>
  <c r="AE962" i="1"/>
  <c r="AD962" i="1"/>
  <c r="AC962" i="1"/>
  <c r="AN961" i="1"/>
  <c r="Q961" i="1"/>
  <c r="R961" i="1" s="1"/>
  <c r="S961" i="1" s="1"/>
  <c r="T961" i="1" s="1"/>
  <c r="AN960" i="1"/>
  <c r="AL960" i="1"/>
  <c r="AK960" i="1"/>
  <c r="AJ960" i="1"/>
  <c r="AI960" i="1"/>
  <c r="AH960" i="1"/>
  <c r="AG960" i="1"/>
  <c r="AF960" i="1"/>
  <c r="AE960" i="1"/>
  <c r="AD960" i="1"/>
  <c r="AC960" i="1"/>
  <c r="AN959" i="1"/>
  <c r="Q959" i="1"/>
  <c r="R959" i="1" s="1"/>
  <c r="S959" i="1" s="1"/>
  <c r="T959" i="1" s="1"/>
  <c r="AN958" i="1"/>
  <c r="R958" i="1"/>
  <c r="S958" i="1" s="1"/>
  <c r="T958" i="1" s="1"/>
  <c r="Q958" i="1"/>
  <c r="AN957" i="1"/>
  <c r="W957" i="1"/>
  <c r="AN956" i="1"/>
  <c r="Q956" i="1"/>
  <c r="R956" i="1" s="1"/>
  <c r="S956" i="1" s="1"/>
  <c r="T956" i="1" s="1"/>
  <c r="AN955" i="1"/>
  <c r="AL955" i="1"/>
  <c r="AK955" i="1"/>
  <c r="AJ955" i="1"/>
  <c r="AI955" i="1"/>
  <c r="AH955" i="1"/>
  <c r="AG955" i="1"/>
  <c r="AF955" i="1"/>
  <c r="AE955" i="1"/>
  <c r="AD955" i="1"/>
  <c r="AC955" i="1"/>
  <c r="AN954" i="1"/>
  <c r="Q954" i="1"/>
  <c r="R954" i="1" s="1"/>
  <c r="S954" i="1" s="1"/>
  <c r="T954" i="1" s="1"/>
  <c r="AN953" i="1"/>
  <c r="AL953" i="1"/>
  <c r="AK953" i="1"/>
  <c r="AJ953" i="1"/>
  <c r="AI953" i="1"/>
  <c r="AH953" i="1"/>
  <c r="AG953" i="1"/>
  <c r="AF953" i="1"/>
  <c r="AE953" i="1"/>
  <c r="AD953" i="1"/>
  <c r="AC953" i="1"/>
  <c r="AN952" i="1"/>
  <c r="AL952" i="1"/>
  <c r="W952" i="1"/>
  <c r="AI952" i="1" s="1"/>
  <c r="AN951" i="1"/>
  <c r="Q951" i="1"/>
  <c r="AW948" i="1"/>
  <c r="AU948" i="1"/>
  <c r="AT948" i="1"/>
  <c r="AS948" i="1"/>
  <c r="AB948" i="1"/>
  <c r="AA948" i="1"/>
  <c r="Z948" i="1"/>
  <c r="Y948" i="1"/>
  <c r="X948" i="1"/>
  <c r="V948" i="1"/>
  <c r="U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AN947" i="1"/>
  <c r="AL947" i="1"/>
  <c r="AK947" i="1"/>
  <c r="AJ947" i="1"/>
  <c r="AI947" i="1"/>
  <c r="AH947" i="1"/>
  <c r="AG947" i="1"/>
  <c r="AF947" i="1"/>
  <c r="AE947" i="1"/>
  <c r="AD947" i="1"/>
  <c r="AC947" i="1"/>
  <c r="AN946" i="1"/>
  <c r="Q946" i="1"/>
  <c r="R946" i="1" s="1"/>
  <c r="S946" i="1" s="1"/>
  <c r="T946" i="1" s="1"/>
  <c r="AN945" i="1"/>
  <c r="Q945" i="1"/>
  <c r="R945" i="1" s="1"/>
  <c r="S945" i="1" s="1"/>
  <c r="T945" i="1" s="1"/>
  <c r="AN944" i="1"/>
  <c r="AN943" i="1"/>
  <c r="S943" i="1"/>
  <c r="Q943" i="1"/>
  <c r="R943" i="1" s="1"/>
  <c r="AN942" i="1"/>
  <c r="W942" i="1"/>
  <c r="AK942" i="1" s="1"/>
  <c r="AN941" i="1"/>
  <c r="Q941" i="1"/>
  <c r="R941" i="1" s="1"/>
  <c r="S941" i="1" s="1"/>
  <c r="T941" i="1" s="1"/>
  <c r="AN940" i="1"/>
  <c r="AK940" i="1"/>
  <c r="AE940" i="1"/>
  <c r="W940" i="1"/>
  <c r="AJ940" i="1" s="1"/>
  <c r="AN939" i="1"/>
  <c r="Q939" i="1"/>
  <c r="R939" i="1" s="1"/>
  <c r="S939" i="1" s="1"/>
  <c r="T939" i="1" s="1"/>
  <c r="AN938" i="1"/>
  <c r="AL938" i="1"/>
  <c r="AK938" i="1"/>
  <c r="AJ938" i="1"/>
  <c r="AI938" i="1"/>
  <c r="AH938" i="1"/>
  <c r="AG938" i="1"/>
  <c r="AF938" i="1"/>
  <c r="AE938" i="1"/>
  <c r="AD938" i="1"/>
  <c r="AC938" i="1"/>
  <c r="AN937" i="1"/>
  <c r="Q937" i="1"/>
  <c r="R937" i="1" s="1"/>
  <c r="S937" i="1" s="1"/>
  <c r="T937" i="1" s="1"/>
  <c r="AN936" i="1"/>
  <c r="Q936" i="1"/>
  <c r="R936" i="1" s="1"/>
  <c r="S936" i="1" s="1"/>
  <c r="T936" i="1" s="1"/>
  <c r="AN935" i="1"/>
  <c r="AL935" i="1"/>
  <c r="AK935" i="1"/>
  <c r="AJ935" i="1"/>
  <c r="AI935" i="1"/>
  <c r="AH935" i="1"/>
  <c r="AG935" i="1"/>
  <c r="AF935" i="1"/>
  <c r="AE935" i="1"/>
  <c r="AD935" i="1"/>
  <c r="AC935" i="1"/>
  <c r="AN934" i="1"/>
  <c r="Q934" i="1"/>
  <c r="R934" i="1" s="1"/>
  <c r="S934" i="1" s="1"/>
  <c r="T934" i="1" s="1"/>
  <c r="AX931" i="1"/>
  <c r="AW931" i="1"/>
  <c r="AV931" i="1"/>
  <c r="AU931" i="1"/>
  <c r="AT931" i="1"/>
  <c r="AS931" i="1"/>
  <c r="AR931" i="1"/>
  <c r="AQ931" i="1"/>
  <c r="AP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AN930" i="1"/>
  <c r="Q930" i="1"/>
  <c r="R930" i="1" s="1"/>
  <c r="S930" i="1" s="1"/>
  <c r="T930" i="1" s="1"/>
  <c r="AN929" i="1"/>
  <c r="Q929" i="1"/>
  <c r="R929" i="1" s="1"/>
  <c r="S929" i="1" s="1"/>
  <c r="T929" i="1" s="1"/>
  <c r="AN928" i="1"/>
  <c r="Q928" i="1"/>
  <c r="R928" i="1" s="1"/>
  <c r="S928" i="1" s="1"/>
  <c r="T928" i="1" s="1"/>
  <c r="AN927" i="1"/>
  <c r="Q927" i="1"/>
  <c r="R927" i="1" s="1"/>
  <c r="S927" i="1" s="1"/>
  <c r="T927" i="1" s="1"/>
  <c r="AN926" i="1"/>
  <c r="Q926" i="1"/>
  <c r="R926" i="1" s="1"/>
  <c r="S926" i="1" s="1"/>
  <c r="T926" i="1" s="1"/>
  <c r="AN925" i="1"/>
  <c r="Q925" i="1"/>
  <c r="AT921" i="1"/>
  <c r="AS921" i="1"/>
  <c r="AO921" i="1"/>
  <c r="AN921" i="1"/>
  <c r="AB921" i="1"/>
  <c r="AA921" i="1"/>
  <c r="Z921" i="1"/>
  <c r="V921" i="1"/>
  <c r="AW919" i="1"/>
  <c r="Y919" i="1"/>
  <c r="X919" i="1"/>
  <c r="U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AX918" i="1"/>
  <c r="AN918" i="1"/>
  <c r="AM918" i="1"/>
  <c r="T918" i="1"/>
  <c r="Q918" i="1"/>
  <c r="R918" i="1" s="1"/>
  <c r="S918" i="1" s="1"/>
  <c r="AX917" i="1"/>
  <c r="AN917" i="1"/>
  <c r="AM917" i="1"/>
  <c r="S917" i="1"/>
  <c r="T917" i="1" s="1"/>
  <c r="Q917" i="1"/>
  <c r="R917" i="1" s="1"/>
  <c r="AN916" i="1"/>
  <c r="W916" i="1"/>
  <c r="AX915" i="1"/>
  <c r="AN915" i="1"/>
  <c r="AM915" i="1"/>
  <c r="AP915" i="1" s="1"/>
  <c r="AQ915" i="1" s="1"/>
  <c r="AR915" i="1" s="1"/>
  <c r="Q915" i="1"/>
  <c r="R915" i="1" s="1"/>
  <c r="S915" i="1" s="1"/>
  <c r="T915" i="1" s="1"/>
  <c r="AX914" i="1"/>
  <c r="AN914" i="1"/>
  <c r="AM914" i="1"/>
  <c r="AP914" i="1" s="1"/>
  <c r="AQ914" i="1" s="1"/>
  <c r="AR914" i="1" s="1"/>
  <c r="Q914" i="1"/>
  <c r="R914" i="1" s="1"/>
  <c r="S914" i="1" s="1"/>
  <c r="T914" i="1" s="1"/>
  <c r="AX913" i="1"/>
  <c r="AN913" i="1"/>
  <c r="AM913" i="1"/>
  <c r="AP913" i="1" s="1"/>
  <c r="AQ913" i="1" s="1"/>
  <c r="AR913" i="1" s="1"/>
  <c r="Q913" i="1"/>
  <c r="R913" i="1" s="1"/>
  <c r="S913" i="1" s="1"/>
  <c r="T913" i="1" s="1"/>
  <c r="AX912" i="1"/>
  <c r="AN912" i="1"/>
  <c r="AM912" i="1"/>
  <c r="Q912" i="1"/>
  <c r="R912" i="1" s="1"/>
  <c r="S912" i="1" s="1"/>
  <c r="T912" i="1" s="1"/>
  <c r="AX911" i="1"/>
  <c r="AN911" i="1"/>
  <c r="AM911" i="1"/>
  <c r="AP911" i="1" s="1"/>
  <c r="AQ911" i="1" s="1"/>
  <c r="AR911" i="1" s="1"/>
  <c r="R911" i="1"/>
  <c r="S911" i="1" s="1"/>
  <c r="T911" i="1" s="1"/>
  <c r="Q911" i="1"/>
  <c r="AX910" i="1"/>
  <c r="AN910" i="1"/>
  <c r="AM910" i="1"/>
  <c r="Q910" i="1"/>
  <c r="R910" i="1" s="1"/>
  <c r="S910" i="1" s="1"/>
  <c r="T910" i="1" s="1"/>
  <c r="AX909" i="1"/>
  <c r="AN909" i="1"/>
  <c r="AP909" i="1" s="1"/>
  <c r="AQ909" i="1" s="1"/>
  <c r="AR909" i="1" s="1"/>
  <c r="AM909" i="1"/>
  <c r="Q909" i="1"/>
  <c r="R909" i="1" s="1"/>
  <c r="S909" i="1" s="1"/>
  <c r="T909" i="1" s="1"/>
  <c r="AX908" i="1"/>
  <c r="AN908" i="1"/>
  <c r="AM908" i="1"/>
  <c r="Q908" i="1"/>
  <c r="R908" i="1" s="1"/>
  <c r="S908" i="1" s="1"/>
  <c r="T908" i="1" s="1"/>
  <c r="AX907" i="1"/>
  <c r="AN907" i="1"/>
  <c r="AM907" i="1"/>
  <c r="Q907" i="1"/>
  <c r="R907" i="1" s="1"/>
  <c r="S907" i="1" s="1"/>
  <c r="T907" i="1" s="1"/>
  <c r="AX906" i="1"/>
  <c r="AN906" i="1"/>
  <c r="AM906" i="1"/>
  <c r="Q906" i="1"/>
  <c r="R906" i="1" s="1"/>
  <c r="S906" i="1" s="1"/>
  <c r="T906" i="1" s="1"/>
  <c r="AX905" i="1"/>
  <c r="AN905" i="1"/>
  <c r="AM905" i="1"/>
  <c r="S905" i="1"/>
  <c r="Q905" i="1"/>
  <c r="R905" i="1" s="1"/>
  <c r="AU902" i="1"/>
  <c r="Y902" i="1"/>
  <c r="X902" i="1"/>
  <c r="U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AX901" i="1"/>
  <c r="AN901" i="1"/>
  <c r="AP901" i="1" s="1"/>
  <c r="AQ901" i="1" s="1"/>
  <c r="AR901" i="1" s="1"/>
  <c r="AM901" i="1"/>
  <c r="Q901" i="1"/>
  <c r="R901" i="1" s="1"/>
  <c r="S901" i="1" s="1"/>
  <c r="T901" i="1" s="1"/>
  <c r="AN900" i="1"/>
  <c r="AL900" i="1"/>
  <c r="AE900" i="1"/>
  <c r="W900" i="1"/>
  <c r="AX899" i="1"/>
  <c r="AN899" i="1"/>
  <c r="AM899" i="1"/>
  <c r="Q899" i="1"/>
  <c r="R899" i="1" s="1"/>
  <c r="S899" i="1" s="1"/>
  <c r="T899" i="1" s="1"/>
  <c r="AN898" i="1"/>
  <c r="AK898" i="1"/>
  <c r="AH898" i="1"/>
  <c r="AC898" i="1"/>
  <c r="W898" i="1"/>
  <c r="AX897" i="1"/>
  <c r="AN897" i="1"/>
  <c r="AM897" i="1"/>
  <c r="AP897" i="1" s="1"/>
  <c r="AQ897" i="1" s="1"/>
  <c r="AR897" i="1" s="1"/>
  <c r="Q897" i="1"/>
  <c r="R897" i="1" s="1"/>
  <c r="S897" i="1" s="1"/>
  <c r="T897" i="1" s="1"/>
  <c r="AX896" i="1"/>
  <c r="AN896" i="1"/>
  <c r="AM896" i="1"/>
  <c r="Q896" i="1"/>
  <c r="R896" i="1" s="1"/>
  <c r="S896" i="1" s="1"/>
  <c r="T896" i="1" s="1"/>
  <c r="AX895" i="1"/>
  <c r="AN895" i="1"/>
  <c r="AM895" i="1"/>
  <c r="AP895" i="1" s="1"/>
  <c r="AQ895" i="1" s="1"/>
  <c r="AR895" i="1" s="1"/>
  <c r="Q895" i="1"/>
  <c r="R895" i="1" s="1"/>
  <c r="S895" i="1" s="1"/>
  <c r="T895" i="1" s="1"/>
  <c r="AX894" i="1"/>
  <c r="AN894" i="1"/>
  <c r="AM894" i="1"/>
  <c r="AP894" i="1" s="1"/>
  <c r="AQ894" i="1" s="1"/>
  <c r="AR894" i="1" s="1"/>
  <c r="Q894" i="1"/>
  <c r="R894" i="1" s="1"/>
  <c r="S894" i="1" s="1"/>
  <c r="T894" i="1" s="1"/>
  <c r="AX893" i="1"/>
  <c r="AN893" i="1"/>
  <c r="AM893" i="1"/>
  <c r="AP893" i="1" s="1"/>
  <c r="AQ893" i="1" s="1"/>
  <c r="AR893" i="1" s="1"/>
  <c r="Q893" i="1"/>
  <c r="R893" i="1" s="1"/>
  <c r="S893" i="1" s="1"/>
  <c r="T893" i="1" s="1"/>
  <c r="AX892" i="1"/>
  <c r="AN892" i="1"/>
  <c r="AM892" i="1"/>
  <c r="Q892" i="1"/>
  <c r="R892" i="1" s="1"/>
  <c r="S892" i="1" s="1"/>
  <c r="T892" i="1" s="1"/>
  <c r="AX891" i="1"/>
  <c r="AN891" i="1"/>
  <c r="AM891" i="1"/>
  <c r="Q891" i="1"/>
  <c r="R891" i="1" s="1"/>
  <c r="S891" i="1" s="1"/>
  <c r="T891" i="1" s="1"/>
  <c r="AX890" i="1"/>
  <c r="AN890" i="1"/>
  <c r="AM890" i="1"/>
  <c r="AP890" i="1" s="1"/>
  <c r="AQ890" i="1" s="1"/>
  <c r="AR890" i="1" s="1"/>
  <c r="Q890" i="1"/>
  <c r="R890" i="1" s="1"/>
  <c r="S890" i="1" s="1"/>
  <c r="T890" i="1" s="1"/>
  <c r="AX889" i="1"/>
  <c r="AN889" i="1"/>
  <c r="AM889" i="1"/>
  <c r="Q889" i="1"/>
  <c r="R889" i="1" s="1"/>
  <c r="S889" i="1" s="1"/>
  <c r="T889" i="1" s="1"/>
  <c r="AX888" i="1"/>
  <c r="AP888" i="1"/>
  <c r="AQ888" i="1" s="1"/>
  <c r="AN888" i="1"/>
  <c r="AM888" i="1"/>
  <c r="Q888" i="1"/>
  <c r="R888" i="1" s="1"/>
  <c r="S888" i="1" s="1"/>
  <c r="T888" i="1" s="1"/>
  <c r="AW885" i="1"/>
  <c r="AU885" i="1"/>
  <c r="O885" i="1"/>
  <c r="J885" i="1"/>
  <c r="I885" i="1"/>
  <c r="H885" i="1"/>
  <c r="G885" i="1"/>
  <c r="F885" i="1"/>
  <c r="E885" i="1"/>
  <c r="D885" i="1"/>
  <c r="AN884" i="1"/>
  <c r="W884" i="1"/>
  <c r="AG884" i="1" s="1"/>
  <c r="AG885" i="1" s="1"/>
  <c r="AX883" i="1"/>
  <c r="AN883" i="1"/>
  <c r="AM883" i="1"/>
  <c r="AX882" i="1"/>
  <c r="AN882" i="1"/>
  <c r="AM882" i="1"/>
  <c r="AP882" i="1" s="1"/>
  <c r="AQ882" i="1" s="1"/>
  <c r="AR882" i="1" s="1"/>
  <c r="AX881" i="1"/>
  <c r="AN881" i="1"/>
  <c r="AM881" i="1"/>
  <c r="AX880" i="1"/>
  <c r="AN880" i="1"/>
  <c r="AM880" i="1"/>
  <c r="AX879" i="1"/>
  <c r="AN879" i="1"/>
  <c r="AM879" i="1"/>
  <c r="AX878" i="1"/>
  <c r="AN878" i="1"/>
  <c r="AP878" i="1" s="1"/>
  <c r="AQ878" i="1" s="1"/>
  <c r="AR878" i="1" s="1"/>
  <c r="AM878" i="1"/>
  <c r="AX877" i="1"/>
  <c r="AN877" i="1"/>
  <c r="AM877" i="1"/>
  <c r="AX876" i="1"/>
  <c r="AN876" i="1"/>
  <c r="AM876" i="1"/>
  <c r="AX875" i="1"/>
  <c r="AN875" i="1"/>
  <c r="AM875" i="1"/>
  <c r="AP875" i="1" s="1"/>
  <c r="AQ875" i="1" s="1"/>
  <c r="AR875" i="1" s="1"/>
  <c r="AX874" i="1"/>
  <c r="AN874" i="1"/>
  <c r="AM874" i="1"/>
  <c r="AX873" i="1"/>
  <c r="AN873" i="1"/>
  <c r="AM873" i="1"/>
  <c r="AX872" i="1"/>
  <c r="AP872" i="1"/>
  <c r="AQ872" i="1" s="1"/>
  <c r="AR872" i="1" s="1"/>
  <c r="AN872" i="1"/>
  <c r="AM872" i="1"/>
  <c r="AX871" i="1"/>
  <c r="AN871" i="1"/>
  <c r="AM871" i="1"/>
  <c r="AX870" i="1"/>
  <c r="AN870" i="1"/>
  <c r="AM870" i="1"/>
  <c r="AU867" i="1"/>
  <c r="Y867" i="1"/>
  <c r="X867" i="1"/>
  <c r="U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AX866" i="1"/>
  <c r="AN866" i="1"/>
  <c r="AM866" i="1"/>
  <c r="Q866" i="1"/>
  <c r="R866" i="1" s="1"/>
  <c r="S866" i="1" s="1"/>
  <c r="T866" i="1" s="1"/>
  <c r="AN865" i="1"/>
  <c r="AH865" i="1"/>
  <c r="AH867" i="1" s="1"/>
  <c r="W865" i="1"/>
  <c r="W867" i="1" s="1"/>
  <c r="AX864" i="1"/>
  <c r="AN864" i="1"/>
  <c r="AM864" i="1"/>
  <c r="Q864" i="1"/>
  <c r="R864" i="1" s="1"/>
  <c r="S864" i="1" s="1"/>
  <c r="T864" i="1" s="1"/>
  <c r="AX863" i="1"/>
  <c r="AN863" i="1"/>
  <c r="AP863" i="1" s="1"/>
  <c r="AQ863" i="1" s="1"/>
  <c r="AR863" i="1" s="1"/>
  <c r="AM863" i="1"/>
  <c r="Q863" i="1"/>
  <c r="R863" i="1" s="1"/>
  <c r="S863" i="1" s="1"/>
  <c r="T863" i="1" s="1"/>
  <c r="AX862" i="1"/>
  <c r="AN862" i="1"/>
  <c r="AM862" i="1"/>
  <c r="Q862" i="1"/>
  <c r="R862" i="1" s="1"/>
  <c r="S862" i="1" s="1"/>
  <c r="T862" i="1" s="1"/>
  <c r="AX861" i="1"/>
  <c r="AN861" i="1"/>
  <c r="AM861" i="1"/>
  <c r="R861" i="1"/>
  <c r="S861" i="1" s="1"/>
  <c r="T861" i="1" s="1"/>
  <c r="Q861" i="1"/>
  <c r="AX860" i="1"/>
  <c r="AN860" i="1"/>
  <c r="AM860" i="1"/>
  <c r="AP860" i="1" s="1"/>
  <c r="AQ860" i="1" s="1"/>
  <c r="AR860" i="1" s="1"/>
  <c r="Q860" i="1"/>
  <c r="R860" i="1" s="1"/>
  <c r="S860" i="1" s="1"/>
  <c r="T860" i="1" s="1"/>
  <c r="AX859" i="1"/>
  <c r="AN859" i="1"/>
  <c r="AM859" i="1"/>
  <c r="AP859" i="1" s="1"/>
  <c r="AQ859" i="1" s="1"/>
  <c r="AR859" i="1" s="1"/>
  <c r="Q859" i="1"/>
  <c r="R859" i="1" s="1"/>
  <c r="S859" i="1" s="1"/>
  <c r="T859" i="1" s="1"/>
  <c r="AX858" i="1"/>
  <c r="AN858" i="1"/>
  <c r="AM858" i="1"/>
  <c r="Q858" i="1"/>
  <c r="R858" i="1" s="1"/>
  <c r="S858" i="1" s="1"/>
  <c r="T858" i="1" s="1"/>
  <c r="AX857" i="1"/>
  <c r="AN857" i="1"/>
  <c r="AM857" i="1"/>
  <c r="AP857" i="1" s="1"/>
  <c r="AQ857" i="1" s="1"/>
  <c r="AR857" i="1" s="1"/>
  <c r="R857" i="1"/>
  <c r="S857" i="1" s="1"/>
  <c r="T857" i="1" s="1"/>
  <c r="Q857" i="1"/>
  <c r="AX856" i="1"/>
  <c r="AN856" i="1"/>
  <c r="AM856" i="1"/>
  <c r="Q856" i="1"/>
  <c r="R856" i="1" s="1"/>
  <c r="S856" i="1" s="1"/>
  <c r="T856" i="1" s="1"/>
  <c r="AX855" i="1"/>
  <c r="AN855" i="1"/>
  <c r="AM855" i="1"/>
  <c r="R855" i="1"/>
  <c r="S855" i="1" s="1"/>
  <c r="T855" i="1" s="1"/>
  <c r="Q855" i="1"/>
  <c r="AX854" i="1"/>
  <c r="AN854" i="1"/>
  <c r="AM854" i="1"/>
  <c r="AP854" i="1" s="1"/>
  <c r="AQ854" i="1" s="1"/>
  <c r="AR854" i="1" s="1"/>
  <c r="Q854" i="1"/>
  <c r="R854" i="1" s="1"/>
  <c r="S854" i="1" s="1"/>
  <c r="T854" i="1" s="1"/>
  <c r="AX853" i="1"/>
  <c r="AN853" i="1"/>
  <c r="AM853" i="1"/>
  <c r="Q853" i="1"/>
  <c r="R853" i="1" s="1"/>
  <c r="S853" i="1" s="1"/>
  <c r="T853" i="1" s="1"/>
  <c r="AX852" i="1"/>
  <c r="AN852" i="1"/>
  <c r="AM852" i="1"/>
  <c r="Q852" i="1"/>
  <c r="AN848" i="1"/>
  <c r="AN1404" i="1" s="1"/>
  <c r="AW846" i="1"/>
  <c r="AU846" i="1"/>
  <c r="AT846" i="1"/>
  <c r="AS846" i="1"/>
  <c r="AB846" i="1"/>
  <c r="AA846" i="1"/>
  <c r="Z846" i="1"/>
  <c r="Y846" i="1"/>
  <c r="X846" i="1"/>
  <c r="V846" i="1"/>
  <c r="U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AN845" i="1"/>
  <c r="W845" i="1"/>
  <c r="AX844" i="1"/>
  <c r="AN844" i="1"/>
  <c r="AM844" i="1"/>
  <c r="Q844" i="1"/>
  <c r="R844" i="1" s="1"/>
  <c r="S844" i="1" s="1"/>
  <c r="T844" i="1" s="1"/>
  <c r="AN843" i="1"/>
  <c r="AG843" i="1"/>
  <c r="W843" i="1"/>
  <c r="AX842" i="1"/>
  <c r="AN842" i="1"/>
  <c r="AM842" i="1"/>
  <c r="AP842" i="1" s="1"/>
  <c r="AQ842" i="1" s="1"/>
  <c r="AR842" i="1" s="1"/>
  <c r="Q842" i="1"/>
  <c r="R842" i="1" s="1"/>
  <c r="S842" i="1" s="1"/>
  <c r="T842" i="1" s="1"/>
  <c r="AX841" i="1"/>
  <c r="AN841" i="1"/>
  <c r="AM841" i="1"/>
  <c r="Q841" i="1"/>
  <c r="R841" i="1" s="1"/>
  <c r="S841" i="1" s="1"/>
  <c r="T841" i="1" s="1"/>
  <c r="AX840" i="1"/>
  <c r="AN840" i="1"/>
  <c r="AM840" i="1"/>
  <c r="AP840" i="1" s="1"/>
  <c r="AQ840" i="1" s="1"/>
  <c r="AR840" i="1" s="1"/>
  <c r="Q840" i="1"/>
  <c r="R840" i="1" s="1"/>
  <c r="S840" i="1" s="1"/>
  <c r="T840" i="1" s="1"/>
  <c r="AX839" i="1"/>
  <c r="AN839" i="1"/>
  <c r="AM839" i="1"/>
  <c r="Q839" i="1"/>
  <c r="R839" i="1" s="1"/>
  <c r="S839" i="1" s="1"/>
  <c r="T839" i="1" s="1"/>
  <c r="AX838" i="1"/>
  <c r="AN838" i="1"/>
  <c r="AP838" i="1" s="1"/>
  <c r="AQ838" i="1" s="1"/>
  <c r="AR838" i="1" s="1"/>
  <c r="AM838" i="1"/>
  <c r="Q838" i="1"/>
  <c r="R838" i="1" s="1"/>
  <c r="S838" i="1" s="1"/>
  <c r="T838" i="1" s="1"/>
  <c r="AX837" i="1"/>
  <c r="AN837" i="1"/>
  <c r="AM837" i="1"/>
  <c r="AP837" i="1" s="1"/>
  <c r="AQ837" i="1" s="1"/>
  <c r="AR837" i="1" s="1"/>
  <c r="Q837" i="1"/>
  <c r="R837" i="1" s="1"/>
  <c r="S837" i="1" s="1"/>
  <c r="T837" i="1" s="1"/>
  <c r="AX836" i="1"/>
  <c r="AN836" i="1"/>
  <c r="AM836" i="1"/>
  <c r="AP836" i="1" s="1"/>
  <c r="AQ836" i="1" s="1"/>
  <c r="AR836" i="1" s="1"/>
  <c r="Q836" i="1"/>
  <c r="R836" i="1" s="1"/>
  <c r="S836" i="1" s="1"/>
  <c r="T836" i="1" s="1"/>
  <c r="AX835" i="1"/>
  <c r="AN835" i="1"/>
  <c r="AM835" i="1"/>
  <c r="Q835" i="1"/>
  <c r="R835" i="1" s="1"/>
  <c r="S835" i="1" s="1"/>
  <c r="T835" i="1" s="1"/>
  <c r="AX834" i="1"/>
  <c r="AN834" i="1"/>
  <c r="AM834" i="1"/>
  <c r="AP834" i="1" s="1"/>
  <c r="AQ834" i="1" s="1"/>
  <c r="AR834" i="1" s="1"/>
  <c r="Q834" i="1"/>
  <c r="R834" i="1" s="1"/>
  <c r="S834" i="1" s="1"/>
  <c r="T834" i="1" s="1"/>
  <c r="AX833" i="1"/>
  <c r="AN833" i="1"/>
  <c r="AM833" i="1"/>
  <c r="Q833" i="1"/>
  <c r="R833" i="1" s="1"/>
  <c r="S833" i="1" s="1"/>
  <c r="T833" i="1" s="1"/>
  <c r="AX832" i="1"/>
  <c r="AN832" i="1"/>
  <c r="AM832" i="1"/>
  <c r="Q832" i="1"/>
  <c r="R832" i="1" s="1"/>
  <c r="S832" i="1" s="1"/>
  <c r="T832" i="1" s="1"/>
  <c r="AX831" i="1"/>
  <c r="AN831" i="1"/>
  <c r="AM831" i="1"/>
  <c r="Q831" i="1"/>
  <c r="R831" i="1" s="1"/>
  <c r="S831" i="1" s="1"/>
  <c r="T831" i="1" s="1"/>
  <c r="AX830" i="1"/>
  <c r="AN830" i="1"/>
  <c r="AP830" i="1" s="1"/>
  <c r="AQ830" i="1" s="1"/>
  <c r="AM830" i="1"/>
  <c r="Q830" i="1"/>
  <c r="AW827" i="1"/>
  <c r="AV827" i="1"/>
  <c r="AU827" i="1"/>
  <c r="AL827" i="1"/>
  <c r="AK827" i="1"/>
  <c r="AJ827" i="1"/>
  <c r="AI827" i="1"/>
  <c r="AH827" i="1"/>
  <c r="AG827" i="1"/>
  <c r="AF827" i="1"/>
  <c r="AE827" i="1"/>
  <c r="AD827" i="1"/>
  <c r="AC827" i="1"/>
  <c r="Y827" i="1"/>
  <c r="X827" i="1"/>
  <c r="W827" i="1"/>
  <c r="U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AX826" i="1"/>
  <c r="AN826" i="1"/>
  <c r="AM826" i="1"/>
  <c r="Q826" i="1"/>
  <c r="R826" i="1" s="1"/>
  <c r="S826" i="1" s="1"/>
  <c r="T826" i="1" s="1"/>
  <c r="AX825" i="1"/>
  <c r="AN825" i="1"/>
  <c r="AM825" i="1"/>
  <c r="Q825" i="1"/>
  <c r="R825" i="1" s="1"/>
  <c r="S825" i="1" s="1"/>
  <c r="T825" i="1" s="1"/>
  <c r="AX824" i="1"/>
  <c r="AN824" i="1"/>
  <c r="AM824" i="1"/>
  <c r="Q824" i="1"/>
  <c r="R824" i="1" s="1"/>
  <c r="S824" i="1" s="1"/>
  <c r="T824" i="1" s="1"/>
  <c r="AX823" i="1"/>
  <c r="AN823" i="1"/>
  <c r="AM823" i="1"/>
  <c r="Q823" i="1"/>
  <c r="R823" i="1" s="1"/>
  <c r="S823" i="1" s="1"/>
  <c r="T823" i="1" s="1"/>
  <c r="AX822" i="1"/>
  <c r="AN822" i="1"/>
  <c r="AM822" i="1"/>
  <c r="Q822" i="1"/>
  <c r="R822" i="1" s="1"/>
  <c r="S822" i="1" s="1"/>
  <c r="T822" i="1" s="1"/>
  <c r="AX821" i="1"/>
  <c r="AN821" i="1"/>
  <c r="AP821" i="1" s="1"/>
  <c r="AQ821" i="1" s="1"/>
  <c r="AR821" i="1" s="1"/>
  <c r="AM821" i="1"/>
  <c r="Q821" i="1"/>
  <c r="R821" i="1" s="1"/>
  <c r="S821" i="1" s="1"/>
  <c r="T821" i="1" s="1"/>
  <c r="AX820" i="1"/>
  <c r="AN820" i="1"/>
  <c r="AM820" i="1"/>
  <c r="Q820" i="1"/>
  <c r="R820" i="1" s="1"/>
  <c r="AU817" i="1"/>
  <c r="AT817" i="1"/>
  <c r="AS817" i="1"/>
  <c r="AB817" i="1"/>
  <c r="AA817" i="1"/>
  <c r="Z817" i="1"/>
  <c r="Y817" i="1"/>
  <c r="X817" i="1"/>
  <c r="V817" i="1"/>
  <c r="U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AX815" i="1"/>
  <c r="AN815" i="1"/>
  <c r="AM815" i="1"/>
  <c r="Q815" i="1"/>
  <c r="R815" i="1" s="1"/>
  <c r="S815" i="1" s="1"/>
  <c r="T815" i="1" s="1"/>
  <c r="AX813" i="1"/>
  <c r="AN813" i="1"/>
  <c r="AM813" i="1"/>
  <c r="AP813" i="1" s="1"/>
  <c r="AQ813" i="1" s="1"/>
  <c r="AR813" i="1" s="1"/>
  <c r="Q813" i="1"/>
  <c r="R813" i="1" s="1"/>
  <c r="S813" i="1" s="1"/>
  <c r="T813" i="1" s="1"/>
  <c r="AX812" i="1"/>
  <c r="AN812" i="1"/>
  <c r="AM812" i="1"/>
  <c r="AP812" i="1" s="1"/>
  <c r="AQ812" i="1" s="1"/>
  <c r="AR812" i="1" s="1"/>
  <c r="Q812" i="1"/>
  <c r="R812" i="1" s="1"/>
  <c r="S812" i="1" s="1"/>
  <c r="T812" i="1" s="1"/>
  <c r="AN811" i="1"/>
  <c r="AL811" i="1"/>
  <c r="AG811" i="1"/>
  <c r="AE811" i="1"/>
  <c r="W811" i="1"/>
  <c r="AN810" i="1"/>
  <c r="W810" i="1"/>
  <c r="AK810" i="1" s="1"/>
  <c r="AX809" i="1"/>
  <c r="AN809" i="1"/>
  <c r="AM809" i="1"/>
  <c r="Q809" i="1"/>
  <c r="R809" i="1" s="1"/>
  <c r="S809" i="1" s="1"/>
  <c r="T809" i="1" s="1"/>
  <c r="AX808" i="1"/>
  <c r="AN808" i="1"/>
  <c r="AM808" i="1"/>
  <c r="Q808" i="1"/>
  <c r="R808" i="1" s="1"/>
  <c r="S808" i="1" s="1"/>
  <c r="T808" i="1" s="1"/>
  <c r="AX807" i="1"/>
  <c r="AN807" i="1"/>
  <c r="AM807" i="1"/>
  <c r="S807" i="1"/>
  <c r="T807" i="1" s="1"/>
  <c r="Q807" i="1"/>
  <c r="R807" i="1" s="1"/>
  <c r="AX806" i="1"/>
  <c r="AN806" i="1"/>
  <c r="AM806" i="1"/>
  <c r="AP806" i="1" s="1"/>
  <c r="AQ806" i="1" s="1"/>
  <c r="AR806" i="1" s="1"/>
  <c r="Q806" i="1"/>
  <c r="R806" i="1" s="1"/>
  <c r="S806" i="1" s="1"/>
  <c r="T806" i="1" s="1"/>
  <c r="AX805" i="1"/>
  <c r="AN805" i="1"/>
  <c r="AM805" i="1"/>
  <c r="Q805" i="1"/>
  <c r="R805" i="1" s="1"/>
  <c r="S805" i="1" s="1"/>
  <c r="T805" i="1" s="1"/>
  <c r="AX804" i="1"/>
  <c r="AN804" i="1"/>
  <c r="AM804" i="1"/>
  <c r="Q804" i="1"/>
  <c r="R804" i="1" s="1"/>
  <c r="S804" i="1" s="1"/>
  <c r="T804" i="1" s="1"/>
  <c r="AX803" i="1"/>
  <c r="AN803" i="1"/>
  <c r="AM803" i="1"/>
  <c r="Q803" i="1"/>
  <c r="R803" i="1" s="1"/>
  <c r="S803" i="1" s="1"/>
  <c r="T803" i="1" s="1"/>
  <c r="AX802" i="1"/>
  <c r="AN802" i="1"/>
  <c r="AM802" i="1"/>
  <c r="Q802" i="1"/>
  <c r="R802" i="1" s="1"/>
  <c r="S802" i="1" s="1"/>
  <c r="T802" i="1" s="1"/>
  <c r="AX801" i="1"/>
  <c r="AN801" i="1"/>
  <c r="AP801" i="1" s="1"/>
  <c r="AQ801" i="1" s="1"/>
  <c r="AR801" i="1" s="1"/>
  <c r="AM801" i="1"/>
  <c r="S801" i="1"/>
  <c r="T801" i="1" s="1"/>
  <c r="Q801" i="1"/>
  <c r="R801" i="1" s="1"/>
  <c r="AX800" i="1"/>
  <c r="AN800" i="1"/>
  <c r="AM800" i="1"/>
  <c r="AP800" i="1" s="1"/>
  <c r="AQ800" i="1" s="1"/>
  <c r="AR800" i="1" s="1"/>
  <c r="Q800" i="1"/>
  <c r="R800" i="1" s="1"/>
  <c r="S800" i="1" s="1"/>
  <c r="T800" i="1" s="1"/>
  <c r="AX799" i="1"/>
  <c r="AN799" i="1"/>
  <c r="AM799" i="1"/>
  <c r="T799" i="1"/>
  <c r="Q799" i="1"/>
  <c r="R799" i="1" s="1"/>
  <c r="S799" i="1" s="1"/>
  <c r="AX798" i="1"/>
  <c r="AN798" i="1"/>
  <c r="AM798" i="1"/>
  <c r="Q798" i="1"/>
  <c r="R798" i="1" s="1"/>
  <c r="S798" i="1" s="1"/>
  <c r="AW795" i="1"/>
  <c r="AU795" i="1"/>
  <c r="AT795" i="1"/>
  <c r="AS795" i="1"/>
  <c r="AO795" i="1"/>
  <c r="AO848" i="1" s="1"/>
  <c r="AO1404" i="1" s="1"/>
  <c r="AB795" i="1"/>
  <c r="AA795" i="1"/>
  <c r="Z795" i="1"/>
  <c r="Y795" i="1"/>
  <c r="X795" i="1"/>
  <c r="V795" i="1"/>
  <c r="U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AN794" i="1"/>
  <c r="W794" i="1"/>
  <c r="AK794" i="1" s="1"/>
  <c r="AK795" i="1" s="1"/>
  <c r="AX793" i="1"/>
  <c r="AN793" i="1"/>
  <c r="AM793" i="1"/>
  <c r="Q793" i="1"/>
  <c r="R793" i="1" s="1"/>
  <c r="S793" i="1" s="1"/>
  <c r="T793" i="1" s="1"/>
  <c r="AX792" i="1"/>
  <c r="AN792" i="1"/>
  <c r="AP792" i="1" s="1"/>
  <c r="AQ792" i="1" s="1"/>
  <c r="AR792" i="1" s="1"/>
  <c r="AM792" i="1"/>
  <c r="Q792" i="1"/>
  <c r="R792" i="1" s="1"/>
  <c r="S792" i="1" s="1"/>
  <c r="T792" i="1" s="1"/>
  <c r="AX791" i="1"/>
  <c r="AN791" i="1"/>
  <c r="AP791" i="1" s="1"/>
  <c r="AQ791" i="1" s="1"/>
  <c r="AR791" i="1" s="1"/>
  <c r="AM791" i="1"/>
  <c r="Q791" i="1"/>
  <c r="R791" i="1" s="1"/>
  <c r="S791" i="1" s="1"/>
  <c r="T791" i="1" s="1"/>
  <c r="AX790" i="1"/>
  <c r="AN790" i="1"/>
  <c r="AM790" i="1"/>
  <c r="Q790" i="1"/>
  <c r="R790" i="1" s="1"/>
  <c r="S790" i="1" s="1"/>
  <c r="T790" i="1" s="1"/>
  <c r="AX789" i="1"/>
  <c r="AN789" i="1"/>
  <c r="AM789" i="1"/>
  <c r="Q789" i="1"/>
  <c r="R789" i="1" s="1"/>
  <c r="S789" i="1" s="1"/>
  <c r="T789" i="1" s="1"/>
  <c r="AX788" i="1"/>
  <c r="AN788" i="1"/>
  <c r="AM788" i="1"/>
  <c r="Q788" i="1"/>
  <c r="R788" i="1" s="1"/>
  <c r="S788" i="1" s="1"/>
  <c r="T788" i="1" s="1"/>
  <c r="AX787" i="1"/>
  <c r="AN787" i="1"/>
  <c r="AM787" i="1"/>
  <c r="Q787" i="1"/>
  <c r="R787" i="1" s="1"/>
  <c r="S787" i="1" s="1"/>
  <c r="T787" i="1" s="1"/>
  <c r="AX786" i="1"/>
  <c r="AN786" i="1"/>
  <c r="AM786" i="1"/>
  <c r="R786" i="1"/>
  <c r="S786" i="1" s="1"/>
  <c r="T786" i="1" s="1"/>
  <c r="Q786" i="1"/>
  <c r="AX785" i="1"/>
  <c r="AN785" i="1"/>
  <c r="AM785" i="1"/>
  <c r="AP785" i="1" s="1"/>
  <c r="AQ785" i="1" s="1"/>
  <c r="AR785" i="1" s="1"/>
  <c r="Q785" i="1"/>
  <c r="R785" i="1" s="1"/>
  <c r="S785" i="1" s="1"/>
  <c r="T785" i="1" s="1"/>
  <c r="AX784" i="1"/>
  <c r="AN784" i="1"/>
  <c r="AM784" i="1"/>
  <c r="Q784" i="1"/>
  <c r="R784" i="1" s="1"/>
  <c r="S784" i="1" s="1"/>
  <c r="AW781" i="1"/>
  <c r="AU781" i="1"/>
  <c r="Y781" i="1"/>
  <c r="X781" i="1"/>
  <c r="U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AX780" i="1"/>
  <c r="AN780" i="1"/>
  <c r="AM780" i="1"/>
  <c r="S780" i="1"/>
  <c r="T780" i="1" s="1"/>
  <c r="Q780" i="1"/>
  <c r="R780" i="1" s="1"/>
  <c r="AN779" i="1"/>
  <c r="W779" i="1"/>
  <c r="AK779" i="1" s="1"/>
  <c r="AK781" i="1" s="1"/>
  <c r="AX778" i="1"/>
  <c r="AN778" i="1"/>
  <c r="AM778" i="1"/>
  <c r="S778" i="1"/>
  <c r="T778" i="1" s="1"/>
  <c r="Q778" i="1"/>
  <c r="R778" i="1" s="1"/>
  <c r="AX777" i="1"/>
  <c r="AN777" i="1"/>
  <c r="AM777" i="1"/>
  <c r="Q777" i="1"/>
  <c r="R777" i="1" s="1"/>
  <c r="S777" i="1" s="1"/>
  <c r="T777" i="1" s="1"/>
  <c r="AX776" i="1"/>
  <c r="AN776" i="1"/>
  <c r="AM776" i="1"/>
  <c r="R776" i="1"/>
  <c r="S776" i="1" s="1"/>
  <c r="T776" i="1" s="1"/>
  <c r="Q776" i="1"/>
  <c r="AX775" i="1"/>
  <c r="AN775" i="1"/>
  <c r="AM775" i="1"/>
  <c r="AP775" i="1" s="1"/>
  <c r="AQ775" i="1" s="1"/>
  <c r="AR775" i="1" s="1"/>
  <c r="Q775" i="1"/>
  <c r="R775" i="1" s="1"/>
  <c r="S775" i="1" s="1"/>
  <c r="T775" i="1" s="1"/>
  <c r="AX774" i="1"/>
  <c r="AN774" i="1"/>
  <c r="AM774" i="1"/>
  <c r="Q774" i="1"/>
  <c r="R774" i="1" s="1"/>
  <c r="S774" i="1" s="1"/>
  <c r="T774" i="1" s="1"/>
  <c r="AX773" i="1"/>
  <c r="AN773" i="1"/>
  <c r="AM773" i="1"/>
  <c r="AP773" i="1" s="1"/>
  <c r="AQ773" i="1" s="1"/>
  <c r="AR773" i="1" s="1"/>
  <c r="Q773" i="1"/>
  <c r="R773" i="1" s="1"/>
  <c r="S773" i="1" s="1"/>
  <c r="T773" i="1" s="1"/>
  <c r="AX772" i="1"/>
  <c r="AN772" i="1"/>
  <c r="AM772" i="1"/>
  <c r="AP772" i="1" s="1"/>
  <c r="AQ772" i="1" s="1"/>
  <c r="AR772" i="1" s="1"/>
  <c r="Q772" i="1"/>
  <c r="R772" i="1" s="1"/>
  <c r="S772" i="1" s="1"/>
  <c r="T772" i="1" s="1"/>
  <c r="AX771" i="1"/>
  <c r="AN771" i="1"/>
  <c r="AM771" i="1"/>
  <c r="Q771" i="1"/>
  <c r="R771" i="1" s="1"/>
  <c r="S771" i="1" s="1"/>
  <c r="T771" i="1" s="1"/>
  <c r="AX770" i="1"/>
  <c r="AN770" i="1"/>
  <c r="AM770" i="1"/>
  <c r="Q770" i="1"/>
  <c r="R770" i="1" s="1"/>
  <c r="S770" i="1" s="1"/>
  <c r="T770" i="1" s="1"/>
  <c r="AX769" i="1"/>
  <c r="AN769" i="1"/>
  <c r="AM769" i="1"/>
  <c r="Q769" i="1"/>
  <c r="AU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AN765" i="1"/>
  <c r="AL765" i="1"/>
  <c r="AG765" i="1"/>
  <c r="AC765" i="1"/>
  <c r="W765" i="1"/>
  <c r="AI765" i="1" s="1"/>
  <c r="AX764" i="1"/>
  <c r="AN764" i="1"/>
  <c r="AM764" i="1"/>
  <c r="AP764" i="1" s="1"/>
  <c r="AQ764" i="1" s="1"/>
  <c r="AR764" i="1" s="1"/>
  <c r="Q764" i="1"/>
  <c r="R764" i="1" s="1"/>
  <c r="S764" i="1" s="1"/>
  <c r="T764" i="1" s="1"/>
  <c r="AN763" i="1"/>
  <c r="AK763" i="1"/>
  <c r="AK766" i="1" s="1"/>
  <c r="W763" i="1"/>
  <c r="AX762" i="1"/>
  <c r="AN762" i="1"/>
  <c r="AM762" i="1"/>
  <c r="Q762" i="1"/>
  <c r="R762" i="1" s="1"/>
  <c r="S762" i="1" s="1"/>
  <c r="T762" i="1" s="1"/>
  <c r="AX761" i="1"/>
  <c r="AP761" i="1"/>
  <c r="AQ761" i="1" s="1"/>
  <c r="AR761" i="1" s="1"/>
  <c r="AN761" i="1"/>
  <c r="AM761" i="1"/>
  <c r="Q761" i="1"/>
  <c r="R761" i="1" s="1"/>
  <c r="S761" i="1" s="1"/>
  <c r="T761" i="1" s="1"/>
  <c r="AX760" i="1"/>
  <c r="AN760" i="1"/>
  <c r="AM760" i="1"/>
  <c r="Q760" i="1"/>
  <c r="R760" i="1" s="1"/>
  <c r="S760" i="1" s="1"/>
  <c r="T760" i="1" s="1"/>
  <c r="AX759" i="1"/>
  <c r="AN759" i="1"/>
  <c r="AP759" i="1" s="1"/>
  <c r="AQ759" i="1" s="1"/>
  <c r="AR759" i="1" s="1"/>
  <c r="AM759" i="1"/>
  <c r="Q759" i="1"/>
  <c r="R759" i="1" s="1"/>
  <c r="S759" i="1" s="1"/>
  <c r="T759" i="1" s="1"/>
  <c r="AX758" i="1"/>
  <c r="AN758" i="1"/>
  <c r="AM758" i="1"/>
  <c r="Q758" i="1"/>
  <c r="R758" i="1" s="1"/>
  <c r="S758" i="1" s="1"/>
  <c r="T758" i="1" s="1"/>
  <c r="AX757" i="1"/>
  <c r="AN757" i="1"/>
  <c r="AM757" i="1"/>
  <c r="R757" i="1"/>
  <c r="S757" i="1" s="1"/>
  <c r="T757" i="1" s="1"/>
  <c r="Q757" i="1"/>
  <c r="AU754" i="1"/>
  <c r="AT754" i="1"/>
  <c r="AS754" i="1"/>
  <c r="AB754" i="1"/>
  <c r="AA754" i="1"/>
  <c r="Z754" i="1"/>
  <c r="Y754" i="1"/>
  <c r="X754" i="1"/>
  <c r="V754" i="1"/>
  <c r="U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AN753" i="1"/>
  <c r="W753" i="1"/>
  <c r="AC753" i="1" s="1"/>
  <c r="AX752" i="1"/>
  <c r="AP752" i="1"/>
  <c r="AQ752" i="1" s="1"/>
  <c r="AR752" i="1" s="1"/>
  <c r="AN752" i="1"/>
  <c r="AM752" i="1"/>
  <c r="Q752" i="1"/>
  <c r="R752" i="1" s="1"/>
  <c r="S752" i="1" s="1"/>
  <c r="T752" i="1" s="1"/>
  <c r="AN751" i="1"/>
  <c r="W751" i="1"/>
  <c r="AG751" i="1" s="1"/>
  <c r="AX750" i="1"/>
  <c r="AN750" i="1"/>
  <c r="AM750" i="1"/>
  <c r="Q750" i="1"/>
  <c r="R750" i="1" s="1"/>
  <c r="S750" i="1" s="1"/>
  <c r="T750" i="1" s="1"/>
  <c r="AX749" i="1"/>
  <c r="AN749" i="1"/>
  <c r="AM749" i="1"/>
  <c r="R749" i="1"/>
  <c r="S749" i="1" s="1"/>
  <c r="T749" i="1" s="1"/>
  <c r="Q749" i="1"/>
  <c r="AX748" i="1"/>
  <c r="AN748" i="1"/>
  <c r="AM748" i="1"/>
  <c r="AP748" i="1" s="1"/>
  <c r="AQ748" i="1" s="1"/>
  <c r="AR748" i="1" s="1"/>
  <c r="Q748" i="1"/>
  <c r="R748" i="1" s="1"/>
  <c r="S748" i="1" s="1"/>
  <c r="T748" i="1" s="1"/>
  <c r="AX746" i="1"/>
  <c r="AN746" i="1"/>
  <c r="AM746" i="1"/>
  <c r="AP746" i="1" s="1"/>
  <c r="AQ746" i="1" s="1"/>
  <c r="AR746" i="1" s="1"/>
  <c r="Q746" i="1"/>
  <c r="R746" i="1" s="1"/>
  <c r="S746" i="1" s="1"/>
  <c r="T746" i="1" s="1"/>
  <c r="AX745" i="1"/>
  <c r="AN745" i="1"/>
  <c r="AM745" i="1"/>
  <c r="Q745" i="1"/>
  <c r="R745" i="1" s="1"/>
  <c r="S745" i="1" s="1"/>
  <c r="T745" i="1" s="1"/>
  <c r="AX744" i="1"/>
  <c r="AN744" i="1"/>
  <c r="AM744" i="1"/>
  <c r="R744" i="1"/>
  <c r="S744" i="1" s="1"/>
  <c r="T744" i="1" s="1"/>
  <c r="Q744" i="1"/>
  <c r="AX743" i="1"/>
  <c r="AN743" i="1"/>
  <c r="AM743" i="1"/>
  <c r="AP743" i="1" s="1"/>
  <c r="AQ743" i="1" s="1"/>
  <c r="AR743" i="1" s="1"/>
  <c r="Q743" i="1"/>
  <c r="R743" i="1" s="1"/>
  <c r="S743" i="1" s="1"/>
  <c r="T743" i="1" s="1"/>
  <c r="AX742" i="1"/>
  <c r="AN742" i="1"/>
  <c r="AM742" i="1"/>
  <c r="Q742" i="1"/>
  <c r="R742" i="1" s="1"/>
  <c r="S742" i="1" s="1"/>
  <c r="T742" i="1" s="1"/>
  <c r="AX741" i="1"/>
  <c r="AN741" i="1"/>
  <c r="AM741" i="1"/>
  <c r="AP741" i="1" s="1"/>
  <c r="AQ741" i="1" s="1"/>
  <c r="AR741" i="1" s="1"/>
  <c r="Q741" i="1"/>
  <c r="R741" i="1" s="1"/>
  <c r="S741" i="1" s="1"/>
  <c r="T741" i="1" s="1"/>
  <c r="AX740" i="1"/>
  <c r="AN740" i="1"/>
  <c r="AM740" i="1"/>
  <c r="AP740" i="1" s="1"/>
  <c r="AQ740" i="1" s="1"/>
  <c r="AR740" i="1" s="1"/>
  <c r="Q740" i="1"/>
  <c r="R740" i="1" s="1"/>
  <c r="S740" i="1" s="1"/>
  <c r="T740" i="1" s="1"/>
  <c r="AX739" i="1"/>
  <c r="AN739" i="1"/>
  <c r="AM739" i="1"/>
  <c r="Q739" i="1"/>
  <c r="R739" i="1" s="1"/>
  <c r="AU736" i="1"/>
  <c r="AT736" i="1"/>
  <c r="AS736" i="1"/>
  <c r="AB736" i="1"/>
  <c r="AA736" i="1"/>
  <c r="AA848" i="1" s="1"/>
  <c r="Z736" i="1"/>
  <c r="Y736" i="1"/>
  <c r="X736" i="1"/>
  <c r="V736" i="1"/>
  <c r="U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AN735" i="1"/>
  <c r="AL735" i="1"/>
  <c r="W735" i="1"/>
  <c r="AX734" i="1"/>
  <c r="AN734" i="1"/>
  <c r="AM734" i="1"/>
  <c r="Q734" i="1"/>
  <c r="R734" i="1" s="1"/>
  <c r="S734" i="1" s="1"/>
  <c r="T734" i="1" s="1"/>
  <c r="AN733" i="1"/>
  <c r="AL733" i="1"/>
  <c r="W733" i="1"/>
  <c r="AX732" i="1"/>
  <c r="AN732" i="1"/>
  <c r="AM732" i="1"/>
  <c r="Q732" i="1"/>
  <c r="R732" i="1" s="1"/>
  <c r="S732" i="1" s="1"/>
  <c r="T732" i="1" s="1"/>
  <c r="AX731" i="1"/>
  <c r="AN731" i="1"/>
  <c r="AM731" i="1"/>
  <c r="Q731" i="1"/>
  <c r="R731" i="1" s="1"/>
  <c r="S731" i="1" s="1"/>
  <c r="T731" i="1" s="1"/>
  <c r="AX730" i="1"/>
  <c r="AN730" i="1"/>
  <c r="AM730" i="1"/>
  <c r="R730" i="1"/>
  <c r="S730" i="1" s="1"/>
  <c r="T730" i="1" s="1"/>
  <c r="Q730" i="1"/>
  <c r="AX729" i="1"/>
  <c r="AN729" i="1"/>
  <c r="AM729" i="1"/>
  <c r="AP729" i="1" s="1"/>
  <c r="AQ729" i="1" s="1"/>
  <c r="AR729" i="1" s="1"/>
  <c r="Q729" i="1"/>
  <c r="R729" i="1" s="1"/>
  <c r="S729" i="1" s="1"/>
  <c r="T729" i="1" s="1"/>
  <c r="AX728" i="1"/>
  <c r="AN728" i="1"/>
  <c r="AM728" i="1"/>
  <c r="AP728" i="1" s="1"/>
  <c r="AQ728" i="1" s="1"/>
  <c r="AR728" i="1" s="1"/>
  <c r="Q728" i="1"/>
  <c r="R728" i="1" s="1"/>
  <c r="S728" i="1" s="1"/>
  <c r="T728" i="1" s="1"/>
  <c r="AN727" i="1"/>
  <c r="W727" i="1"/>
  <c r="AK727" i="1" s="1"/>
  <c r="AX726" i="1"/>
  <c r="AN726" i="1"/>
  <c r="AM726" i="1"/>
  <c r="AP726" i="1" s="1"/>
  <c r="AQ726" i="1" s="1"/>
  <c r="AR726" i="1" s="1"/>
  <c r="Q726" i="1"/>
  <c r="R726" i="1" s="1"/>
  <c r="S726" i="1" s="1"/>
  <c r="T726" i="1" s="1"/>
  <c r="AX725" i="1"/>
  <c r="AN725" i="1"/>
  <c r="AM725" i="1"/>
  <c r="Q725" i="1"/>
  <c r="R725" i="1" s="1"/>
  <c r="S725" i="1" s="1"/>
  <c r="T725" i="1" s="1"/>
  <c r="AX724" i="1"/>
  <c r="AN724" i="1"/>
  <c r="AP724" i="1" s="1"/>
  <c r="AQ724" i="1" s="1"/>
  <c r="AR724" i="1" s="1"/>
  <c r="AM724" i="1"/>
  <c r="Q724" i="1"/>
  <c r="R724" i="1" s="1"/>
  <c r="S724" i="1" s="1"/>
  <c r="T724" i="1" s="1"/>
  <c r="AX723" i="1"/>
  <c r="AN723" i="1"/>
  <c r="AM723" i="1"/>
  <c r="Q723" i="1"/>
  <c r="R723" i="1" s="1"/>
  <c r="S723" i="1" s="1"/>
  <c r="T723" i="1" s="1"/>
  <c r="AX722" i="1"/>
  <c r="AN722" i="1"/>
  <c r="AM722" i="1"/>
  <c r="AP722" i="1" s="1"/>
  <c r="AQ722" i="1" s="1"/>
  <c r="AR722" i="1" s="1"/>
  <c r="Q722" i="1"/>
  <c r="R722" i="1" s="1"/>
  <c r="S722" i="1" s="1"/>
  <c r="T722" i="1" s="1"/>
  <c r="AX721" i="1"/>
  <c r="AN721" i="1"/>
  <c r="AM721" i="1"/>
  <c r="AP721" i="1" s="1"/>
  <c r="AQ721" i="1" s="1"/>
  <c r="AR721" i="1" s="1"/>
  <c r="Q721" i="1"/>
  <c r="R721" i="1" s="1"/>
  <c r="S721" i="1" s="1"/>
  <c r="T721" i="1" s="1"/>
  <c r="AX720" i="1"/>
  <c r="AN720" i="1"/>
  <c r="AM720" i="1"/>
  <c r="AP720" i="1" s="1"/>
  <c r="AQ720" i="1" s="1"/>
  <c r="AR720" i="1" s="1"/>
  <c r="Q720" i="1"/>
  <c r="R720" i="1" s="1"/>
  <c r="S720" i="1" s="1"/>
  <c r="T720" i="1" s="1"/>
  <c r="AX719" i="1"/>
  <c r="AN719" i="1"/>
  <c r="AM719" i="1"/>
  <c r="Q719" i="1"/>
  <c r="R719" i="1" s="1"/>
  <c r="S719" i="1" s="1"/>
  <c r="T719" i="1" s="1"/>
  <c r="AX718" i="1"/>
  <c r="AP718" i="1"/>
  <c r="AQ718" i="1" s="1"/>
  <c r="AR718" i="1" s="1"/>
  <c r="AN718" i="1"/>
  <c r="AM718" i="1"/>
  <c r="Q718" i="1"/>
  <c r="R718" i="1" s="1"/>
  <c r="S718" i="1" s="1"/>
  <c r="T718" i="1" s="1"/>
  <c r="AX717" i="1"/>
  <c r="AN717" i="1"/>
  <c r="AM717" i="1"/>
  <c r="Q717" i="1"/>
  <c r="R717" i="1" s="1"/>
  <c r="S717" i="1" s="1"/>
  <c r="T717" i="1" s="1"/>
  <c r="AX716" i="1"/>
  <c r="AN716" i="1"/>
  <c r="AP716" i="1" s="1"/>
  <c r="AQ716" i="1" s="1"/>
  <c r="AR716" i="1" s="1"/>
  <c r="AM716" i="1"/>
  <c r="Q716" i="1"/>
  <c r="R716" i="1" s="1"/>
  <c r="S716" i="1" s="1"/>
  <c r="T716" i="1" s="1"/>
  <c r="AX715" i="1"/>
  <c r="AN715" i="1"/>
  <c r="AM715" i="1"/>
  <c r="Q715" i="1"/>
  <c r="R715" i="1" s="1"/>
  <c r="S715" i="1" s="1"/>
  <c r="T715" i="1" s="1"/>
  <c r="AX714" i="1"/>
  <c r="AN714" i="1"/>
  <c r="AM714" i="1"/>
  <c r="R714" i="1"/>
  <c r="S714" i="1" s="1"/>
  <c r="T714" i="1" s="1"/>
  <c r="Q714" i="1"/>
  <c r="AU711" i="1"/>
  <c r="Y711" i="1"/>
  <c r="X711" i="1"/>
  <c r="U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AX710" i="1"/>
  <c r="AN710" i="1"/>
  <c r="AP710" i="1" s="1"/>
  <c r="AQ710" i="1" s="1"/>
  <c r="AR710" i="1" s="1"/>
  <c r="AM710" i="1"/>
  <c r="Q710" i="1"/>
  <c r="R710" i="1" s="1"/>
  <c r="S710" i="1" s="1"/>
  <c r="T710" i="1" s="1"/>
  <c r="AN709" i="1"/>
  <c r="W709" i="1"/>
  <c r="AX708" i="1"/>
  <c r="AN708" i="1"/>
  <c r="AM708" i="1"/>
  <c r="Q708" i="1"/>
  <c r="R708" i="1" s="1"/>
  <c r="S708" i="1" s="1"/>
  <c r="T708" i="1" s="1"/>
  <c r="AN707" i="1"/>
  <c r="W707" i="1"/>
  <c r="AG707" i="1" s="1"/>
  <c r="AX706" i="1"/>
  <c r="AN706" i="1"/>
  <c r="AM706" i="1"/>
  <c r="Q706" i="1"/>
  <c r="R706" i="1" s="1"/>
  <c r="S706" i="1" s="1"/>
  <c r="T706" i="1" s="1"/>
  <c r="AN705" i="1"/>
  <c r="AL705" i="1"/>
  <c r="AE705" i="1"/>
  <c r="W705" i="1"/>
  <c r="AG705" i="1" s="1"/>
  <c r="AN704" i="1"/>
  <c r="W704" i="1"/>
  <c r="AK704" i="1" s="1"/>
  <c r="AX703" i="1"/>
  <c r="AN703" i="1"/>
  <c r="AM703" i="1"/>
  <c r="AP703" i="1" s="1"/>
  <c r="AQ703" i="1" s="1"/>
  <c r="AR703" i="1" s="1"/>
  <c r="Q703" i="1"/>
  <c r="R703" i="1" s="1"/>
  <c r="S703" i="1" s="1"/>
  <c r="T703" i="1" s="1"/>
  <c r="AX702" i="1"/>
  <c r="AN702" i="1"/>
  <c r="AM702" i="1"/>
  <c r="AP702" i="1" s="1"/>
  <c r="AQ702" i="1" s="1"/>
  <c r="AR702" i="1" s="1"/>
  <c r="Q702" i="1"/>
  <c r="S702" i="1" s="1"/>
  <c r="AN701" i="1"/>
  <c r="W701" i="1"/>
  <c r="AG701" i="1" s="1"/>
  <c r="AX700" i="1"/>
  <c r="AN700" i="1"/>
  <c r="AM700" i="1"/>
  <c r="Q700" i="1"/>
  <c r="R700" i="1" s="1"/>
  <c r="S700" i="1" s="1"/>
  <c r="T700" i="1" s="1"/>
  <c r="AX699" i="1"/>
  <c r="AN699" i="1"/>
  <c r="AM699" i="1"/>
  <c r="Q699" i="1"/>
  <c r="R699" i="1" s="1"/>
  <c r="S699" i="1" s="1"/>
  <c r="T699" i="1" s="1"/>
  <c r="AX698" i="1"/>
  <c r="AN698" i="1"/>
  <c r="AM698" i="1"/>
  <c r="Q698" i="1"/>
  <c r="R698" i="1" s="1"/>
  <c r="S698" i="1" s="1"/>
  <c r="T698" i="1" s="1"/>
  <c r="AX697" i="1"/>
  <c r="AN697" i="1"/>
  <c r="AM697" i="1"/>
  <c r="R697" i="1"/>
  <c r="S697" i="1" s="1"/>
  <c r="T697" i="1" s="1"/>
  <c r="Q697" i="1"/>
  <c r="AX696" i="1"/>
  <c r="AN696" i="1"/>
  <c r="AM696" i="1"/>
  <c r="AP696" i="1" s="1"/>
  <c r="AQ696" i="1" s="1"/>
  <c r="AR696" i="1" s="1"/>
  <c r="Q696" i="1"/>
  <c r="R696" i="1" s="1"/>
  <c r="S696" i="1" s="1"/>
  <c r="T696" i="1" s="1"/>
  <c r="AN695" i="1"/>
  <c r="W695" i="1"/>
  <c r="AG695" i="1" s="1"/>
  <c r="AX694" i="1"/>
  <c r="AN694" i="1"/>
  <c r="AM694" i="1"/>
  <c r="Q694" i="1"/>
  <c r="R694" i="1" s="1"/>
  <c r="S694" i="1" s="1"/>
  <c r="T694" i="1" s="1"/>
  <c r="AX693" i="1"/>
  <c r="AN693" i="1"/>
  <c r="AM693" i="1"/>
  <c r="Q693" i="1"/>
  <c r="R693" i="1" s="1"/>
  <c r="S693" i="1" s="1"/>
  <c r="T693" i="1" s="1"/>
  <c r="AX692" i="1"/>
  <c r="AN692" i="1"/>
  <c r="AM692" i="1"/>
  <c r="Q692" i="1"/>
  <c r="R692" i="1" s="1"/>
  <c r="S692" i="1" s="1"/>
  <c r="T692" i="1" s="1"/>
  <c r="AX691" i="1"/>
  <c r="AN691" i="1"/>
  <c r="AM691" i="1"/>
  <c r="R691" i="1"/>
  <c r="S691" i="1" s="1"/>
  <c r="T691" i="1" s="1"/>
  <c r="Q691" i="1"/>
  <c r="AX690" i="1"/>
  <c r="AN690" i="1"/>
  <c r="AM690" i="1"/>
  <c r="AP690" i="1" s="1"/>
  <c r="AQ690" i="1" s="1"/>
  <c r="AR690" i="1" s="1"/>
  <c r="Q690" i="1"/>
  <c r="R690" i="1" s="1"/>
  <c r="S690" i="1" s="1"/>
  <c r="T690" i="1" s="1"/>
  <c r="AX689" i="1"/>
  <c r="AN689" i="1"/>
  <c r="AM689" i="1"/>
  <c r="Q689" i="1"/>
  <c r="R689" i="1" s="1"/>
  <c r="S689" i="1" s="1"/>
  <c r="T689" i="1" s="1"/>
  <c r="AX688" i="1"/>
  <c r="AN688" i="1"/>
  <c r="AM688" i="1"/>
  <c r="Q688" i="1"/>
  <c r="R688" i="1" s="1"/>
  <c r="S688" i="1" s="1"/>
  <c r="T688" i="1" s="1"/>
  <c r="AX687" i="1"/>
  <c r="AN687" i="1"/>
  <c r="AM687" i="1"/>
  <c r="Q687" i="1"/>
  <c r="R687" i="1" s="1"/>
  <c r="S687" i="1" s="1"/>
  <c r="T687" i="1" s="1"/>
  <c r="AX686" i="1"/>
  <c r="AN686" i="1"/>
  <c r="AM686" i="1"/>
  <c r="Q686" i="1"/>
  <c r="R686" i="1" s="1"/>
  <c r="S686" i="1" s="1"/>
  <c r="T686" i="1" s="1"/>
  <c r="AX685" i="1"/>
  <c r="AN685" i="1"/>
  <c r="AP685" i="1" s="1"/>
  <c r="AQ685" i="1" s="1"/>
  <c r="AR685" i="1" s="1"/>
  <c r="AM685" i="1"/>
  <c r="R685" i="1"/>
  <c r="S685" i="1" s="1"/>
  <c r="T685" i="1" s="1"/>
  <c r="Q685" i="1"/>
  <c r="AX684" i="1"/>
  <c r="AN684" i="1"/>
  <c r="AM684" i="1"/>
  <c r="AP684" i="1" s="1"/>
  <c r="AQ684" i="1" s="1"/>
  <c r="AR684" i="1" s="1"/>
  <c r="Q684" i="1"/>
  <c r="R684" i="1" s="1"/>
  <c r="S684" i="1" s="1"/>
  <c r="T684" i="1" s="1"/>
  <c r="AN683" i="1"/>
  <c r="AE683" i="1"/>
  <c r="W683" i="1"/>
  <c r="AL683" i="1" s="1"/>
  <c r="AX682" i="1"/>
  <c r="AQ682" i="1"/>
  <c r="AR682" i="1" s="1"/>
  <c r="AN682" i="1"/>
  <c r="AM682" i="1"/>
  <c r="AP682" i="1" s="1"/>
  <c r="Q682" i="1"/>
  <c r="R682" i="1" s="1"/>
  <c r="S682" i="1" s="1"/>
  <c r="T682" i="1" s="1"/>
  <c r="AN681" i="1"/>
  <c r="AK681" i="1"/>
  <c r="AI681" i="1"/>
  <c r="AE681" i="1"/>
  <c r="AD681" i="1"/>
  <c r="AC681" i="1"/>
  <c r="W681" i="1"/>
  <c r="AJ681" i="1" s="1"/>
  <c r="AX680" i="1"/>
  <c r="AN680" i="1"/>
  <c r="AM680" i="1"/>
  <c r="Q680" i="1"/>
  <c r="R680" i="1" s="1"/>
  <c r="S680" i="1" s="1"/>
  <c r="T680" i="1" s="1"/>
  <c r="AX679" i="1"/>
  <c r="AN679" i="1"/>
  <c r="AM679" i="1"/>
  <c r="Q679" i="1"/>
  <c r="R679" i="1" s="1"/>
  <c r="S679" i="1" s="1"/>
  <c r="T679" i="1" s="1"/>
  <c r="AX678" i="1"/>
  <c r="AN678" i="1"/>
  <c r="AM678" i="1"/>
  <c r="AP678" i="1" s="1"/>
  <c r="AQ678" i="1" s="1"/>
  <c r="AR678" i="1" s="1"/>
  <c r="Q678" i="1"/>
  <c r="R678" i="1" s="1"/>
  <c r="S678" i="1" s="1"/>
  <c r="T678" i="1" s="1"/>
  <c r="AN677" i="1"/>
  <c r="AK677" i="1"/>
  <c r="AI677" i="1"/>
  <c r="AE677" i="1"/>
  <c r="AD677" i="1"/>
  <c r="AC677" i="1"/>
  <c r="W677" i="1"/>
  <c r="AH677" i="1" s="1"/>
  <c r="AX676" i="1"/>
  <c r="AN676" i="1"/>
  <c r="AM676" i="1"/>
  <c r="AP676" i="1" s="1"/>
  <c r="AQ676" i="1" s="1"/>
  <c r="AR676" i="1" s="1"/>
  <c r="Q676" i="1"/>
  <c r="R676" i="1" s="1"/>
  <c r="S676" i="1" s="1"/>
  <c r="T676" i="1" s="1"/>
  <c r="AX675" i="1"/>
  <c r="AN675" i="1"/>
  <c r="AM675" i="1"/>
  <c r="Q675" i="1"/>
  <c r="R675" i="1" s="1"/>
  <c r="S675" i="1" s="1"/>
  <c r="T675" i="1" s="1"/>
  <c r="AX674" i="1"/>
  <c r="AN674" i="1"/>
  <c r="AM674" i="1"/>
  <c r="Q674" i="1"/>
  <c r="R674" i="1" s="1"/>
  <c r="S674" i="1" s="1"/>
  <c r="T674" i="1" s="1"/>
  <c r="AX673" i="1"/>
  <c r="AN673" i="1"/>
  <c r="AM673" i="1"/>
  <c r="Q673" i="1"/>
  <c r="R673" i="1" s="1"/>
  <c r="S673" i="1" s="1"/>
  <c r="T673" i="1" s="1"/>
  <c r="AX672" i="1"/>
  <c r="AN672" i="1"/>
  <c r="AM672" i="1"/>
  <c r="Q672" i="1"/>
  <c r="R672" i="1" s="1"/>
  <c r="S672" i="1" s="1"/>
  <c r="T672" i="1" s="1"/>
  <c r="AX671" i="1"/>
  <c r="AN671" i="1"/>
  <c r="AP671" i="1" s="1"/>
  <c r="AQ671" i="1" s="1"/>
  <c r="AR671" i="1" s="1"/>
  <c r="AM671" i="1"/>
  <c r="R671" i="1"/>
  <c r="S671" i="1" s="1"/>
  <c r="T671" i="1" s="1"/>
  <c r="Q671" i="1"/>
  <c r="AX670" i="1"/>
  <c r="AN670" i="1"/>
  <c r="AM670" i="1"/>
  <c r="AP670" i="1" s="1"/>
  <c r="AQ670" i="1" s="1"/>
  <c r="AR670" i="1" s="1"/>
  <c r="Q670" i="1"/>
  <c r="AX669" i="1"/>
  <c r="AN669" i="1"/>
  <c r="AM669" i="1"/>
  <c r="Q669" i="1"/>
  <c r="R669" i="1" s="1"/>
  <c r="S669" i="1" s="1"/>
  <c r="AW666" i="1"/>
  <c r="AU666" i="1"/>
  <c r="Y666" i="1"/>
  <c r="X666" i="1"/>
  <c r="U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AX665" i="1"/>
  <c r="AN665" i="1"/>
  <c r="AM665" i="1"/>
  <c r="AP665" i="1" s="1"/>
  <c r="AQ665" i="1" s="1"/>
  <c r="AR665" i="1" s="1"/>
  <c r="Q665" i="1"/>
  <c r="R665" i="1" s="1"/>
  <c r="S665" i="1" s="1"/>
  <c r="T665" i="1" s="1"/>
  <c r="AX664" i="1"/>
  <c r="AN664" i="1"/>
  <c r="AM664" i="1"/>
  <c r="Q664" i="1"/>
  <c r="R664" i="1" s="1"/>
  <c r="S664" i="1" s="1"/>
  <c r="T664" i="1" s="1"/>
  <c r="AX663" i="1"/>
  <c r="AN663" i="1"/>
  <c r="AM663" i="1"/>
  <c r="Q663" i="1"/>
  <c r="R663" i="1" s="1"/>
  <c r="S663" i="1" s="1"/>
  <c r="T663" i="1" s="1"/>
  <c r="AX662" i="1"/>
  <c r="AN662" i="1"/>
  <c r="AM662" i="1"/>
  <c r="Q662" i="1"/>
  <c r="R662" i="1" s="1"/>
  <c r="S662" i="1" s="1"/>
  <c r="T662" i="1" s="1"/>
  <c r="AN661" i="1"/>
  <c r="AE661" i="1"/>
  <c r="AE666" i="1" s="1"/>
  <c r="W661" i="1"/>
  <c r="W666" i="1" s="1"/>
  <c r="AX660" i="1"/>
  <c r="AN660" i="1"/>
  <c r="AM660" i="1"/>
  <c r="Q660" i="1"/>
  <c r="R660" i="1" s="1"/>
  <c r="S660" i="1" s="1"/>
  <c r="T660" i="1" s="1"/>
  <c r="AX659" i="1"/>
  <c r="AP659" i="1"/>
  <c r="AQ659" i="1" s="1"/>
  <c r="AR659" i="1" s="1"/>
  <c r="AN659" i="1"/>
  <c r="AM659" i="1"/>
  <c r="Q659" i="1"/>
  <c r="R659" i="1" s="1"/>
  <c r="S659" i="1" s="1"/>
  <c r="T659" i="1" s="1"/>
  <c r="AX658" i="1"/>
  <c r="AN658" i="1"/>
  <c r="AM658" i="1"/>
  <c r="Q658" i="1"/>
  <c r="R658" i="1" s="1"/>
  <c r="S658" i="1" s="1"/>
  <c r="T658" i="1" s="1"/>
  <c r="AX657" i="1"/>
  <c r="AN657" i="1"/>
  <c r="AP657" i="1" s="1"/>
  <c r="AQ657" i="1" s="1"/>
  <c r="AR657" i="1" s="1"/>
  <c r="AM657" i="1"/>
  <c r="Q657" i="1"/>
  <c r="R657" i="1" s="1"/>
  <c r="S657" i="1" s="1"/>
  <c r="T657" i="1" s="1"/>
  <c r="AX656" i="1"/>
  <c r="AN656" i="1"/>
  <c r="AM656" i="1"/>
  <c r="Q656" i="1"/>
  <c r="R656" i="1" s="1"/>
  <c r="S656" i="1" s="1"/>
  <c r="T656" i="1" s="1"/>
  <c r="AX655" i="1"/>
  <c r="AN655" i="1"/>
  <c r="AM655" i="1"/>
  <c r="Q655" i="1"/>
  <c r="R655" i="1" s="1"/>
  <c r="S655" i="1" s="1"/>
  <c r="T655" i="1" s="1"/>
  <c r="AX654" i="1"/>
  <c r="AN654" i="1"/>
  <c r="AM654" i="1"/>
  <c r="R654" i="1"/>
  <c r="S654" i="1" s="1"/>
  <c r="T654" i="1" s="1"/>
  <c r="Q654" i="1"/>
  <c r="AX653" i="1"/>
  <c r="AN653" i="1"/>
  <c r="AM653" i="1"/>
  <c r="AP653" i="1" s="1"/>
  <c r="AQ653" i="1" s="1"/>
  <c r="AR653" i="1" s="1"/>
  <c r="Q653" i="1"/>
  <c r="R653" i="1" s="1"/>
  <c r="S653" i="1" s="1"/>
  <c r="T653" i="1" s="1"/>
  <c r="AX652" i="1"/>
  <c r="AN652" i="1"/>
  <c r="AM652" i="1"/>
  <c r="Q652" i="1"/>
  <c r="R652" i="1" s="1"/>
  <c r="S652" i="1" s="1"/>
  <c r="T652" i="1" s="1"/>
  <c r="AX651" i="1"/>
  <c r="AP651" i="1"/>
  <c r="AQ651" i="1" s="1"/>
  <c r="AR651" i="1" s="1"/>
  <c r="AN651" i="1"/>
  <c r="AM651" i="1"/>
  <c r="Q651" i="1"/>
  <c r="R651" i="1" s="1"/>
  <c r="S651" i="1" s="1"/>
  <c r="T651" i="1" s="1"/>
  <c r="AX650" i="1"/>
  <c r="AN650" i="1"/>
  <c r="AM650" i="1"/>
  <c r="Q650" i="1"/>
  <c r="R650" i="1" s="1"/>
  <c r="S650" i="1" s="1"/>
  <c r="T650" i="1" s="1"/>
  <c r="AX649" i="1"/>
  <c r="AN649" i="1"/>
  <c r="AP649" i="1" s="1"/>
  <c r="AQ649" i="1" s="1"/>
  <c r="AR649" i="1" s="1"/>
  <c r="AM649" i="1"/>
  <c r="Q649" i="1"/>
  <c r="R649" i="1" s="1"/>
  <c r="S649" i="1" s="1"/>
  <c r="T649" i="1" s="1"/>
  <c r="AX648" i="1"/>
  <c r="AN648" i="1"/>
  <c r="AM648" i="1"/>
  <c r="Q648" i="1"/>
  <c r="R648" i="1" s="1"/>
  <c r="S648" i="1" s="1"/>
  <c r="T648" i="1" s="1"/>
  <c r="AX647" i="1"/>
  <c r="AN647" i="1"/>
  <c r="AM647" i="1"/>
  <c r="S647" i="1"/>
  <c r="T647" i="1" s="1"/>
  <c r="Q647" i="1"/>
  <c r="R647" i="1" s="1"/>
  <c r="AX646" i="1"/>
  <c r="AN646" i="1"/>
  <c r="AM646" i="1"/>
  <c r="Q646" i="1"/>
  <c r="R646" i="1" s="1"/>
  <c r="S646" i="1" s="1"/>
  <c r="T646" i="1" s="1"/>
  <c r="AX645" i="1"/>
  <c r="AN645" i="1"/>
  <c r="AM645" i="1"/>
  <c r="AP645" i="1" s="1"/>
  <c r="AQ645" i="1" s="1"/>
  <c r="AR645" i="1" s="1"/>
  <c r="Q645" i="1"/>
  <c r="R645" i="1" s="1"/>
  <c r="S645" i="1" s="1"/>
  <c r="T645" i="1" s="1"/>
  <c r="AX644" i="1"/>
  <c r="AN644" i="1"/>
  <c r="AM644" i="1"/>
  <c r="AP644" i="1" s="1"/>
  <c r="AQ644" i="1" s="1"/>
  <c r="AR644" i="1" s="1"/>
  <c r="Q644" i="1"/>
  <c r="R644" i="1" s="1"/>
  <c r="S644" i="1" s="1"/>
  <c r="T644" i="1" s="1"/>
  <c r="AX643" i="1"/>
  <c r="AN643" i="1"/>
  <c r="AM643" i="1"/>
  <c r="Q643" i="1"/>
  <c r="R643" i="1" s="1"/>
  <c r="S643" i="1" s="1"/>
  <c r="T643" i="1" s="1"/>
  <c r="AX642" i="1"/>
  <c r="AN642" i="1"/>
  <c r="AM642" i="1"/>
  <c r="Q642" i="1"/>
  <c r="AU634" i="1"/>
  <c r="L634" i="1"/>
  <c r="AX632" i="1"/>
  <c r="AV632" i="1"/>
  <c r="P632" i="1"/>
  <c r="O632" i="1"/>
  <c r="N632" i="1"/>
  <c r="N634" i="1" s="1"/>
  <c r="M632" i="1"/>
  <c r="M634" i="1" s="1"/>
  <c r="L632" i="1"/>
  <c r="K632" i="1"/>
  <c r="J632" i="1"/>
  <c r="I632" i="1"/>
  <c r="H632" i="1"/>
  <c r="G632" i="1"/>
  <c r="F632" i="1"/>
  <c r="E632" i="1"/>
  <c r="D632" i="1"/>
  <c r="AK631" i="1"/>
  <c r="Q631" i="1"/>
  <c r="R631" i="1" s="1"/>
  <c r="S631" i="1" s="1"/>
  <c r="T631" i="1" s="1"/>
  <c r="AG631" i="1" s="1"/>
  <c r="Q630" i="1"/>
  <c r="R630" i="1" s="1"/>
  <c r="S630" i="1" s="1"/>
  <c r="T630" i="1" s="1"/>
  <c r="AL630" i="1" s="1"/>
  <c r="S629" i="1"/>
  <c r="T629" i="1" s="1"/>
  <c r="AE629" i="1" s="1"/>
  <c r="Q629" i="1"/>
  <c r="R629" i="1" s="1"/>
  <c r="Q628" i="1"/>
  <c r="R628" i="1" s="1"/>
  <c r="S628" i="1" s="1"/>
  <c r="T628" i="1" s="1"/>
  <c r="Q627" i="1"/>
  <c r="R627" i="1" s="1"/>
  <c r="S627" i="1" s="1"/>
  <c r="T627" i="1" s="1"/>
  <c r="AK627" i="1" s="1"/>
  <c r="AL626" i="1"/>
  <c r="AH626" i="1"/>
  <c r="AD626" i="1"/>
  <c r="Q626" i="1"/>
  <c r="R626" i="1" s="1"/>
  <c r="S626" i="1" s="1"/>
  <c r="T626" i="1" s="1"/>
  <c r="Q625" i="1"/>
  <c r="R625" i="1" s="1"/>
  <c r="S625" i="1" s="1"/>
  <c r="T625" i="1" s="1"/>
  <c r="Q624" i="1"/>
  <c r="R624" i="1" s="1"/>
  <c r="S624" i="1" s="1"/>
  <c r="T624" i="1" s="1"/>
  <c r="AG623" i="1"/>
  <c r="Q623" i="1"/>
  <c r="R623" i="1" s="1"/>
  <c r="S623" i="1" s="1"/>
  <c r="T623" i="1" s="1"/>
  <c r="AC623" i="1" s="1"/>
  <c r="Q622" i="1"/>
  <c r="R622" i="1" s="1"/>
  <c r="S622" i="1" s="1"/>
  <c r="T622" i="1" s="1"/>
  <c r="Q621" i="1"/>
  <c r="R621" i="1" s="1"/>
  <c r="S621" i="1" s="1"/>
  <c r="T621" i="1" s="1"/>
  <c r="Q620" i="1"/>
  <c r="R620" i="1" s="1"/>
  <c r="S620" i="1" s="1"/>
  <c r="T620" i="1" s="1"/>
  <c r="AG619" i="1"/>
  <c r="Q619" i="1"/>
  <c r="R619" i="1" s="1"/>
  <c r="S619" i="1" s="1"/>
  <c r="T619" i="1" s="1"/>
  <c r="AK619" i="1" s="1"/>
  <c r="Q618" i="1"/>
  <c r="R618" i="1" s="1"/>
  <c r="S618" i="1" s="1"/>
  <c r="T618" i="1" s="1"/>
  <c r="Q617" i="1"/>
  <c r="R617" i="1" s="1"/>
  <c r="S617" i="1" s="1"/>
  <c r="T617" i="1" s="1"/>
  <c r="Q616" i="1"/>
  <c r="R616" i="1" s="1"/>
  <c r="S616" i="1" s="1"/>
  <c r="T616" i="1" s="1"/>
  <c r="Q615" i="1"/>
  <c r="R615" i="1" s="1"/>
  <c r="S615" i="1" s="1"/>
  <c r="T615" i="1" s="1"/>
  <c r="Q614" i="1"/>
  <c r="R614" i="1" s="1"/>
  <c r="S614" i="1" s="1"/>
  <c r="T614" i="1" s="1"/>
  <c r="Q613" i="1"/>
  <c r="R613" i="1" s="1"/>
  <c r="S613" i="1" s="1"/>
  <c r="T613" i="1" s="1"/>
  <c r="R612" i="1"/>
  <c r="S612" i="1" s="1"/>
  <c r="T612" i="1" s="1"/>
  <c r="Q612" i="1"/>
  <c r="Q611" i="1"/>
  <c r="R611" i="1" s="1"/>
  <c r="S611" i="1" s="1"/>
  <c r="T611" i="1" s="1"/>
  <c r="Q610" i="1"/>
  <c r="R610" i="1" s="1"/>
  <c r="S610" i="1" s="1"/>
  <c r="T610" i="1" s="1"/>
  <c r="Q609" i="1"/>
  <c r="R609" i="1" s="1"/>
  <c r="S609" i="1" s="1"/>
  <c r="T609" i="1" s="1"/>
  <c r="R608" i="1"/>
  <c r="S608" i="1" s="1"/>
  <c r="T608" i="1" s="1"/>
  <c r="Q608" i="1"/>
  <c r="Q607" i="1"/>
  <c r="R607" i="1" s="1"/>
  <c r="S607" i="1" s="1"/>
  <c r="T607" i="1" s="1"/>
  <c r="Q606" i="1"/>
  <c r="R606" i="1" s="1"/>
  <c r="S606" i="1" s="1"/>
  <c r="T606" i="1" s="1"/>
  <c r="Q605" i="1"/>
  <c r="R605" i="1" s="1"/>
  <c r="S605" i="1" s="1"/>
  <c r="T605" i="1" s="1"/>
  <c r="R604" i="1"/>
  <c r="S604" i="1" s="1"/>
  <c r="T604" i="1" s="1"/>
  <c r="Q604" i="1"/>
  <c r="Q603" i="1"/>
  <c r="R603" i="1" s="1"/>
  <c r="S603" i="1" s="1"/>
  <c r="T603" i="1" s="1"/>
  <c r="AX600" i="1"/>
  <c r="AV600" i="1"/>
  <c r="Y600" i="1"/>
  <c r="X600" i="1"/>
  <c r="W600" i="1"/>
  <c r="U600" i="1"/>
  <c r="P600" i="1"/>
  <c r="P634" i="1" s="1"/>
  <c r="O600" i="1"/>
  <c r="K600" i="1"/>
  <c r="J600" i="1"/>
  <c r="I600" i="1"/>
  <c r="H600" i="1"/>
  <c r="H634" i="1" s="1"/>
  <c r="G600" i="1"/>
  <c r="F600" i="1"/>
  <c r="E600" i="1"/>
  <c r="D600" i="1"/>
  <c r="D634" i="1" s="1"/>
  <c r="Q599" i="1"/>
  <c r="R599" i="1" s="1"/>
  <c r="S599" i="1" s="1"/>
  <c r="T599" i="1" s="1"/>
  <c r="Q598" i="1"/>
  <c r="R598" i="1" s="1"/>
  <c r="S598" i="1" s="1"/>
  <c r="T598" i="1" s="1"/>
  <c r="Q597" i="1"/>
  <c r="R597" i="1" s="1"/>
  <c r="S597" i="1" s="1"/>
  <c r="T597" i="1" s="1"/>
  <c r="Q596" i="1"/>
  <c r="R596" i="1" s="1"/>
  <c r="S596" i="1" s="1"/>
  <c r="T596" i="1" s="1"/>
  <c r="Q595" i="1"/>
  <c r="R595" i="1" s="1"/>
  <c r="S595" i="1" s="1"/>
  <c r="T595" i="1" s="1"/>
  <c r="Q594" i="1"/>
  <c r="R594" i="1" s="1"/>
  <c r="S594" i="1" s="1"/>
  <c r="T594" i="1" s="1"/>
  <c r="Q593" i="1"/>
  <c r="R593" i="1" s="1"/>
  <c r="S593" i="1" s="1"/>
  <c r="T593" i="1" s="1"/>
  <c r="Q592" i="1"/>
  <c r="R592" i="1" s="1"/>
  <c r="S592" i="1" s="1"/>
  <c r="T592" i="1" s="1"/>
  <c r="Q591" i="1"/>
  <c r="R591" i="1" s="1"/>
  <c r="S591" i="1" s="1"/>
  <c r="T591" i="1" s="1"/>
  <c r="Q590" i="1"/>
  <c r="R590" i="1" s="1"/>
  <c r="S590" i="1" s="1"/>
  <c r="T590" i="1" s="1"/>
  <c r="Q589" i="1"/>
  <c r="R589" i="1" s="1"/>
  <c r="S589" i="1" s="1"/>
  <c r="T589" i="1" s="1"/>
  <c r="R588" i="1"/>
  <c r="S588" i="1" s="1"/>
  <c r="T588" i="1" s="1"/>
  <c r="Q588" i="1"/>
  <c r="Q587" i="1"/>
  <c r="R587" i="1" s="1"/>
  <c r="AX580" i="1"/>
  <c r="AW580" i="1"/>
  <c r="AV580" i="1"/>
  <c r="AU580" i="1"/>
  <c r="AU582" i="1" s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Q579" i="1"/>
  <c r="R579" i="1" s="1"/>
  <c r="S579" i="1" s="1"/>
  <c r="T579" i="1" s="1"/>
  <c r="Q578" i="1"/>
  <c r="R578" i="1" s="1"/>
  <c r="S578" i="1" s="1"/>
  <c r="T578" i="1" s="1"/>
  <c r="Q577" i="1"/>
  <c r="R577" i="1" s="1"/>
  <c r="S577" i="1" s="1"/>
  <c r="T577" i="1" s="1"/>
  <c r="Q576" i="1"/>
  <c r="R576" i="1" s="1"/>
  <c r="S576" i="1" s="1"/>
  <c r="T576" i="1" s="1"/>
  <c r="Q575" i="1"/>
  <c r="R575" i="1" s="1"/>
  <c r="S575" i="1" s="1"/>
  <c r="T575" i="1" s="1"/>
  <c r="Q574" i="1"/>
  <c r="R574" i="1" s="1"/>
  <c r="S574" i="1" s="1"/>
  <c r="T574" i="1" s="1"/>
  <c r="Q573" i="1"/>
  <c r="R573" i="1" s="1"/>
  <c r="S573" i="1" s="1"/>
  <c r="T573" i="1" s="1"/>
  <c r="Q572" i="1"/>
  <c r="R572" i="1" s="1"/>
  <c r="S572" i="1" s="1"/>
  <c r="T572" i="1" s="1"/>
  <c r="Q571" i="1"/>
  <c r="AX568" i="1"/>
  <c r="AV568" i="1"/>
  <c r="Y568" i="1"/>
  <c r="X568" i="1"/>
  <c r="W568" i="1"/>
  <c r="U568" i="1"/>
  <c r="P568" i="1"/>
  <c r="O568" i="1"/>
  <c r="O582" i="1" s="1"/>
  <c r="N568" i="1"/>
  <c r="N582" i="1" s="1"/>
  <c r="M568" i="1"/>
  <c r="M582" i="1" s="1"/>
  <c r="L568" i="1"/>
  <c r="K568" i="1"/>
  <c r="K582" i="1" s="1"/>
  <c r="J568" i="1"/>
  <c r="I568" i="1"/>
  <c r="I582" i="1" s="1"/>
  <c r="H568" i="1"/>
  <c r="G568" i="1"/>
  <c r="G582" i="1" s="1"/>
  <c r="F568" i="1"/>
  <c r="E568" i="1"/>
  <c r="E582" i="1" s="1"/>
  <c r="D568" i="1"/>
  <c r="Q567" i="1"/>
  <c r="R567" i="1" s="1"/>
  <c r="S567" i="1" s="1"/>
  <c r="T567" i="1" s="1"/>
  <c r="Q566" i="1"/>
  <c r="R566" i="1" s="1"/>
  <c r="S566" i="1" s="1"/>
  <c r="T566" i="1" s="1"/>
  <c r="Q565" i="1"/>
  <c r="R565" i="1" s="1"/>
  <c r="S565" i="1" s="1"/>
  <c r="T565" i="1" s="1"/>
  <c r="R564" i="1"/>
  <c r="S564" i="1" s="1"/>
  <c r="T564" i="1" s="1"/>
  <c r="Q564" i="1"/>
  <c r="Q563" i="1"/>
  <c r="R563" i="1" s="1"/>
  <c r="S563" i="1" s="1"/>
  <c r="T563" i="1" s="1"/>
  <c r="Q562" i="1"/>
  <c r="R562" i="1" s="1"/>
  <c r="S562" i="1" s="1"/>
  <c r="T562" i="1" s="1"/>
  <c r="Q561" i="1"/>
  <c r="R561" i="1" s="1"/>
  <c r="S561" i="1" s="1"/>
  <c r="T561" i="1" s="1"/>
  <c r="Q560" i="1"/>
  <c r="R560" i="1" s="1"/>
  <c r="S560" i="1" s="1"/>
  <c r="T560" i="1" s="1"/>
  <c r="Q559" i="1"/>
  <c r="R559" i="1" s="1"/>
  <c r="S559" i="1" s="1"/>
  <c r="T559" i="1" s="1"/>
  <c r="Q558" i="1"/>
  <c r="R558" i="1" s="1"/>
  <c r="S558" i="1" s="1"/>
  <c r="T558" i="1" s="1"/>
  <c r="Q557" i="1"/>
  <c r="R557" i="1" s="1"/>
  <c r="AU552" i="1"/>
  <c r="AB552" i="1"/>
  <c r="AA552" i="1"/>
  <c r="Z552" i="1"/>
  <c r="V552" i="1"/>
  <c r="AX550" i="1"/>
  <c r="AV550" i="1"/>
  <c r="Y550" i="1"/>
  <c r="X550" i="1"/>
  <c r="W550" i="1"/>
  <c r="U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Q549" i="1"/>
  <c r="R549" i="1" s="1"/>
  <c r="S549" i="1" s="1"/>
  <c r="T549" i="1" s="1"/>
  <c r="AG549" i="1" s="1"/>
  <c r="R548" i="1"/>
  <c r="S548" i="1" s="1"/>
  <c r="T548" i="1" s="1"/>
  <c r="AL548" i="1" s="1"/>
  <c r="Q548" i="1"/>
  <c r="Q547" i="1"/>
  <c r="R547" i="1" s="1"/>
  <c r="S547" i="1" s="1"/>
  <c r="T547" i="1" s="1"/>
  <c r="Q546" i="1"/>
  <c r="R546" i="1" s="1"/>
  <c r="S546" i="1" s="1"/>
  <c r="T546" i="1" s="1"/>
  <c r="Q545" i="1"/>
  <c r="R545" i="1" s="1"/>
  <c r="S545" i="1" s="1"/>
  <c r="T545" i="1" s="1"/>
  <c r="Q544" i="1"/>
  <c r="R544" i="1" s="1"/>
  <c r="S544" i="1" s="1"/>
  <c r="T544" i="1" s="1"/>
  <c r="AL544" i="1" s="1"/>
  <c r="Q543" i="1"/>
  <c r="R543" i="1" s="1"/>
  <c r="S543" i="1" s="1"/>
  <c r="T543" i="1" s="1"/>
  <c r="Q542" i="1"/>
  <c r="R542" i="1" s="1"/>
  <c r="S542" i="1" s="1"/>
  <c r="T542" i="1" s="1"/>
  <c r="AK541" i="1"/>
  <c r="Q541" i="1"/>
  <c r="R541" i="1" s="1"/>
  <c r="S541" i="1" s="1"/>
  <c r="T541" i="1" s="1"/>
  <c r="AG541" i="1" s="1"/>
  <c r="Q540" i="1"/>
  <c r="R540" i="1" s="1"/>
  <c r="S540" i="1" s="1"/>
  <c r="T540" i="1" s="1"/>
  <c r="AL540" i="1" s="1"/>
  <c r="Q539" i="1"/>
  <c r="R539" i="1" s="1"/>
  <c r="S539" i="1" s="1"/>
  <c r="T539" i="1" s="1"/>
  <c r="Q538" i="1"/>
  <c r="AX535" i="1"/>
  <c r="AV535" i="1"/>
  <c r="Y535" i="1"/>
  <c r="X535" i="1"/>
  <c r="W535" i="1"/>
  <c r="U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Q534" i="1"/>
  <c r="R534" i="1" s="1"/>
  <c r="S534" i="1" s="1"/>
  <c r="T534" i="1" s="1"/>
  <c r="Q533" i="1"/>
  <c r="R533" i="1" s="1"/>
  <c r="S533" i="1" s="1"/>
  <c r="T533" i="1" s="1"/>
  <c r="AK533" i="1" s="1"/>
  <c r="Q532" i="1"/>
  <c r="R532" i="1" s="1"/>
  <c r="S532" i="1" s="1"/>
  <c r="T532" i="1" s="1"/>
  <c r="AD532" i="1" s="1"/>
  <c r="Q531" i="1"/>
  <c r="R531" i="1" s="1"/>
  <c r="S531" i="1" s="1"/>
  <c r="T531" i="1" s="1"/>
  <c r="Q530" i="1"/>
  <c r="R530" i="1" s="1"/>
  <c r="S530" i="1" s="1"/>
  <c r="T530" i="1" s="1"/>
  <c r="Q529" i="1"/>
  <c r="R529" i="1" s="1"/>
  <c r="S529" i="1" s="1"/>
  <c r="T529" i="1" s="1"/>
  <c r="AK529" i="1" s="1"/>
  <c r="Q528" i="1"/>
  <c r="R528" i="1" s="1"/>
  <c r="S528" i="1" s="1"/>
  <c r="T528" i="1" s="1"/>
  <c r="Q527" i="1"/>
  <c r="R527" i="1" s="1"/>
  <c r="S527" i="1" s="1"/>
  <c r="T527" i="1" s="1"/>
  <c r="Q526" i="1"/>
  <c r="R526" i="1" s="1"/>
  <c r="S526" i="1" s="1"/>
  <c r="T526" i="1" s="1"/>
  <c r="Q525" i="1"/>
  <c r="R525" i="1" s="1"/>
  <c r="S525" i="1" s="1"/>
  <c r="T525" i="1" s="1"/>
  <c r="Q524" i="1"/>
  <c r="R524" i="1" s="1"/>
  <c r="S524" i="1" s="1"/>
  <c r="T524" i="1" s="1"/>
  <c r="S523" i="1"/>
  <c r="T523" i="1" s="1"/>
  <c r="Q523" i="1"/>
  <c r="R523" i="1" s="1"/>
  <c r="Q522" i="1"/>
  <c r="R522" i="1" s="1"/>
  <c r="S522" i="1" s="1"/>
  <c r="T522" i="1" s="1"/>
  <c r="Q521" i="1"/>
  <c r="R521" i="1" s="1"/>
  <c r="S521" i="1" s="1"/>
  <c r="T521" i="1" s="1"/>
  <c r="Q520" i="1"/>
  <c r="R520" i="1" s="1"/>
  <c r="S520" i="1" s="1"/>
  <c r="T520" i="1" s="1"/>
  <c r="S519" i="1"/>
  <c r="T519" i="1" s="1"/>
  <c r="Q519" i="1"/>
  <c r="R519" i="1" s="1"/>
  <c r="Q518" i="1"/>
  <c r="R518" i="1" s="1"/>
  <c r="S518" i="1" s="1"/>
  <c r="T518" i="1" s="1"/>
  <c r="Q517" i="1"/>
  <c r="R517" i="1" s="1"/>
  <c r="S517" i="1" s="1"/>
  <c r="T517" i="1" s="1"/>
  <c r="Q516" i="1"/>
  <c r="R516" i="1" s="1"/>
  <c r="S516" i="1" s="1"/>
  <c r="T516" i="1" s="1"/>
  <c r="S515" i="1"/>
  <c r="T515" i="1" s="1"/>
  <c r="Q515" i="1"/>
  <c r="R515" i="1" s="1"/>
  <c r="Q514" i="1"/>
  <c r="R514" i="1" s="1"/>
  <c r="S514" i="1" s="1"/>
  <c r="T514" i="1" s="1"/>
  <c r="Q513" i="1"/>
  <c r="R513" i="1" s="1"/>
  <c r="S513" i="1" s="1"/>
  <c r="T513" i="1" s="1"/>
  <c r="Q512" i="1"/>
  <c r="R512" i="1" s="1"/>
  <c r="S512" i="1" s="1"/>
  <c r="T512" i="1" s="1"/>
  <c r="Q511" i="1"/>
  <c r="AX508" i="1"/>
  <c r="AV508" i="1"/>
  <c r="Y508" i="1"/>
  <c r="X508" i="1"/>
  <c r="W508" i="1"/>
  <c r="U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Q507" i="1"/>
  <c r="R507" i="1" s="1"/>
  <c r="S507" i="1" s="1"/>
  <c r="T507" i="1" s="1"/>
  <c r="Q506" i="1"/>
  <c r="R506" i="1" s="1"/>
  <c r="S506" i="1" s="1"/>
  <c r="T506" i="1" s="1"/>
  <c r="Q505" i="1"/>
  <c r="R505" i="1" s="1"/>
  <c r="S505" i="1" s="1"/>
  <c r="T505" i="1" s="1"/>
  <c r="Q504" i="1"/>
  <c r="R504" i="1" s="1"/>
  <c r="S504" i="1" s="1"/>
  <c r="T504" i="1" s="1"/>
  <c r="Q503" i="1"/>
  <c r="R503" i="1" s="1"/>
  <c r="S503" i="1" s="1"/>
  <c r="T503" i="1" s="1"/>
  <c r="Q502" i="1"/>
  <c r="AX499" i="1"/>
  <c r="AV499" i="1"/>
  <c r="Y499" i="1"/>
  <c r="X499" i="1"/>
  <c r="W499" i="1"/>
  <c r="U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Q498" i="1"/>
  <c r="R498" i="1" s="1"/>
  <c r="S498" i="1" s="1"/>
  <c r="T498" i="1" s="1"/>
  <c r="R497" i="1"/>
  <c r="S497" i="1" s="1"/>
  <c r="T497" i="1" s="1"/>
  <c r="Q497" i="1"/>
  <c r="Q496" i="1"/>
  <c r="R496" i="1" s="1"/>
  <c r="S496" i="1" s="1"/>
  <c r="T496" i="1" s="1"/>
  <c r="Q495" i="1"/>
  <c r="R495" i="1" s="1"/>
  <c r="S495" i="1" s="1"/>
  <c r="T495" i="1" s="1"/>
  <c r="Q494" i="1"/>
  <c r="R494" i="1" s="1"/>
  <c r="S494" i="1" s="1"/>
  <c r="T494" i="1" s="1"/>
  <c r="R493" i="1"/>
  <c r="S493" i="1" s="1"/>
  <c r="T493" i="1" s="1"/>
  <c r="Q493" i="1"/>
  <c r="Q492" i="1"/>
  <c r="R492" i="1" s="1"/>
  <c r="S492" i="1" s="1"/>
  <c r="T492" i="1" s="1"/>
  <c r="Q491" i="1"/>
  <c r="R491" i="1" s="1"/>
  <c r="S491" i="1" s="1"/>
  <c r="T491" i="1" s="1"/>
  <c r="Q490" i="1"/>
  <c r="R490" i="1" s="1"/>
  <c r="S490" i="1" s="1"/>
  <c r="T490" i="1" s="1"/>
  <c r="R489" i="1"/>
  <c r="S489" i="1" s="1"/>
  <c r="T489" i="1" s="1"/>
  <c r="Q489" i="1"/>
  <c r="Q488" i="1"/>
  <c r="Q499" i="1" s="1"/>
  <c r="AX485" i="1"/>
  <c r="AV485" i="1"/>
  <c r="Y485" i="1"/>
  <c r="X485" i="1"/>
  <c r="W485" i="1"/>
  <c r="U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Q484" i="1"/>
  <c r="R484" i="1" s="1"/>
  <c r="S484" i="1" s="1"/>
  <c r="T484" i="1" s="1"/>
  <c r="Q483" i="1"/>
  <c r="R483" i="1" s="1"/>
  <c r="S483" i="1" s="1"/>
  <c r="T483" i="1" s="1"/>
  <c r="Q482" i="1"/>
  <c r="R482" i="1" s="1"/>
  <c r="S482" i="1" s="1"/>
  <c r="T482" i="1" s="1"/>
  <c r="Q481" i="1"/>
  <c r="R481" i="1" s="1"/>
  <c r="S481" i="1" s="1"/>
  <c r="T481" i="1" s="1"/>
  <c r="R480" i="1"/>
  <c r="S480" i="1" s="1"/>
  <c r="T480" i="1" s="1"/>
  <c r="Q480" i="1"/>
  <c r="Q479" i="1"/>
  <c r="R479" i="1" s="1"/>
  <c r="S479" i="1" s="1"/>
  <c r="AX476" i="1"/>
  <c r="AV476" i="1"/>
  <c r="Y476" i="1"/>
  <c r="X476" i="1"/>
  <c r="W476" i="1"/>
  <c r="U476" i="1"/>
  <c r="P476" i="1"/>
  <c r="O476" i="1"/>
  <c r="N476" i="1"/>
  <c r="M476" i="1"/>
  <c r="M552" i="1" s="1"/>
  <c r="L476" i="1"/>
  <c r="K476" i="1"/>
  <c r="J476" i="1"/>
  <c r="I476" i="1"/>
  <c r="I552" i="1" s="1"/>
  <c r="H476" i="1"/>
  <c r="G476" i="1"/>
  <c r="F476" i="1"/>
  <c r="E476" i="1"/>
  <c r="E552" i="1" s="1"/>
  <c r="D476" i="1"/>
  <c r="Q475" i="1"/>
  <c r="R475" i="1" s="1"/>
  <c r="S475" i="1" s="1"/>
  <c r="T475" i="1" s="1"/>
  <c r="Q474" i="1"/>
  <c r="R474" i="1" s="1"/>
  <c r="S474" i="1" s="1"/>
  <c r="T474" i="1" s="1"/>
  <c r="Q473" i="1"/>
  <c r="R473" i="1" s="1"/>
  <c r="S473" i="1" s="1"/>
  <c r="T473" i="1" s="1"/>
  <c r="Q472" i="1"/>
  <c r="R472" i="1" s="1"/>
  <c r="S472" i="1" s="1"/>
  <c r="T472" i="1" s="1"/>
  <c r="Q471" i="1"/>
  <c r="R471" i="1" s="1"/>
  <c r="S471" i="1" s="1"/>
  <c r="T471" i="1" s="1"/>
  <c r="Q470" i="1"/>
  <c r="R470" i="1" s="1"/>
  <c r="S470" i="1" s="1"/>
  <c r="T470" i="1" s="1"/>
  <c r="Q469" i="1"/>
  <c r="R469" i="1" s="1"/>
  <c r="S469" i="1" s="1"/>
  <c r="T469" i="1" s="1"/>
  <c r="Q468" i="1"/>
  <c r="R468" i="1" s="1"/>
  <c r="S468" i="1" s="1"/>
  <c r="T468" i="1" s="1"/>
  <c r="R467" i="1"/>
  <c r="S467" i="1" s="1"/>
  <c r="T467" i="1" s="1"/>
  <c r="Q467" i="1"/>
  <c r="Q466" i="1"/>
  <c r="R466" i="1" s="1"/>
  <c r="S466" i="1" s="1"/>
  <c r="T466" i="1" s="1"/>
  <c r="Q465" i="1"/>
  <c r="R465" i="1" s="1"/>
  <c r="S465" i="1" s="1"/>
  <c r="T465" i="1" s="1"/>
  <c r="Q464" i="1"/>
  <c r="R464" i="1" s="1"/>
  <c r="S464" i="1" s="1"/>
  <c r="T464" i="1" s="1"/>
  <c r="Q463" i="1"/>
  <c r="R463" i="1" s="1"/>
  <c r="S463" i="1" s="1"/>
  <c r="T463" i="1" s="1"/>
  <c r="Q462" i="1"/>
  <c r="R462" i="1" s="1"/>
  <c r="S462" i="1" s="1"/>
  <c r="T462" i="1" s="1"/>
  <c r="Q461" i="1"/>
  <c r="R461" i="1" s="1"/>
  <c r="S461" i="1" s="1"/>
  <c r="K456" i="1"/>
  <c r="AX454" i="1"/>
  <c r="AW454" i="1"/>
  <c r="AV454" i="1"/>
  <c r="AU454" i="1"/>
  <c r="AU456" i="1" s="1"/>
  <c r="P454" i="1"/>
  <c r="O454" i="1"/>
  <c r="N454" i="1"/>
  <c r="N456" i="1" s="1"/>
  <c r="M454" i="1"/>
  <c r="M456" i="1" s="1"/>
  <c r="L454" i="1"/>
  <c r="L456" i="1" s="1"/>
  <c r="K454" i="1"/>
  <c r="J454" i="1"/>
  <c r="I454" i="1"/>
  <c r="H454" i="1"/>
  <c r="G454" i="1"/>
  <c r="F454" i="1"/>
  <c r="E454" i="1"/>
  <c r="D454" i="1"/>
  <c r="Q453" i="1"/>
  <c r="R453" i="1" s="1"/>
  <c r="S453" i="1" s="1"/>
  <c r="T453" i="1" s="1"/>
  <c r="AL453" i="1" s="1"/>
  <c r="Q452" i="1"/>
  <c r="R452" i="1" s="1"/>
  <c r="S452" i="1" s="1"/>
  <c r="T452" i="1" s="1"/>
  <c r="Q451" i="1"/>
  <c r="R451" i="1" s="1"/>
  <c r="S451" i="1" s="1"/>
  <c r="T451" i="1" s="1"/>
  <c r="Q450" i="1"/>
  <c r="R450" i="1" s="1"/>
  <c r="S450" i="1" s="1"/>
  <c r="T450" i="1" s="1"/>
  <c r="Q449" i="1"/>
  <c r="R449" i="1" s="1"/>
  <c r="S449" i="1" s="1"/>
  <c r="T449" i="1" s="1"/>
  <c r="AL449" i="1" s="1"/>
  <c r="Q448" i="1"/>
  <c r="R448" i="1" s="1"/>
  <c r="S448" i="1" s="1"/>
  <c r="T448" i="1" s="1"/>
  <c r="Q447" i="1"/>
  <c r="R447" i="1" s="1"/>
  <c r="S447" i="1" s="1"/>
  <c r="T447" i="1" s="1"/>
  <c r="Q446" i="1"/>
  <c r="R446" i="1" s="1"/>
  <c r="S446" i="1" s="1"/>
  <c r="T446" i="1" s="1"/>
  <c r="AG446" i="1" s="1"/>
  <c r="Q445" i="1"/>
  <c r="R445" i="1" s="1"/>
  <c r="S445" i="1" s="1"/>
  <c r="T445" i="1" s="1"/>
  <c r="AL445" i="1" s="1"/>
  <c r="Q444" i="1"/>
  <c r="R444" i="1" s="1"/>
  <c r="S444" i="1" s="1"/>
  <c r="T444" i="1" s="1"/>
  <c r="AE444" i="1" s="1"/>
  <c r="Q443" i="1"/>
  <c r="R443" i="1" s="1"/>
  <c r="S443" i="1" s="1"/>
  <c r="T443" i="1" s="1"/>
  <c r="Q442" i="1"/>
  <c r="R442" i="1" s="1"/>
  <c r="S442" i="1" s="1"/>
  <c r="T442" i="1" s="1"/>
  <c r="R441" i="1"/>
  <c r="S441" i="1" s="1"/>
  <c r="T441" i="1" s="1"/>
  <c r="AL441" i="1" s="1"/>
  <c r="Q441" i="1"/>
  <c r="Q440" i="1"/>
  <c r="R440" i="1" s="1"/>
  <c r="S440" i="1" s="1"/>
  <c r="T440" i="1" s="1"/>
  <c r="Q439" i="1"/>
  <c r="R439" i="1" s="1"/>
  <c r="S439" i="1" s="1"/>
  <c r="T439" i="1" s="1"/>
  <c r="Q438" i="1"/>
  <c r="R438" i="1" s="1"/>
  <c r="S438" i="1" s="1"/>
  <c r="T438" i="1" s="1"/>
  <c r="Q437" i="1"/>
  <c r="R437" i="1" s="1"/>
  <c r="S437" i="1" s="1"/>
  <c r="T437" i="1" s="1"/>
  <c r="AH437" i="1" s="1"/>
  <c r="Q436" i="1"/>
  <c r="R436" i="1" s="1"/>
  <c r="S436" i="1" s="1"/>
  <c r="T436" i="1" s="1"/>
  <c r="Q435" i="1"/>
  <c r="R435" i="1" s="1"/>
  <c r="S435" i="1" s="1"/>
  <c r="T435" i="1" s="1"/>
  <c r="Q434" i="1"/>
  <c r="Q433" i="1"/>
  <c r="R433" i="1" s="1"/>
  <c r="S433" i="1" s="1"/>
  <c r="AX430" i="1"/>
  <c r="AV430" i="1"/>
  <c r="Y430" i="1"/>
  <c r="X430" i="1"/>
  <c r="W430" i="1"/>
  <c r="U430" i="1"/>
  <c r="P430" i="1"/>
  <c r="O430" i="1"/>
  <c r="O456" i="1" s="1"/>
  <c r="J430" i="1"/>
  <c r="I430" i="1"/>
  <c r="I456" i="1" s="1"/>
  <c r="H430" i="1"/>
  <c r="G430" i="1"/>
  <c r="G456" i="1" s="1"/>
  <c r="F430" i="1"/>
  <c r="E430" i="1"/>
  <c r="E456" i="1" s="1"/>
  <c r="D430" i="1"/>
  <c r="Q429" i="1"/>
  <c r="R429" i="1" s="1"/>
  <c r="S429" i="1" s="1"/>
  <c r="T429" i="1" s="1"/>
  <c r="AH429" i="1" s="1"/>
  <c r="Q428" i="1"/>
  <c r="R428" i="1" s="1"/>
  <c r="S428" i="1" s="1"/>
  <c r="T428" i="1" s="1"/>
  <c r="Q427" i="1"/>
  <c r="R427" i="1" s="1"/>
  <c r="S427" i="1" s="1"/>
  <c r="T427" i="1" s="1"/>
  <c r="Q426" i="1"/>
  <c r="R426" i="1" s="1"/>
  <c r="S426" i="1" s="1"/>
  <c r="T426" i="1" s="1"/>
  <c r="Q425" i="1"/>
  <c r="R425" i="1" s="1"/>
  <c r="S425" i="1" s="1"/>
  <c r="T425" i="1" s="1"/>
  <c r="Q424" i="1"/>
  <c r="R424" i="1" s="1"/>
  <c r="S424" i="1" s="1"/>
  <c r="T424" i="1" s="1"/>
  <c r="Q423" i="1"/>
  <c r="R423" i="1" s="1"/>
  <c r="S423" i="1" s="1"/>
  <c r="T423" i="1" s="1"/>
  <c r="Q422" i="1"/>
  <c r="R422" i="1" s="1"/>
  <c r="S422" i="1" s="1"/>
  <c r="T422" i="1" s="1"/>
  <c r="Q421" i="1"/>
  <c r="R421" i="1" s="1"/>
  <c r="S421" i="1" s="1"/>
  <c r="T421" i="1" s="1"/>
  <c r="Q420" i="1"/>
  <c r="R420" i="1" s="1"/>
  <c r="S420" i="1" s="1"/>
  <c r="AU416" i="1"/>
  <c r="AO416" i="1"/>
  <c r="AN416" i="1"/>
  <c r="AB416" i="1"/>
  <c r="AA416" i="1"/>
  <c r="Z416" i="1"/>
  <c r="V416" i="1"/>
  <c r="AX414" i="1"/>
  <c r="AV414" i="1"/>
  <c r="Y414" i="1"/>
  <c r="X414" i="1"/>
  <c r="W414" i="1"/>
  <c r="U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Q413" i="1"/>
  <c r="R413" i="1" s="1"/>
  <c r="S413" i="1" s="1"/>
  <c r="T413" i="1" s="1"/>
  <c r="Q412" i="1"/>
  <c r="R412" i="1" s="1"/>
  <c r="S412" i="1" s="1"/>
  <c r="T412" i="1" s="1"/>
  <c r="Q411" i="1"/>
  <c r="R411" i="1" s="1"/>
  <c r="S411" i="1" s="1"/>
  <c r="T411" i="1" s="1"/>
  <c r="Q410" i="1"/>
  <c r="R410" i="1" s="1"/>
  <c r="S410" i="1" s="1"/>
  <c r="T410" i="1" s="1"/>
  <c r="Q409" i="1"/>
  <c r="R409" i="1" s="1"/>
  <c r="S409" i="1" s="1"/>
  <c r="T409" i="1" s="1"/>
  <c r="Q408" i="1"/>
  <c r="R408" i="1" s="1"/>
  <c r="S408" i="1" s="1"/>
  <c r="T408" i="1" s="1"/>
  <c r="Q407" i="1"/>
  <c r="R407" i="1" s="1"/>
  <c r="S407" i="1" s="1"/>
  <c r="T407" i="1" s="1"/>
  <c r="Q406" i="1"/>
  <c r="R406" i="1" s="1"/>
  <c r="S406" i="1" s="1"/>
  <c r="T406" i="1" s="1"/>
  <c r="Q405" i="1"/>
  <c r="Q414" i="1" s="1"/>
  <c r="AX402" i="1"/>
  <c r="AV402" i="1"/>
  <c r="Y402" i="1"/>
  <c r="X402" i="1"/>
  <c r="W402" i="1"/>
  <c r="U402" i="1"/>
  <c r="P402" i="1"/>
  <c r="O402" i="1"/>
  <c r="H402" i="1"/>
  <c r="G402" i="1"/>
  <c r="F402" i="1"/>
  <c r="E402" i="1"/>
  <c r="D402" i="1"/>
  <c r="Q401" i="1"/>
  <c r="R401" i="1" s="1"/>
  <c r="S401" i="1" s="1"/>
  <c r="T401" i="1" s="1"/>
  <c r="Q400" i="1"/>
  <c r="R400" i="1" s="1"/>
  <c r="S400" i="1" s="1"/>
  <c r="T400" i="1" s="1"/>
  <c r="Q399" i="1"/>
  <c r="R399" i="1" s="1"/>
  <c r="S399" i="1" s="1"/>
  <c r="T399" i="1" s="1"/>
  <c r="Q398" i="1"/>
  <c r="R398" i="1" s="1"/>
  <c r="AX395" i="1"/>
  <c r="AV395" i="1"/>
  <c r="Y395" i="1"/>
  <c r="X395" i="1"/>
  <c r="X416" i="1" s="1"/>
  <c r="W395" i="1"/>
  <c r="U395" i="1"/>
  <c r="U416" i="1" s="1"/>
  <c r="P395" i="1"/>
  <c r="O395" i="1"/>
  <c r="H395" i="1"/>
  <c r="G395" i="1"/>
  <c r="F395" i="1"/>
  <c r="E395" i="1"/>
  <c r="D395" i="1"/>
  <c r="Q394" i="1"/>
  <c r="R394" i="1" s="1"/>
  <c r="S394" i="1" s="1"/>
  <c r="T394" i="1" s="1"/>
  <c r="Q393" i="1"/>
  <c r="R393" i="1" s="1"/>
  <c r="S393" i="1" s="1"/>
  <c r="T393" i="1" s="1"/>
  <c r="R392" i="1"/>
  <c r="S392" i="1" s="1"/>
  <c r="T392" i="1" s="1"/>
  <c r="Q392" i="1"/>
  <c r="Q391" i="1"/>
  <c r="R391" i="1" s="1"/>
  <c r="S391" i="1" s="1"/>
  <c r="T391" i="1" s="1"/>
  <c r="Q390" i="1"/>
  <c r="R390" i="1" s="1"/>
  <c r="S390" i="1" s="1"/>
  <c r="T390" i="1" s="1"/>
  <c r="Q389" i="1"/>
  <c r="R389" i="1" s="1"/>
  <c r="S389" i="1" s="1"/>
  <c r="T389" i="1" s="1"/>
  <c r="Q388" i="1"/>
  <c r="R388" i="1" s="1"/>
  <c r="S388" i="1" s="1"/>
  <c r="T388" i="1" s="1"/>
  <c r="Q387" i="1"/>
  <c r="R387" i="1" s="1"/>
  <c r="S387" i="1" s="1"/>
  <c r="T387" i="1" s="1"/>
  <c r="Q386" i="1"/>
  <c r="R386" i="1" s="1"/>
  <c r="S386" i="1" s="1"/>
  <c r="T386" i="1" s="1"/>
  <c r="Q385" i="1"/>
  <c r="R385" i="1" s="1"/>
  <c r="S385" i="1" s="1"/>
  <c r="T385" i="1" s="1"/>
  <c r="Q384" i="1"/>
  <c r="R384" i="1" s="1"/>
  <c r="S384" i="1" s="1"/>
  <c r="T384" i="1" s="1"/>
  <c r="R383" i="1"/>
  <c r="S383" i="1" s="1"/>
  <c r="T383" i="1" s="1"/>
  <c r="Q383" i="1"/>
  <c r="Q382" i="1"/>
  <c r="R382" i="1" s="1"/>
  <c r="S382" i="1" s="1"/>
  <c r="T382" i="1" s="1"/>
  <c r="Q381" i="1"/>
  <c r="R381" i="1" s="1"/>
  <c r="S381" i="1" s="1"/>
  <c r="T381" i="1" s="1"/>
  <c r="Q380" i="1"/>
  <c r="R380" i="1" s="1"/>
  <c r="S380" i="1" s="1"/>
  <c r="T380" i="1" s="1"/>
  <c r="Q379" i="1"/>
  <c r="R379" i="1" s="1"/>
  <c r="S379" i="1" s="1"/>
  <c r="T379" i="1" s="1"/>
  <c r="Q378" i="1"/>
  <c r="R378" i="1" s="1"/>
  <c r="S378" i="1" s="1"/>
  <c r="T378" i="1" s="1"/>
  <c r="Q377" i="1"/>
  <c r="R377" i="1" s="1"/>
  <c r="S377" i="1" s="1"/>
  <c r="T377" i="1" s="1"/>
  <c r="Q376" i="1"/>
  <c r="R376" i="1" s="1"/>
  <c r="S376" i="1" s="1"/>
  <c r="T376" i="1" s="1"/>
  <c r="R375" i="1"/>
  <c r="S375" i="1" s="1"/>
  <c r="T375" i="1" s="1"/>
  <c r="Q375" i="1"/>
  <c r="Q374" i="1"/>
  <c r="R374" i="1" s="1"/>
  <c r="S374" i="1" s="1"/>
  <c r="T374" i="1" s="1"/>
  <c r="Q373" i="1"/>
  <c r="R373" i="1" s="1"/>
  <c r="S373" i="1" s="1"/>
  <c r="T373" i="1" s="1"/>
  <c r="Q372" i="1"/>
  <c r="R372" i="1" s="1"/>
  <c r="S372" i="1" s="1"/>
  <c r="T372" i="1" s="1"/>
  <c r="Q371" i="1"/>
  <c r="R371" i="1" s="1"/>
  <c r="S371" i="1" s="1"/>
  <c r="T371" i="1" s="1"/>
  <c r="Q370" i="1"/>
  <c r="R370" i="1" s="1"/>
  <c r="S370" i="1" s="1"/>
  <c r="T370" i="1" s="1"/>
  <c r="Q369" i="1"/>
  <c r="R369" i="1" s="1"/>
  <c r="S369" i="1" s="1"/>
  <c r="T369" i="1" s="1"/>
  <c r="Q368" i="1"/>
  <c r="R368" i="1" s="1"/>
  <c r="S368" i="1" s="1"/>
  <c r="T368" i="1" s="1"/>
  <c r="Q367" i="1"/>
  <c r="R367" i="1" s="1"/>
  <c r="S367" i="1" s="1"/>
  <c r="T367" i="1" s="1"/>
  <c r="Q366" i="1"/>
  <c r="R366" i="1" s="1"/>
  <c r="S366" i="1" s="1"/>
  <c r="T366" i="1" s="1"/>
  <c r="Q365" i="1"/>
  <c r="R365" i="1" s="1"/>
  <c r="S365" i="1" s="1"/>
  <c r="T365" i="1" s="1"/>
  <c r="Q364" i="1"/>
  <c r="R364" i="1" s="1"/>
  <c r="S364" i="1" s="1"/>
  <c r="T364" i="1" s="1"/>
  <c r="Q363" i="1"/>
  <c r="R363" i="1" s="1"/>
  <c r="S363" i="1" s="1"/>
  <c r="T363" i="1" s="1"/>
  <c r="Q362" i="1"/>
  <c r="Q361" i="1"/>
  <c r="R361" i="1" s="1"/>
  <c r="S361" i="1" s="1"/>
  <c r="AX358" i="1"/>
  <c r="AV358" i="1"/>
  <c r="Y358" i="1"/>
  <c r="X358" i="1"/>
  <c r="W358" i="1"/>
  <c r="U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R357" i="1"/>
  <c r="S357" i="1" s="1"/>
  <c r="T357" i="1" s="1"/>
  <c r="Q357" i="1"/>
  <c r="Q356" i="1"/>
  <c r="R356" i="1" s="1"/>
  <c r="S356" i="1" s="1"/>
  <c r="T356" i="1" s="1"/>
  <c r="Q355" i="1"/>
  <c r="R355" i="1" s="1"/>
  <c r="S355" i="1" s="1"/>
  <c r="T355" i="1" s="1"/>
  <c r="Q354" i="1"/>
  <c r="Q353" i="1"/>
  <c r="R353" i="1" s="1"/>
  <c r="AX350" i="1"/>
  <c r="AV350" i="1"/>
  <c r="Y350" i="1"/>
  <c r="X350" i="1"/>
  <c r="W350" i="1"/>
  <c r="U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Q349" i="1"/>
  <c r="R349" i="1" s="1"/>
  <c r="S349" i="1" s="1"/>
  <c r="T349" i="1" s="1"/>
  <c r="AH349" i="1" s="1"/>
  <c r="Q348" i="1"/>
  <c r="R348" i="1" s="1"/>
  <c r="S348" i="1" s="1"/>
  <c r="T348" i="1" s="1"/>
  <c r="Q347" i="1"/>
  <c r="R347" i="1" s="1"/>
  <c r="S347" i="1" s="1"/>
  <c r="T347" i="1" s="1"/>
  <c r="Q346" i="1"/>
  <c r="R346" i="1" s="1"/>
  <c r="S346" i="1" s="1"/>
  <c r="T346" i="1" s="1"/>
  <c r="Q345" i="1"/>
  <c r="R345" i="1" s="1"/>
  <c r="S345" i="1" s="1"/>
  <c r="T345" i="1" s="1"/>
  <c r="AH345" i="1" s="1"/>
  <c r="Q344" i="1"/>
  <c r="R344" i="1" s="1"/>
  <c r="S344" i="1" s="1"/>
  <c r="T344" i="1" s="1"/>
  <c r="Q343" i="1"/>
  <c r="R343" i="1" s="1"/>
  <c r="S343" i="1" s="1"/>
  <c r="T343" i="1" s="1"/>
  <c r="Q342" i="1"/>
  <c r="R342" i="1" s="1"/>
  <c r="S342" i="1" s="1"/>
  <c r="T342" i="1" s="1"/>
  <c r="AK342" i="1" s="1"/>
  <c r="Q341" i="1"/>
  <c r="R341" i="1" s="1"/>
  <c r="S341" i="1" s="1"/>
  <c r="T341" i="1" s="1"/>
  <c r="AH341" i="1" s="1"/>
  <c r="Q340" i="1"/>
  <c r="R340" i="1" s="1"/>
  <c r="S340" i="1" s="1"/>
  <c r="T340" i="1" s="1"/>
  <c r="Q339" i="1"/>
  <c r="R339" i="1" s="1"/>
  <c r="S339" i="1" s="1"/>
  <c r="T339" i="1" s="1"/>
  <c r="Q338" i="1"/>
  <c r="R338" i="1" s="1"/>
  <c r="S338" i="1" s="1"/>
  <c r="T338" i="1" s="1"/>
  <c r="AK338" i="1" s="1"/>
  <c r="Q337" i="1"/>
  <c r="R337" i="1" s="1"/>
  <c r="S337" i="1" s="1"/>
  <c r="T337" i="1" s="1"/>
  <c r="Q336" i="1"/>
  <c r="R336" i="1" s="1"/>
  <c r="S336" i="1" s="1"/>
  <c r="T336" i="1" s="1"/>
  <c r="Q335" i="1"/>
  <c r="R335" i="1" s="1"/>
  <c r="S335" i="1" s="1"/>
  <c r="T335" i="1" s="1"/>
  <c r="Q334" i="1"/>
  <c r="R334" i="1" s="1"/>
  <c r="S334" i="1" s="1"/>
  <c r="T334" i="1" s="1"/>
  <c r="AK334" i="1" s="1"/>
  <c r="R333" i="1"/>
  <c r="S333" i="1" s="1"/>
  <c r="T333" i="1" s="1"/>
  <c r="Q333" i="1"/>
  <c r="Q332" i="1"/>
  <c r="R332" i="1" s="1"/>
  <c r="S332" i="1" s="1"/>
  <c r="T332" i="1" s="1"/>
  <c r="Q331" i="1"/>
  <c r="R331" i="1" s="1"/>
  <c r="S331" i="1" s="1"/>
  <c r="T331" i="1" s="1"/>
  <c r="Q330" i="1"/>
  <c r="R330" i="1" s="1"/>
  <c r="S330" i="1" s="1"/>
  <c r="T330" i="1" s="1"/>
  <c r="AK330" i="1" s="1"/>
  <c r="Q329" i="1"/>
  <c r="R329" i="1" s="1"/>
  <c r="S329" i="1" s="1"/>
  <c r="T329" i="1" s="1"/>
  <c r="AH329" i="1" s="1"/>
  <c r="Q328" i="1"/>
  <c r="R328" i="1" s="1"/>
  <c r="S328" i="1" s="1"/>
  <c r="T328" i="1" s="1"/>
  <c r="Q327" i="1"/>
  <c r="R327" i="1" s="1"/>
  <c r="S327" i="1" s="1"/>
  <c r="T327" i="1" s="1"/>
  <c r="Q326" i="1"/>
  <c r="R326" i="1" s="1"/>
  <c r="S326" i="1" s="1"/>
  <c r="T326" i="1" s="1"/>
  <c r="AK326" i="1" s="1"/>
  <c r="Q325" i="1"/>
  <c r="R325" i="1" s="1"/>
  <c r="S325" i="1" s="1"/>
  <c r="T325" i="1" s="1"/>
  <c r="Q324" i="1"/>
  <c r="R324" i="1" s="1"/>
  <c r="S324" i="1" s="1"/>
  <c r="T324" i="1" s="1"/>
  <c r="Q323" i="1"/>
  <c r="R323" i="1" s="1"/>
  <c r="S323" i="1" s="1"/>
  <c r="T323" i="1" s="1"/>
  <c r="Q322" i="1"/>
  <c r="R322" i="1" s="1"/>
  <c r="S322" i="1" s="1"/>
  <c r="T322" i="1" s="1"/>
  <c r="AK322" i="1" s="1"/>
  <c r="Q321" i="1"/>
  <c r="R321" i="1" s="1"/>
  <c r="S321" i="1" s="1"/>
  <c r="T321" i="1" s="1"/>
  <c r="Q320" i="1"/>
  <c r="R320" i="1" s="1"/>
  <c r="S320" i="1" s="1"/>
  <c r="T320" i="1" s="1"/>
  <c r="Q319" i="1"/>
  <c r="R319" i="1" s="1"/>
  <c r="S319" i="1" s="1"/>
  <c r="T319" i="1" s="1"/>
  <c r="Q318" i="1"/>
  <c r="R318" i="1" s="1"/>
  <c r="S318" i="1" s="1"/>
  <c r="T318" i="1" s="1"/>
  <c r="R317" i="1"/>
  <c r="S317" i="1" s="1"/>
  <c r="T317" i="1" s="1"/>
  <c r="Q317" i="1"/>
  <c r="Q316" i="1"/>
  <c r="R316" i="1" s="1"/>
  <c r="S316" i="1" s="1"/>
  <c r="T316" i="1" s="1"/>
  <c r="Q315" i="1"/>
  <c r="R315" i="1" s="1"/>
  <c r="AX312" i="1"/>
  <c r="AV312" i="1"/>
  <c r="Y312" i="1"/>
  <c r="X312" i="1"/>
  <c r="W312" i="1"/>
  <c r="U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R311" i="1"/>
  <c r="S311" i="1" s="1"/>
  <c r="T311" i="1" s="1"/>
  <c r="Q311" i="1"/>
  <c r="Q310" i="1"/>
  <c r="R310" i="1" s="1"/>
  <c r="S310" i="1" s="1"/>
  <c r="T310" i="1" s="1"/>
  <c r="Q309" i="1"/>
  <c r="R309" i="1" s="1"/>
  <c r="S309" i="1" s="1"/>
  <c r="T309" i="1" s="1"/>
  <c r="AL309" i="1" s="1"/>
  <c r="Q308" i="1"/>
  <c r="R308" i="1" s="1"/>
  <c r="S308" i="1" s="1"/>
  <c r="T308" i="1" s="1"/>
  <c r="Q307" i="1"/>
  <c r="R307" i="1" s="1"/>
  <c r="S307" i="1" s="1"/>
  <c r="T307" i="1" s="1"/>
  <c r="R306" i="1"/>
  <c r="S306" i="1" s="1"/>
  <c r="T306" i="1" s="1"/>
  <c r="Q306" i="1"/>
  <c r="R305" i="1"/>
  <c r="S305" i="1" s="1"/>
  <c r="T305" i="1" s="1"/>
  <c r="AL305" i="1" s="1"/>
  <c r="Q305" i="1"/>
  <c r="Q304" i="1"/>
  <c r="R304" i="1" s="1"/>
  <c r="S304" i="1" s="1"/>
  <c r="T304" i="1" s="1"/>
  <c r="Q303" i="1"/>
  <c r="R303" i="1" s="1"/>
  <c r="S303" i="1" s="1"/>
  <c r="T303" i="1" s="1"/>
  <c r="Q302" i="1"/>
  <c r="R302" i="1" s="1"/>
  <c r="S302" i="1" s="1"/>
  <c r="T302" i="1" s="1"/>
  <c r="Q301" i="1"/>
  <c r="R301" i="1" s="1"/>
  <c r="S301" i="1" s="1"/>
  <c r="T301" i="1" s="1"/>
  <c r="Q300" i="1"/>
  <c r="R300" i="1" s="1"/>
  <c r="S300" i="1" s="1"/>
  <c r="T300" i="1" s="1"/>
  <c r="Q299" i="1"/>
  <c r="R299" i="1" s="1"/>
  <c r="S299" i="1" s="1"/>
  <c r="T299" i="1" s="1"/>
  <c r="Q298" i="1"/>
  <c r="R298" i="1" s="1"/>
  <c r="S298" i="1" s="1"/>
  <c r="T298" i="1" s="1"/>
  <c r="Q297" i="1"/>
  <c r="R297" i="1" s="1"/>
  <c r="S297" i="1" s="1"/>
  <c r="T297" i="1" s="1"/>
  <c r="Q296" i="1"/>
  <c r="R296" i="1" s="1"/>
  <c r="S296" i="1" s="1"/>
  <c r="T296" i="1" s="1"/>
  <c r="R295" i="1"/>
  <c r="S295" i="1" s="1"/>
  <c r="T295" i="1" s="1"/>
  <c r="Q295" i="1"/>
  <c r="Q294" i="1"/>
  <c r="R294" i="1" s="1"/>
  <c r="S294" i="1" s="1"/>
  <c r="T294" i="1" s="1"/>
  <c r="Q293" i="1"/>
  <c r="R293" i="1" s="1"/>
  <c r="S293" i="1" s="1"/>
  <c r="T293" i="1" s="1"/>
  <c r="Q292" i="1"/>
  <c r="R292" i="1" s="1"/>
  <c r="S292" i="1" s="1"/>
  <c r="T292" i="1" s="1"/>
  <c r="Q291" i="1"/>
  <c r="R291" i="1" s="1"/>
  <c r="S291" i="1" s="1"/>
  <c r="T291" i="1" s="1"/>
  <c r="Q290" i="1"/>
  <c r="R290" i="1" s="1"/>
  <c r="S290" i="1" s="1"/>
  <c r="T290" i="1" s="1"/>
  <c r="Q289" i="1"/>
  <c r="R289" i="1" s="1"/>
  <c r="S289" i="1" s="1"/>
  <c r="T289" i="1" s="1"/>
  <c r="Q288" i="1"/>
  <c r="R288" i="1" s="1"/>
  <c r="S288" i="1" s="1"/>
  <c r="T288" i="1" s="1"/>
  <c r="Q287" i="1"/>
  <c r="R287" i="1" s="1"/>
  <c r="S287" i="1" s="1"/>
  <c r="T287" i="1" s="1"/>
  <c r="Q286" i="1"/>
  <c r="AX283" i="1"/>
  <c r="AV283" i="1"/>
  <c r="Y283" i="1"/>
  <c r="X283" i="1"/>
  <c r="W283" i="1"/>
  <c r="U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Q282" i="1"/>
  <c r="R282" i="1" s="1"/>
  <c r="S282" i="1" s="1"/>
  <c r="T282" i="1" s="1"/>
  <c r="R281" i="1"/>
  <c r="S281" i="1" s="1"/>
  <c r="T281" i="1" s="1"/>
  <c r="Q281" i="1"/>
  <c r="Q280" i="1"/>
  <c r="R280" i="1" s="1"/>
  <c r="S280" i="1" s="1"/>
  <c r="T280" i="1" s="1"/>
  <c r="Q279" i="1"/>
  <c r="R279" i="1" s="1"/>
  <c r="S279" i="1" s="1"/>
  <c r="T279" i="1" s="1"/>
  <c r="Q278" i="1"/>
  <c r="R278" i="1" s="1"/>
  <c r="S278" i="1" s="1"/>
  <c r="T278" i="1" s="1"/>
  <c r="Q277" i="1"/>
  <c r="R277" i="1" s="1"/>
  <c r="S277" i="1" s="1"/>
  <c r="T277" i="1" s="1"/>
  <c r="Q276" i="1"/>
  <c r="R276" i="1" s="1"/>
  <c r="S276" i="1" s="1"/>
  <c r="T276" i="1" s="1"/>
  <c r="Q275" i="1"/>
  <c r="AX272" i="1"/>
  <c r="AV272" i="1"/>
  <c r="Y272" i="1"/>
  <c r="X272" i="1"/>
  <c r="W272" i="1"/>
  <c r="U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Q271" i="1"/>
  <c r="R271" i="1" s="1"/>
  <c r="S271" i="1" s="1"/>
  <c r="T271" i="1" s="1"/>
  <c r="Q270" i="1"/>
  <c r="R270" i="1" s="1"/>
  <c r="S270" i="1" s="1"/>
  <c r="T270" i="1" s="1"/>
  <c r="Q269" i="1"/>
  <c r="R269" i="1" s="1"/>
  <c r="S269" i="1" s="1"/>
  <c r="T269" i="1" s="1"/>
  <c r="Q268" i="1"/>
  <c r="R268" i="1" s="1"/>
  <c r="S268" i="1" s="1"/>
  <c r="T268" i="1" s="1"/>
  <c r="Q267" i="1"/>
  <c r="R267" i="1" s="1"/>
  <c r="S267" i="1" s="1"/>
  <c r="T267" i="1" s="1"/>
  <c r="Q266" i="1"/>
  <c r="R266" i="1" s="1"/>
  <c r="S266" i="1" s="1"/>
  <c r="AX259" i="1"/>
  <c r="AV259" i="1"/>
  <c r="Y259" i="1"/>
  <c r="X259" i="1"/>
  <c r="W259" i="1"/>
  <c r="U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Q258" i="1"/>
  <c r="R258" i="1" s="1"/>
  <c r="S258" i="1" s="1"/>
  <c r="T258" i="1" s="1"/>
  <c r="Q257" i="1"/>
  <c r="R257" i="1" s="1"/>
  <c r="S257" i="1" s="1"/>
  <c r="T257" i="1" s="1"/>
  <c r="Q256" i="1"/>
  <c r="R256" i="1" s="1"/>
  <c r="S256" i="1" s="1"/>
  <c r="T256" i="1" s="1"/>
  <c r="Q255" i="1"/>
  <c r="R255" i="1" s="1"/>
  <c r="S255" i="1" s="1"/>
  <c r="T255" i="1" s="1"/>
  <c r="Q254" i="1"/>
  <c r="R254" i="1" s="1"/>
  <c r="S254" i="1" s="1"/>
  <c r="T254" i="1" s="1"/>
  <c r="Q253" i="1"/>
  <c r="R253" i="1" s="1"/>
  <c r="S253" i="1" s="1"/>
  <c r="T253" i="1" s="1"/>
  <c r="Q252" i="1"/>
  <c r="R252" i="1" s="1"/>
  <c r="S252" i="1" s="1"/>
  <c r="T252" i="1" s="1"/>
  <c r="Q251" i="1"/>
  <c r="R251" i="1" s="1"/>
  <c r="S251" i="1" s="1"/>
  <c r="T251" i="1" s="1"/>
  <c r="Q250" i="1"/>
  <c r="R250" i="1" s="1"/>
  <c r="S250" i="1" s="1"/>
  <c r="T250" i="1" s="1"/>
  <c r="Q249" i="1"/>
  <c r="R249" i="1" s="1"/>
  <c r="S249" i="1" s="1"/>
  <c r="T249" i="1" s="1"/>
  <c r="Q248" i="1"/>
  <c r="R248" i="1" s="1"/>
  <c r="S248" i="1" s="1"/>
  <c r="T248" i="1" s="1"/>
  <c r="Q247" i="1"/>
  <c r="R247" i="1" s="1"/>
  <c r="S247" i="1" s="1"/>
  <c r="T247" i="1" s="1"/>
  <c r="Q246" i="1"/>
  <c r="R246" i="1" s="1"/>
  <c r="AX243" i="1"/>
  <c r="AV243" i="1"/>
  <c r="Y243" i="1"/>
  <c r="X243" i="1"/>
  <c r="W243" i="1"/>
  <c r="U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Q242" i="1"/>
  <c r="R242" i="1" s="1"/>
  <c r="S242" i="1" s="1"/>
  <c r="T242" i="1" s="1"/>
  <c r="Q241" i="1"/>
  <c r="R241" i="1" s="1"/>
  <c r="S241" i="1" s="1"/>
  <c r="T241" i="1" s="1"/>
  <c r="Q240" i="1"/>
  <c r="R240" i="1" s="1"/>
  <c r="S240" i="1" s="1"/>
  <c r="T240" i="1" s="1"/>
  <c r="Q239" i="1"/>
  <c r="R239" i="1" s="1"/>
  <c r="S239" i="1" s="1"/>
  <c r="T239" i="1" s="1"/>
  <c r="R238" i="1"/>
  <c r="S238" i="1" s="1"/>
  <c r="T238" i="1" s="1"/>
  <c r="Q238" i="1"/>
  <c r="Q237" i="1"/>
  <c r="R237" i="1" s="1"/>
  <c r="S237" i="1" s="1"/>
  <c r="T237" i="1" s="1"/>
  <c r="Q236" i="1"/>
  <c r="R236" i="1" s="1"/>
  <c r="S236" i="1" s="1"/>
  <c r="T236" i="1" s="1"/>
  <c r="Q235" i="1"/>
  <c r="R235" i="1" s="1"/>
  <c r="S235" i="1" s="1"/>
  <c r="T235" i="1" s="1"/>
  <c r="Q234" i="1"/>
  <c r="R234" i="1" s="1"/>
  <c r="S234" i="1" s="1"/>
  <c r="T234" i="1" s="1"/>
  <c r="Q233" i="1"/>
  <c r="R233" i="1" s="1"/>
  <c r="S233" i="1" s="1"/>
  <c r="T233" i="1" s="1"/>
  <c r="Q232" i="1"/>
  <c r="R232" i="1" s="1"/>
  <c r="S232" i="1" s="1"/>
  <c r="T232" i="1" s="1"/>
  <c r="Q231" i="1"/>
  <c r="AX228" i="1"/>
  <c r="AV228" i="1"/>
  <c r="O228" i="1"/>
  <c r="N220" i="1" s="1"/>
  <c r="M220" i="1" s="1"/>
  <c r="L220" i="1" s="1"/>
  <c r="K220" i="1" s="1"/>
  <c r="Q220" i="1" s="1"/>
  <c r="R220" i="1" s="1"/>
  <c r="S220" i="1" s="1"/>
  <c r="T220" i="1" s="1"/>
  <c r="AJ220" i="1" s="1"/>
  <c r="I228" i="1"/>
  <c r="H228" i="1"/>
  <c r="G228" i="1"/>
  <c r="F228" i="1"/>
  <c r="E228" i="1"/>
  <c r="D228" i="1"/>
  <c r="N225" i="1"/>
  <c r="M225" i="1" s="1"/>
  <c r="L225" i="1" s="1"/>
  <c r="K225" i="1" s="1"/>
  <c r="Q225" i="1" s="1"/>
  <c r="R225" i="1" s="1"/>
  <c r="S225" i="1" s="1"/>
  <c r="T225" i="1" s="1"/>
  <c r="AX211" i="1"/>
  <c r="AV211" i="1"/>
  <c r="Y211" i="1"/>
  <c r="X211" i="1"/>
  <c r="W211" i="1"/>
  <c r="U211" i="1"/>
  <c r="P211" i="1"/>
  <c r="O211" i="1"/>
  <c r="N211" i="1"/>
  <c r="M211" i="1"/>
  <c r="L211" i="1"/>
  <c r="K211" i="1"/>
  <c r="J211" i="1"/>
  <c r="H211" i="1"/>
  <c r="G211" i="1"/>
  <c r="F211" i="1"/>
  <c r="E211" i="1"/>
  <c r="D211" i="1"/>
  <c r="R210" i="1"/>
  <c r="S210" i="1" s="1"/>
  <c r="T210" i="1" s="1"/>
  <c r="Q210" i="1"/>
  <c r="R209" i="1"/>
  <c r="S209" i="1" s="1"/>
  <c r="T209" i="1" s="1"/>
  <c r="Q209" i="1"/>
  <c r="S208" i="1"/>
  <c r="T208" i="1" s="1"/>
  <c r="Q208" i="1"/>
  <c r="R208" i="1" s="1"/>
  <c r="R207" i="1"/>
  <c r="S207" i="1" s="1"/>
  <c r="T207" i="1" s="1"/>
  <c r="Q207" i="1"/>
  <c r="R206" i="1"/>
  <c r="S206" i="1" s="1"/>
  <c r="T206" i="1" s="1"/>
  <c r="Q206" i="1"/>
  <c r="R205" i="1"/>
  <c r="S205" i="1" s="1"/>
  <c r="T205" i="1" s="1"/>
  <c r="Q205" i="1"/>
  <c r="S204" i="1"/>
  <c r="T204" i="1" s="1"/>
  <c r="Q204" i="1"/>
  <c r="R204" i="1" s="1"/>
  <c r="R203" i="1"/>
  <c r="S203" i="1" s="1"/>
  <c r="T203" i="1" s="1"/>
  <c r="Q203" i="1"/>
  <c r="R202" i="1"/>
  <c r="S202" i="1" s="1"/>
  <c r="T202" i="1" s="1"/>
  <c r="Q202" i="1"/>
  <c r="R201" i="1"/>
  <c r="S201" i="1" s="1"/>
  <c r="T201" i="1" s="1"/>
  <c r="Q201" i="1"/>
  <c r="S200" i="1"/>
  <c r="T200" i="1" s="1"/>
  <c r="Q200" i="1"/>
  <c r="R200" i="1" s="1"/>
  <c r="R199" i="1"/>
  <c r="S199" i="1" s="1"/>
  <c r="T199" i="1" s="1"/>
  <c r="Q199" i="1"/>
  <c r="R198" i="1"/>
  <c r="S198" i="1" s="1"/>
  <c r="T198" i="1" s="1"/>
  <c r="Q198" i="1"/>
  <c r="Q211" i="1" s="1"/>
  <c r="R197" i="1"/>
  <c r="S197" i="1" s="1"/>
  <c r="Q197" i="1"/>
  <c r="AX191" i="1"/>
  <c r="AV191" i="1"/>
  <c r="Y191" i="1"/>
  <c r="X191" i="1"/>
  <c r="W191" i="1"/>
  <c r="U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Q190" i="1"/>
  <c r="R190" i="1" s="1"/>
  <c r="S190" i="1" s="1"/>
  <c r="T190" i="1" s="1"/>
  <c r="Q189" i="1"/>
  <c r="R189" i="1" s="1"/>
  <c r="S189" i="1" s="1"/>
  <c r="T189" i="1" s="1"/>
  <c r="Q188" i="1"/>
  <c r="R188" i="1" s="1"/>
  <c r="S188" i="1" s="1"/>
  <c r="T188" i="1" s="1"/>
  <c r="Q187" i="1"/>
  <c r="R187" i="1" s="1"/>
  <c r="S187" i="1" s="1"/>
  <c r="T187" i="1" s="1"/>
  <c r="Q186" i="1"/>
  <c r="R186" i="1" s="1"/>
  <c r="S186" i="1" s="1"/>
  <c r="T186" i="1" s="1"/>
  <c r="Q185" i="1"/>
  <c r="R185" i="1" s="1"/>
  <c r="S185" i="1" s="1"/>
  <c r="T185" i="1" s="1"/>
  <c r="Q184" i="1"/>
  <c r="R184" i="1" s="1"/>
  <c r="S184" i="1" s="1"/>
  <c r="T184" i="1" s="1"/>
  <c r="Q183" i="1"/>
  <c r="R183" i="1" s="1"/>
  <c r="S183" i="1" s="1"/>
  <c r="T183" i="1" s="1"/>
  <c r="Q182" i="1"/>
  <c r="R182" i="1" s="1"/>
  <c r="S182" i="1" s="1"/>
  <c r="T182" i="1" s="1"/>
  <c r="Q181" i="1"/>
  <c r="R181" i="1" s="1"/>
  <c r="S181" i="1" s="1"/>
  <c r="T181" i="1" s="1"/>
  <c r="Q180" i="1"/>
  <c r="R180" i="1" s="1"/>
  <c r="S180" i="1" s="1"/>
  <c r="T180" i="1" s="1"/>
  <c r="Q179" i="1"/>
  <c r="R179" i="1" s="1"/>
  <c r="S179" i="1" s="1"/>
  <c r="T179" i="1" s="1"/>
  <c r="Q178" i="1"/>
  <c r="R178" i="1" s="1"/>
  <c r="S178" i="1" s="1"/>
  <c r="T178" i="1" s="1"/>
  <c r="Q177" i="1"/>
  <c r="AX174" i="1"/>
  <c r="AV174" i="1"/>
  <c r="Y174" i="1"/>
  <c r="X174" i="1"/>
  <c r="W174" i="1"/>
  <c r="U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Q173" i="1"/>
  <c r="R173" i="1" s="1"/>
  <c r="S173" i="1" s="1"/>
  <c r="T173" i="1" s="1"/>
  <c r="AK173" i="1" s="1"/>
  <c r="Q172" i="1"/>
  <c r="R172" i="1" s="1"/>
  <c r="S172" i="1" s="1"/>
  <c r="T172" i="1" s="1"/>
  <c r="T171" i="1"/>
  <c r="AK171" i="1" s="1"/>
  <c r="Q171" i="1"/>
  <c r="R171" i="1" s="1"/>
  <c r="S171" i="1" s="1"/>
  <c r="R170" i="1"/>
  <c r="S170" i="1" s="1"/>
  <c r="T170" i="1" s="1"/>
  <c r="AK170" i="1" s="1"/>
  <c r="Q170" i="1"/>
  <c r="Q169" i="1"/>
  <c r="R169" i="1" s="1"/>
  <c r="S169" i="1" s="1"/>
  <c r="T169" i="1" s="1"/>
  <c r="AK169" i="1" s="1"/>
  <c r="Q168" i="1"/>
  <c r="R168" i="1" s="1"/>
  <c r="S168" i="1" s="1"/>
  <c r="T168" i="1" s="1"/>
  <c r="Q167" i="1"/>
  <c r="R167" i="1" s="1"/>
  <c r="S167" i="1" s="1"/>
  <c r="AX164" i="1"/>
  <c r="AV164" i="1"/>
  <c r="Y164" i="1"/>
  <c r="X164" i="1"/>
  <c r="W164" i="1"/>
  <c r="U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Q163" i="1"/>
  <c r="R163" i="1" s="1"/>
  <c r="S163" i="1" s="1"/>
  <c r="T163" i="1" s="1"/>
  <c r="Q162" i="1"/>
  <c r="R162" i="1" s="1"/>
  <c r="S162" i="1" s="1"/>
  <c r="T162" i="1" s="1"/>
  <c r="Q161" i="1"/>
  <c r="R161" i="1" s="1"/>
  <c r="S161" i="1" s="1"/>
  <c r="T161" i="1" s="1"/>
  <c r="Q160" i="1"/>
  <c r="R160" i="1" s="1"/>
  <c r="S160" i="1" s="1"/>
  <c r="T160" i="1" s="1"/>
  <c r="Q159" i="1"/>
  <c r="R159" i="1" s="1"/>
  <c r="S159" i="1" s="1"/>
  <c r="T159" i="1" s="1"/>
  <c r="Q158" i="1"/>
  <c r="R158" i="1" s="1"/>
  <c r="S158" i="1" s="1"/>
  <c r="T158" i="1" s="1"/>
  <c r="Q157" i="1"/>
  <c r="R157" i="1" s="1"/>
  <c r="S157" i="1" s="1"/>
  <c r="T157" i="1" s="1"/>
  <c r="Q156" i="1"/>
  <c r="R156" i="1" s="1"/>
  <c r="S156" i="1" s="1"/>
  <c r="T156" i="1" s="1"/>
  <c r="Q155" i="1"/>
  <c r="R155" i="1" s="1"/>
  <c r="S155" i="1" s="1"/>
  <c r="T155" i="1" s="1"/>
  <c r="Q154" i="1"/>
  <c r="R154" i="1" s="1"/>
  <c r="S154" i="1" s="1"/>
  <c r="T154" i="1" s="1"/>
  <c r="Q153" i="1"/>
  <c r="R153" i="1" s="1"/>
  <c r="S153" i="1" s="1"/>
  <c r="T153" i="1" s="1"/>
  <c r="Q152" i="1"/>
  <c r="R152" i="1" s="1"/>
  <c r="S152" i="1" s="1"/>
  <c r="T152" i="1" s="1"/>
  <c r="Q151" i="1"/>
  <c r="R151" i="1" s="1"/>
  <c r="S151" i="1" s="1"/>
  <c r="T151" i="1" s="1"/>
  <c r="Q150" i="1"/>
  <c r="Q149" i="1"/>
  <c r="R149" i="1" s="1"/>
  <c r="S149" i="1" s="1"/>
  <c r="T149" i="1" s="1"/>
  <c r="AX146" i="1"/>
  <c r="AV146" i="1"/>
  <c r="Y146" i="1"/>
  <c r="X146" i="1"/>
  <c r="W146" i="1"/>
  <c r="U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R145" i="1"/>
  <c r="S145" i="1" s="1"/>
  <c r="T145" i="1" s="1"/>
  <c r="Q145" i="1"/>
  <c r="Q144" i="1"/>
  <c r="R144" i="1" s="1"/>
  <c r="S144" i="1" s="1"/>
  <c r="T144" i="1" s="1"/>
  <c r="Q143" i="1"/>
  <c r="R143" i="1" s="1"/>
  <c r="S143" i="1" s="1"/>
  <c r="T143" i="1" s="1"/>
  <c r="R142" i="1"/>
  <c r="S142" i="1" s="1"/>
  <c r="T142" i="1" s="1"/>
  <c r="Q142" i="1"/>
  <c r="Q141" i="1"/>
  <c r="R141" i="1" s="1"/>
  <c r="S141" i="1" s="1"/>
  <c r="T141" i="1" s="1"/>
  <c r="Q140" i="1"/>
  <c r="R140" i="1" s="1"/>
  <c r="S140" i="1" s="1"/>
  <c r="T140" i="1" s="1"/>
  <c r="Q139" i="1"/>
  <c r="R139" i="1" s="1"/>
  <c r="S139" i="1" s="1"/>
  <c r="T139" i="1" s="1"/>
  <c r="Q138" i="1"/>
  <c r="Q137" i="1"/>
  <c r="R137" i="1" s="1"/>
  <c r="S137" i="1" s="1"/>
  <c r="T137" i="1" s="1"/>
  <c r="Q136" i="1"/>
  <c r="R136" i="1" s="1"/>
  <c r="AX133" i="1"/>
  <c r="AV133" i="1"/>
  <c r="Y133" i="1"/>
  <c r="X133" i="1"/>
  <c r="W133" i="1"/>
  <c r="U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Q132" i="1"/>
  <c r="R132" i="1" s="1"/>
  <c r="S132" i="1" s="1"/>
  <c r="T132" i="1" s="1"/>
  <c r="Q131" i="1"/>
  <c r="R131" i="1" s="1"/>
  <c r="S131" i="1" s="1"/>
  <c r="T131" i="1" s="1"/>
  <c r="Q130" i="1"/>
  <c r="R130" i="1" s="1"/>
  <c r="S130" i="1" s="1"/>
  <c r="T130" i="1" s="1"/>
  <c r="R129" i="1"/>
  <c r="S129" i="1" s="1"/>
  <c r="T129" i="1" s="1"/>
  <c r="Q129" i="1"/>
  <c r="Q128" i="1"/>
  <c r="R128" i="1" s="1"/>
  <c r="S128" i="1" s="1"/>
  <c r="T128" i="1" s="1"/>
  <c r="Q127" i="1"/>
  <c r="R127" i="1" s="1"/>
  <c r="S127" i="1" s="1"/>
  <c r="T127" i="1" s="1"/>
  <c r="Q126" i="1"/>
  <c r="R126" i="1" s="1"/>
  <c r="S126" i="1" s="1"/>
  <c r="T126" i="1" s="1"/>
  <c r="Q125" i="1"/>
  <c r="R125" i="1" s="1"/>
  <c r="S125" i="1" s="1"/>
  <c r="T125" i="1" s="1"/>
  <c r="Q124" i="1"/>
  <c r="R124" i="1" s="1"/>
  <c r="S124" i="1" s="1"/>
  <c r="T124" i="1" s="1"/>
  <c r="Q123" i="1"/>
  <c r="R123" i="1" s="1"/>
  <c r="S123" i="1" s="1"/>
  <c r="T123" i="1" s="1"/>
  <c r="Q122" i="1"/>
  <c r="R122" i="1" s="1"/>
  <c r="AX119" i="1"/>
  <c r="AV119" i="1"/>
  <c r="P119" i="1"/>
  <c r="O119" i="1"/>
  <c r="N119" i="1"/>
  <c r="J119" i="1"/>
  <c r="I119" i="1"/>
  <c r="H119" i="1"/>
  <c r="G119" i="1"/>
  <c r="F119" i="1"/>
  <c r="E119" i="1"/>
  <c r="D119" i="1"/>
  <c r="M115" i="1"/>
  <c r="Q115" i="1" s="1"/>
  <c r="R115" i="1" s="1"/>
  <c r="S115" i="1" s="1"/>
  <c r="T115" i="1" s="1"/>
  <c r="M113" i="1"/>
  <c r="Q113" i="1" s="1"/>
  <c r="R113" i="1" s="1"/>
  <c r="S113" i="1" s="1"/>
  <c r="T113" i="1" s="1"/>
  <c r="AX109" i="1"/>
  <c r="AV109" i="1"/>
  <c r="Y109" i="1"/>
  <c r="X109" i="1"/>
  <c r="W109" i="1"/>
  <c r="U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Q108" i="1"/>
  <c r="R108" i="1" s="1"/>
  <c r="S108" i="1" s="1"/>
  <c r="T108" i="1" s="1"/>
  <c r="Q107" i="1"/>
  <c r="R107" i="1" s="1"/>
  <c r="S107" i="1" s="1"/>
  <c r="T107" i="1" s="1"/>
  <c r="Q106" i="1"/>
  <c r="R106" i="1" s="1"/>
  <c r="S106" i="1" s="1"/>
  <c r="T106" i="1" s="1"/>
  <c r="Q105" i="1"/>
  <c r="R105" i="1" s="1"/>
  <c r="S105" i="1" s="1"/>
  <c r="T105" i="1" s="1"/>
  <c r="Q104" i="1"/>
  <c r="R104" i="1" s="1"/>
  <c r="S104" i="1" s="1"/>
  <c r="T104" i="1" s="1"/>
  <c r="Q103" i="1"/>
  <c r="R103" i="1" s="1"/>
  <c r="S103" i="1" s="1"/>
  <c r="T103" i="1" s="1"/>
  <c r="Q102" i="1"/>
  <c r="R102" i="1" s="1"/>
  <c r="S102" i="1" s="1"/>
  <c r="T102" i="1" s="1"/>
  <c r="Q101" i="1"/>
  <c r="R101" i="1" s="1"/>
  <c r="S101" i="1" s="1"/>
  <c r="T101" i="1" s="1"/>
  <c r="Q100" i="1"/>
  <c r="R100" i="1" s="1"/>
  <c r="S100" i="1" s="1"/>
  <c r="T100" i="1" s="1"/>
  <c r="Q99" i="1"/>
  <c r="R99" i="1" s="1"/>
  <c r="S99" i="1" s="1"/>
  <c r="T99" i="1" s="1"/>
  <c r="Q98" i="1"/>
  <c r="R98" i="1" s="1"/>
  <c r="S98" i="1" s="1"/>
  <c r="T98" i="1" s="1"/>
  <c r="Q97" i="1"/>
  <c r="AX94" i="1"/>
  <c r="AV94" i="1"/>
  <c r="P94" i="1"/>
  <c r="O94" i="1"/>
  <c r="N94" i="1"/>
  <c r="I94" i="1"/>
  <c r="H94" i="1"/>
  <c r="G94" i="1"/>
  <c r="F94" i="1"/>
  <c r="E94" i="1"/>
  <c r="D94" i="1"/>
  <c r="Q93" i="1"/>
  <c r="R93" i="1" s="1"/>
  <c r="S93" i="1" s="1"/>
  <c r="T93" i="1" s="1"/>
  <c r="Q92" i="1"/>
  <c r="R92" i="1" s="1"/>
  <c r="S92" i="1" s="1"/>
  <c r="T92" i="1" s="1"/>
  <c r="Q91" i="1"/>
  <c r="R91" i="1" s="1"/>
  <c r="S91" i="1" s="1"/>
  <c r="T91" i="1" s="1"/>
  <c r="Q90" i="1"/>
  <c r="R90" i="1" s="1"/>
  <c r="S90" i="1" s="1"/>
  <c r="T90" i="1" s="1"/>
  <c r="Q89" i="1"/>
  <c r="R89" i="1" s="1"/>
  <c r="S89" i="1" s="1"/>
  <c r="T89" i="1" s="1"/>
  <c r="Q88" i="1"/>
  <c r="R88" i="1" s="1"/>
  <c r="S88" i="1" s="1"/>
  <c r="T88" i="1" s="1"/>
  <c r="Q87" i="1"/>
  <c r="R87" i="1" s="1"/>
  <c r="S87" i="1" s="1"/>
  <c r="T87" i="1" s="1"/>
  <c r="Q86" i="1"/>
  <c r="R86" i="1" s="1"/>
  <c r="S86" i="1" s="1"/>
  <c r="T86" i="1" s="1"/>
  <c r="AG85" i="1"/>
  <c r="AC85" i="1"/>
  <c r="Q85" i="1"/>
  <c r="R85" i="1" s="1"/>
  <c r="S85" i="1" s="1"/>
  <c r="T85" i="1" s="1"/>
  <c r="Q84" i="1"/>
  <c r="R84" i="1" s="1"/>
  <c r="S84" i="1" s="1"/>
  <c r="T84" i="1" s="1"/>
  <c r="Q83" i="1"/>
  <c r="R83" i="1" s="1"/>
  <c r="S83" i="1" s="1"/>
  <c r="T83" i="1" s="1"/>
  <c r="Q82" i="1"/>
  <c r="R82" i="1" s="1"/>
  <c r="S82" i="1" s="1"/>
  <c r="T82" i="1" s="1"/>
  <c r="Q81" i="1"/>
  <c r="R81" i="1" s="1"/>
  <c r="S81" i="1" s="1"/>
  <c r="T81" i="1" s="1"/>
  <c r="AG81" i="1" s="1"/>
  <c r="Q80" i="1"/>
  <c r="R80" i="1" s="1"/>
  <c r="S80" i="1" s="1"/>
  <c r="T80" i="1" s="1"/>
  <c r="AL80" i="1" s="1"/>
  <c r="Q79" i="1"/>
  <c r="R79" i="1" s="1"/>
  <c r="S79" i="1" s="1"/>
  <c r="T79" i="1" s="1"/>
  <c r="Q78" i="1"/>
  <c r="R78" i="1" s="1"/>
  <c r="S78" i="1" s="1"/>
  <c r="T78" i="1" s="1"/>
  <c r="Q77" i="1"/>
  <c r="R77" i="1" s="1"/>
  <c r="S77" i="1" s="1"/>
  <c r="T77" i="1" s="1"/>
  <c r="AG77" i="1" s="1"/>
  <c r="Q76" i="1"/>
  <c r="R76" i="1" s="1"/>
  <c r="S76" i="1" s="1"/>
  <c r="T76" i="1" s="1"/>
  <c r="AH76" i="1" s="1"/>
  <c r="Q75" i="1"/>
  <c r="AX72" i="1"/>
  <c r="AV72" i="1"/>
  <c r="Y72" i="1"/>
  <c r="X72" i="1"/>
  <c r="W72" i="1"/>
  <c r="U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Q71" i="1"/>
  <c r="R71" i="1" s="1"/>
  <c r="S71" i="1" s="1"/>
  <c r="T71" i="1" s="1"/>
  <c r="Q70" i="1"/>
  <c r="R70" i="1" s="1"/>
  <c r="S70" i="1" s="1"/>
  <c r="T70" i="1" s="1"/>
  <c r="Q69" i="1"/>
  <c r="R69" i="1" s="1"/>
  <c r="S69" i="1" s="1"/>
  <c r="T69" i="1" s="1"/>
  <c r="Q68" i="1"/>
  <c r="R68" i="1" s="1"/>
  <c r="S68" i="1" s="1"/>
  <c r="T68" i="1" s="1"/>
  <c r="AH68" i="1" s="1"/>
  <c r="Q67" i="1"/>
  <c r="R67" i="1" s="1"/>
  <c r="S67" i="1" s="1"/>
  <c r="T67" i="1" s="1"/>
  <c r="Q66" i="1"/>
  <c r="R66" i="1" s="1"/>
  <c r="S66" i="1" s="1"/>
  <c r="T66" i="1" s="1"/>
  <c r="Q65" i="1"/>
  <c r="R65" i="1" s="1"/>
  <c r="S65" i="1" s="1"/>
  <c r="T65" i="1" s="1"/>
  <c r="Q64" i="1"/>
  <c r="R64" i="1" s="1"/>
  <c r="S64" i="1" s="1"/>
  <c r="T64" i="1" s="1"/>
  <c r="AH64" i="1" s="1"/>
  <c r="S63" i="1"/>
  <c r="T63" i="1" s="1"/>
  <c r="Q63" i="1"/>
  <c r="R63" i="1" s="1"/>
  <c r="Q62" i="1"/>
  <c r="R62" i="1" s="1"/>
  <c r="S62" i="1" s="1"/>
  <c r="T62" i="1" s="1"/>
  <c r="Q61" i="1"/>
  <c r="R61" i="1" s="1"/>
  <c r="S61" i="1" s="1"/>
  <c r="T61" i="1" s="1"/>
  <c r="Q60" i="1"/>
  <c r="R60" i="1" s="1"/>
  <c r="S60" i="1" s="1"/>
  <c r="T60" i="1" s="1"/>
  <c r="AH60" i="1" s="1"/>
  <c r="Q59" i="1"/>
  <c r="R59" i="1" s="1"/>
  <c r="S59" i="1" s="1"/>
  <c r="T59" i="1" s="1"/>
  <c r="Q58" i="1"/>
  <c r="R58" i="1" s="1"/>
  <c r="S58" i="1" s="1"/>
  <c r="T58" i="1" s="1"/>
  <c r="Q57" i="1"/>
  <c r="R57" i="1" s="1"/>
  <c r="S57" i="1" s="1"/>
  <c r="T57" i="1" s="1"/>
  <c r="R56" i="1"/>
  <c r="S56" i="1" s="1"/>
  <c r="T56" i="1" s="1"/>
  <c r="AH56" i="1" s="1"/>
  <c r="Q56" i="1"/>
  <c r="Q55" i="1"/>
  <c r="R55" i="1" s="1"/>
  <c r="S55" i="1" s="1"/>
  <c r="T55" i="1" s="1"/>
  <c r="Q54" i="1"/>
  <c r="R54" i="1" s="1"/>
  <c r="S54" i="1" s="1"/>
  <c r="T54" i="1" s="1"/>
  <c r="Q53" i="1"/>
  <c r="R53" i="1" s="1"/>
  <c r="S53" i="1" s="1"/>
  <c r="T53" i="1" s="1"/>
  <c r="Q52" i="1"/>
  <c r="R52" i="1" s="1"/>
  <c r="S52" i="1" s="1"/>
  <c r="T52" i="1" s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S47" i="1"/>
  <c r="T47" i="1" s="1"/>
  <c r="Q47" i="1"/>
  <c r="R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AX36" i="1"/>
  <c r="AV36" i="1"/>
  <c r="Y36" i="1"/>
  <c r="X36" i="1"/>
  <c r="W36" i="1"/>
  <c r="U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R28" i="1"/>
  <c r="S28" i="1" s="1"/>
  <c r="T28" i="1" s="1"/>
  <c r="Q28" i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R18" i="1"/>
  <c r="S18" i="1" s="1"/>
  <c r="T18" i="1" s="1"/>
  <c r="Q18" i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AX5" i="1"/>
  <c r="AV5" i="1"/>
  <c r="AT5" i="1"/>
  <c r="AS5" i="1"/>
  <c r="AN5" i="1"/>
  <c r="AN20" i="1" s="1"/>
  <c r="AB5" i="1"/>
  <c r="AN26" i="1" l="1"/>
  <c r="AD99" i="2"/>
  <c r="Q108" i="2"/>
  <c r="AI99" i="2"/>
  <c r="AJ99" i="2"/>
  <c r="N635" i="2"/>
  <c r="AL248" i="2"/>
  <c r="AG218" i="2"/>
  <c r="AE99" i="2"/>
  <c r="AE462" i="2"/>
  <c r="AH266" i="2"/>
  <c r="AJ213" i="2"/>
  <c r="AD462" i="2"/>
  <c r="AL462" i="2" s="1"/>
  <c r="AO462" i="2" s="1"/>
  <c r="AP462" i="2" s="1"/>
  <c r="AQ462" i="2" s="1"/>
  <c r="AR462" i="2" s="1"/>
  <c r="AS462" i="2" s="1"/>
  <c r="AK287" i="2"/>
  <c r="AE266" i="2"/>
  <c r="AG213" i="2"/>
  <c r="AJ266" i="2"/>
  <c r="AE213" i="2"/>
  <c r="AF462" i="2"/>
  <c r="AI462" i="2"/>
  <c r="AJ215" i="2"/>
  <c r="AD479" i="2"/>
  <c r="AB462" i="2"/>
  <c r="AC462" i="2"/>
  <c r="AK266" i="2"/>
  <c r="AK226" i="2"/>
  <c r="AL209" i="2"/>
  <c r="AJ218" i="2"/>
  <c r="AC99" i="2"/>
  <c r="AL99" i="2" s="1"/>
  <c r="AO99" i="2" s="1"/>
  <c r="AP99" i="2" s="1"/>
  <c r="AQ99" i="2" s="1"/>
  <c r="AR99" i="2" s="1"/>
  <c r="AS99" i="2" s="1"/>
  <c r="AH99" i="2"/>
  <c r="AE214" i="2"/>
  <c r="AG124" i="2"/>
  <c r="AK215" i="2"/>
  <c r="S475" i="2"/>
  <c r="AG479" i="2"/>
  <c r="AJ462" i="2"/>
  <c r="AG462" i="2"/>
  <c r="AJ287" i="2"/>
  <c r="AC266" i="2"/>
  <c r="AB213" i="2"/>
  <c r="AK99" i="2"/>
  <c r="AB99" i="2"/>
  <c r="AL83" i="2"/>
  <c r="AO83" i="2" s="1"/>
  <c r="AP83" i="2" s="1"/>
  <c r="AQ83" i="2" s="1"/>
  <c r="AR83" i="2" s="1"/>
  <c r="AS83" i="2" s="1"/>
  <c r="AL67" i="2"/>
  <c r="AL51" i="2"/>
  <c r="AF124" i="2"/>
  <c r="O635" i="2"/>
  <c r="R475" i="2"/>
  <c r="AC287" i="2"/>
  <c r="AE287" i="2"/>
  <c r="AF226" i="2"/>
  <c r="AD220" i="2"/>
  <c r="AJ216" i="2"/>
  <c r="AL105" i="2"/>
  <c r="AO105" i="2" s="1"/>
  <c r="AP105" i="2" s="1"/>
  <c r="AQ105" i="2" s="1"/>
  <c r="AR105" i="2" s="1"/>
  <c r="AS105" i="2" s="1"/>
  <c r="AL101" i="2"/>
  <c r="AO101" i="2" s="1"/>
  <c r="AP101" i="2" s="1"/>
  <c r="AQ101" i="2" s="1"/>
  <c r="AR101" i="2" s="1"/>
  <c r="AS101" i="2" s="1"/>
  <c r="AL97" i="2"/>
  <c r="AL89" i="2"/>
  <c r="AO89" i="2" s="1"/>
  <c r="AP89" i="2" s="1"/>
  <c r="AQ89" i="2" s="1"/>
  <c r="AR89" i="2" s="1"/>
  <c r="AS89" i="2" s="1"/>
  <c r="AL81" i="2"/>
  <c r="AO81" i="2" s="1"/>
  <c r="AP81" i="2" s="1"/>
  <c r="AQ81" i="2" s="1"/>
  <c r="AR81" i="2" s="1"/>
  <c r="AS81" i="2" s="1"/>
  <c r="AL65" i="2"/>
  <c r="AL61" i="2"/>
  <c r="AO61" i="2" s="1"/>
  <c r="AP61" i="2" s="1"/>
  <c r="AQ61" i="2" s="1"/>
  <c r="AR61" i="2" s="1"/>
  <c r="AS61" i="2" s="1"/>
  <c r="AL49" i="2"/>
  <c r="AO49" i="2" s="1"/>
  <c r="AP49" i="2" s="1"/>
  <c r="AQ49" i="2" s="1"/>
  <c r="AR49" i="2" s="1"/>
  <c r="AS49" i="2" s="1"/>
  <c r="AL45" i="2"/>
  <c r="AO45" i="2" s="1"/>
  <c r="AP45" i="2" s="1"/>
  <c r="AQ45" i="2" s="1"/>
  <c r="AR45" i="2" s="1"/>
  <c r="AS45" i="2" s="1"/>
  <c r="AE218" i="2"/>
  <c r="AE224" i="2"/>
  <c r="AD218" i="2"/>
  <c r="AJ214" i="2"/>
  <c r="AC124" i="2"/>
  <c r="AD124" i="2"/>
  <c r="AJ124" i="2"/>
  <c r="AG39" i="2"/>
  <c r="AL25" i="2"/>
  <c r="AO25" i="2" s="1"/>
  <c r="AP25" i="2" s="1"/>
  <c r="AQ25" i="2" s="1"/>
  <c r="AR25" i="2" s="1"/>
  <c r="AS25" i="2" s="1"/>
  <c r="AI39" i="2"/>
  <c r="C635" i="2"/>
  <c r="D635" i="2"/>
  <c r="AL473" i="2"/>
  <c r="AL382" i="2"/>
  <c r="AO382" i="2" s="1"/>
  <c r="AP382" i="2" s="1"/>
  <c r="AQ382" i="2" s="1"/>
  <c r="AR382" i="2" s="1"/>
  <c r="AS382" i="2" s="1"/>
  <c r="AH287" i="2"/>
  <c r="AI287" i="2"/>
  <c r="AE220" i="2"/>
  <c r="AI216" i="2"/>
  <c r="AH216" i="2"/>
  <c r="AF224" i="2"/>
  <c r="AE124" i="2"/>
  <c r="AH124" i="2"/>
  <c r="Q357" i="2"/>
  <c r="Q599" i="2"/>
  <c r="AF479" i="2"/>
  <c r="AK216" i="2"/>
  <c r="AL104" i="2"/>
  <c r="AO104" i="2" s="1"/>
  <c r="AP104" i="2" s="1"/>
  <c r="AQ104" i="2" s="1"/>
  <c r="AR104" i="2" s="1"/>
  <c r="AS104" i="2" s="1"/>
  <c r="AL100" i="2"/>
  <c r="AL92" i="2"/>
  <c r="AO92" i="2" s="1"/>
  <c r="AP92" i="2" s="1"/>
  <c r="AQ92" i="2" s="1"/>
  <c r="AR92" i="2" s="1"/>
  <c r="AS92" i="2" s="1"/>
  <c r="AL88" i="2"/>
  <c r="AO88" i="2" s="1"/>
  <c r="AP88" i="2" s="1"/>
  <c r="AQ88" i="2" s="1"/>
  <c r="AR88" i="2" s="1"/>
  <c r="AS88" i="2" s="1"/>
  <c r="AL84" i="2"/>
  <c r="AO84" i="2" s="1"/>
  <c r="AP84" i="2" s="1"/>
  <c r="AQ84" i="2" s="1"/>
  <c r="AR84" i="2" s="1"/>
  <c r="AS84" i="2" s="1"/>
  <c r="AL80" i="2"/>
  <c r="AL76" i="2"/>
  <c r="AO76" i="2" s="1"/>
  <c r="AP76" i="2" s="1"/>
  <c r="AQ76" i="2" s="1"/>
  <c r="AR76" i="2" s="1"/>
  <c r="AS76" i="2" s="1"/>
  <c r="AL68" i="2"/>
  <c r="AO68" i="2" s="1"/>
  <c r="AP68" i="2" s="1"/>
  <c r="AQ68" i="2" s="1"/>
  <c r="AR68" i="2" s="1"/>
  <c r="AS68" i="2" s="1"/>
  <c r="AL64" i="2"/>
  <c r="AO64" i="2" s="1"/>
  <c r="AP64" i="2" s="1"/>
  <c r="AQ64" i="2" s="1"/>
  <c r="AR64" i="2" s="1"/>
  <c r="AS64" i="2" s="1"/>
  <c r="AL60" i="2"/>
  <c r="AL56" i="2"/>
  <c r="AO56" i="2" s="1"/>
  <c r="AP56" i="2" s="1"/>
  <c r="AQ56" i="2" s="1"/>
  <c r="AR56" i="2" s="1"/>
  <c r="AS56" i="2" s="1"/>
  <c r="AL52" i="2"/>
  <c r="AO52" i="2" s="1"/>
  <c r="AP52" i="2" s="1"/>
  <c r="AQ52" i="2" s="1"/>
  <c r="AR52" i="2" s="1"/>
  <c r="AS52" i="2" s="1"/>
  <c r="AL48" i="2"/>
  <c r="AO48" i="2" s="1"/>
  <c r="AP48" i="2" s="1"/>
  <c r="AQ48" i="2" s="1"/>
  <c r="AR48" i="2" s="1"/>
  <c r="AS48" i="2" s="1"/>
  <c r="AL44" i="2"/>
  <c r="AL338" i="2"/>
  <c r="AO338" i="2" s="1"/>
  <c r="AP338" i="2" s="1"/>
  <c r="AQ338" i="2" s="1"/>
  <c r="AR338" i="2" s="1"/>
  <c r="AS338" i="2" s="1"/>
  <c r="AD224" i="2"/>
  <c r="AC214" i="2"/>
  <c r="AK124" i="2"/>
  <c r="AB124" i="2"/>
  <c r="AI222" i="2"/>
  <c r="AB39" i="2"/>
  <c r="Q311" i="2"/>
  <c r="K635" i="2"/>
  <c r="P581" i="2"/>
  <c r="J635" i="2"/>
  <c r="L635" i="2"/>
  <c r="E635" i="2"/>
  <c r="AG266" i="2"/>
  <c r="AD266" i="2"/>
  <c r="AI266" i="2"/>
  <c r="AL17" i="2"/>
  <c r="AO17" i="2" s="1"/>
  <c r="AP17" i="2" s="1"/>
  <c r="AQ17" i="2" s="1"/>
  <c r="AR17" i="2" s="1"/>
  <c r="AS17" i="2" s="1"/>
  <c r="AL79" i="2"/>
  <c r="AL208" i="2"/>
  <c r="AH215" i="2"/>
  <c r="AF215" i="2"/>
  <c r="AI215" i="2"/>
  <c r="AL332" i="2"/>
  <c r="AO332" i="2" s="1"/>
  <c r="AP332" i="2" s="1"/>
  <c r="AQ332" i="2" s="1"/>
  <c r="AR332" i="2" s="1"/>
  <c r="AS332" i="2" s="1"/>
  <c r="AL516" i="2"/>
  <c r="AE479" i="2"/>
  <c r="AL618" i="2"/>
  <c r="AO618" i="2" s="1"/>
  <c r="AP618" i="2" s="1"/>
  <c r="AQ618" i="2" s="1"/>
  <c r="AR618" i="2" s="1"/>
  <c r="AS618" i="2" s="1"/>
  <c r="AJ479" i="2"/>
  <c r="AL461" i="2"/>
  <c r="AO461" i="2" s="1"/>
  <c r="AP461" i="2" s="1"/>
  <c r="AQ461" i="2" s="1"/>
  <c r="AR461" i="2" s="1"/>
  <c r="AS461" i="2" s="1"/>
  <c r="AL372" i="2"/>
  <c r="AL367" i="2"/>
  <c r="AO367" i="2" s="1"/>
  <c r="AP367" i="2" s="1"/>
  <c r="AQ367" i="2" s="1"/>
  <c r="AR367" i="2" s="1"/>
  <c r="AS367" i="2" s="1"/>
  <c r="AL355" i="2"/>
  <c r="AO355" i="2" s="1"/>
  <c r="AP355" i="2" s="1"/>
  <c r="AQ355" i="2" s="1"/>
  <c r="AR355" i="2" s="1"/>
  <c r="AS355" i="2" s="1"/>
  <c r="AL343" i="2"/>
  <c r="AO343" i="2" s="1"/>
  <c r="AP343" i="2" s="1"/>
  <c r="AQ343" i="2" s="1"/>
  <c r="AR343" i="2" s="1"/>
  <c r="AS343" i="2" s="1"/>
  <c r="AL327" i="2"/>
  <c r="AO327" i="2" s="1"/>
  <c r="AP327" i="2" s="1"/>
  <c r="AQ327" i="2" s="1"/>
  <c r="AR327" i="2" s="1"/>
  <c r="AS327" i="2" s="1"/>
  <c r="AL240" i="2"/>
  <c r="AO240" i="2" s="1"/>
  <c r="AP240" i="2" s="1"/>
  <c r="AQ240" i="2" s="1"/>
  <c r="AR240" i="2" s="1"/>
  <c r="AS240" i="2" s="1"/>
  <c r="AL246" i="2"/>
  <c r="AO246" i="2" s="1"/>
  <c r="AP246" i="2" s="1"/>
  <c r="AQ246" i="2" s="1"/>
  <c r="AR246" i="2" s="1"/>
  <c r="AS246" i="2" s="1"/>
  <c r="AH213" i="2"/>
  <c r="AI213" i="2"/>
  <c r="AC213" i="2"/>
  <c r="AL154" i="2"/>
  <c r="AO154" i="2" s="1"/>
  <c r="AP154" i="2" s="1"/>
  <c r="AQ154" i="2" s="1"/>
  <c r="AR154" i="2" s="1"/>
  <c r="AS154" i="2" s="1"/>
  <c r="AL152" i="2"/>
  <c r="AG222" i="2"/>
  <c r="AC215" i="2"/>
  <c r="AG215" i="2"/>
  <c r="AL168" i="2"/>
  <c r="AD39" i="2"/>
  <c r="R227" i="2"/>
  <c r="S227" i="2" s="1"/>
  <c r="Q132" i="2"/>
  <c r="Q484" i="2"/>
  <c r="AD513" i="2"/>
  <c r="AL513" i="2" s="1"/>
  <c r="AB513" i="2"/>
  <c r="AJ513" i="2"/>
  <c r="AB479" i="2"/>
  <c r="AI479" i="2"/>
  <c r="AL540" i="2"/>
  <c r="AO540" i="2" s="1"/>
  <c r="AP540" i="2" s="1"/>
  <c r="AQ540" i="2" s="1"/>
  <c r="AR540" i="2" s="1"/>
  <c r="AS540" i="2" s="1"/>
  <c r="AL597" i="2"/>
  <c r="AO597" i="2" s="1"/>
  <c r="AP597" i="2" s="1"/>
  <c r="AQ597" i="2" s="1"/>
  <c r="AR597" i="2" s="1"/>
  <c r="AS597" i="2" s="1"/>
  <c r="AL511" i="2"/>
  <c r="AO511" i="2" s="1"/>
  <c r="AP511" i="2" s="1"/>
  <c r="AQ511" i="2" s="1"/>
  <c r="AR511" i="2" s="1"/>
  <c r="AS511" i="2" s="1"/>
  <c r="AL562" i="2"/>
  <c r="AO562" i="2" s="1"/>
  <c r="AP562" i="2" s="1"/>
  <c r="AQ562" i="2" s="1"/>
  <c r="AR562" i="2" s="1"/>
  <c r="AS562" i="2" s="1"/>
  <c r="AH479" i="2"/>
  <c r="AC479" i="2"/>
  <c r="AL300" i="2"/>
  <c r="AO300" i="2" s="1"/>
  <c r="AP300" i="2" s="1"/>
  <c r="AQ300" i="2" s="1"/>
  <c r="AR300" i="2" s="1"/>
  <c r="AS300" i="2" s="1"/>
  <c r="AL252" i="2"/>
  <c r="AO252" i="2" s="1"/>
  <c r="AP252" i="2" s="1"/>
  <c r="AQ252" i="2" s="1"/>
  <c r="AR252" i="2" s="1"/>
  <c r="AS252" i="2" s="1"/>
  <c r="AL256" i="2"/>
  <c r="AF213" i="2"/>
  <c r="AK213" i="2"/>
  <c r="AB215" i="2"/>
  <c r="AD215" i="2"/>
  <c r="G635" i="2"/>
  <c r="H635" i="2"/>
  <c r="F635" i="2"/>
  <c r="P551" i="2"/>
  <c r="AG287" i="2"/>
  <c r="AD287" i="2"/>
  <c r="AB287" i="2"/>
  <c r="AL571" i="2"/>
  <c r="AL560" i="2"/>
  <c r="AO560" i="2" s="1"/>
  <c r="AP560" i="2" s="1"/>
  <c r="AQ560" i="2" s="1"/>
  <c r="AR560" i="2" s="1"/>
  <c r="AS560" i="2" s="1"/>
  <c r="AL505" i="2"/>
  <c r="AL472" i="2"/>
  <c r="AL445" i="2"/>
  <c r="AO445" i="2" s="1"/>
  <c r="AP445" i="2" s="1"/>
  <c r="AQ445" i="2" s="1"/>
  <c r="AR445" i="2" s="1"/>
  <c r="AS445" i="2" s="1"/>
  <c r="AL356" i="2"/>
  <c r="AO356" i="2" s="1"/>
  <c r="AP356" i="2" s="1"/>
  <c r="AQ356" i="2" s="1"/>
  <c r="AR356" i="2" s="1"/>
  <c r="AS356" i="2" s="1"/>
  <c r="AL344" i="2"/>
  <c r="AO344" i="2" s="1"/>
  <c r="AP344" i="2" s="1"/>
  <c r="AQ344" i="2" s="1"/>
  <c r="AR344" i="2" s="1"/>
  <c r="AS344" i="2" s="1"/>
  <c r="AL340" i="2"/>
  <c r="AO340" i="2" s="1"/>
  <c r="AP340" i="2" s="1"/>
  <c r="AQ340" i="2" s="1"/>
  <c r="AR340" i="2" s="1"/>
  <c r="AS340" i="2" s="1"/>
  <c r="AL320" i="2"/>
  <c r="AO320" i="2" s="1"/>
  <c r="AP320" i="2" s="1"/>
  <c r="AQ320" i="2" s="1"/>
  <c r="AR320" i="2" s="1"/>
  <c r="AS320" i="2" s="1"/>
  <c r="AL308" i="2"/>
  <c r="AO308" i="2" s="1"/>
  <c r="AP308" i="2" s="1"/>
  <c r="AQ308" i="2" s="1"/>
  <c r="AR308" i="2" s="1"/>
  <c r="AS308" i="2" s="1"/>
  <c r="AL292" i="2"/>
  <c r="AO292" i="2" s="1"/>
  <c r="AP292" i="2" s="1"/>
  <c r="AQ292" i="2" s="1"/>
  <c r="AR292" i="2" s="1"/>
  <c r="AS292" i="2" s="1"/>
  <c r="AL335" i="2"/>
  <c r="AO335" i="2" s="1"/>
  <c r="AP335" i="2" s="1"/>
  <c r="AQ335" i="2" s="1"/>
  <c r="AR335" i="2" s="1"/>
  <c r="AS335" i="2" s="1"/>
  <c r="AL319" i="2"/>
  <c r="AO319" i="2" s="1"/>
  <c r="AP319" i="2" s="1"/>
  <c r="AQ319" i="2" s="1"/>
  <c r="AR319" i="2" s="1"/>
  <c r="AS319" i="2" s="1"/>
  <c r="AL251" i="2"/>
  <c r="AO251" i="2" s="1"/>
  <c r="AP251" i="2" s="1"/>
  <c r="AQ251" i="2" s="1"/>
  <c r="AR251" i="2" s="1"/>
  <c r="AS251" i="2" s="1"/>
  <c r="AL385" i="2"/>
  <c r="AO385" i="2" s="1"/>
  <c r="AP385" i="2" s="1"/>
  <c r="AQ385" i="2" s="1"/>
  <c r="AR385" i="2" s="1"/>
  <c r="AS385" i="2" s="1"/>
  <c r="AL306" i="2"/>
  <c r="AI226" i="2"/>
  <c r="AH226" i="2"/>
  <c r="AL188" i="2"/>
  <c r="AO188" i="2" s="1"/>
  <c r="AP188" i="2" s="1"/>
  <c r="AQ188" i="2" s="1"/>
  <c r="AR188" i="2" s="1"/>
  <c r="AS188" i="2" s="1"/>
  <c r="AC218" i="2"/>
  <c r="AB218" i="2"/>
  <c r="AO67" i="2"/>
  <c r="AP67" i="2" s="1"/>
  <c r="AQ67" i="2" s="1"/>
  <c r="AR67" i="2" s="1"/>
  <c r="AS67" i="2" s="1"/>
  <c r="AD214" i="2"/>
  <c r="AB214" i="2"/>
  <c r="AL142" i="2"/>
  <c r="AO142" i="2" s="1"/>
  <c r="AP142" i="2" s="1"/>
  <c r="AQ142" i="2" s="1"/>
  <c r="AR142" i="2" s="1"/>
  <c r="AS142" i="2" s="1"/>
  <c r="AL130" i="2"/>
  <c r="AO130" i="2" s="1"/>
  <c r="AP130" i="2" s="1"/>
  <c r="AQ130" i="2" s="1"/>
  <c r="AR130" i="2" s="1"/>
  <c r="AS130" i="2" s="1"/>
  <c r="AL128" i="2"/>
  <c r="AO128" i="2" s="1"/>
  <c r="AP128" i="2" s="1"/>
  <c r="AQ128" i="2" s="1"/>
  <c r="AR128" i="2" s="1"/>
  <c r="AS128" i="2" s="1"/>
  <c r="AL16" i="2"/>
  <c r="AO16" i="2" s="1"/>
  <c r="AP16" i="2" s="1"/>
  <c r="AQ16" i="2" s="1"/>
  <c r="AR16" i="2" s="1"/>
  <c r="AS16" i="2" s="1"/>
  <c r="AL14" i="2"/>
  <c r="AO14" i="2" s="1"/>
  <c r="AP14" i="2" s="1"/>
  <c r="AQ14" i="2" s="1"/>
  <c r="AR14" i="2" s="1"/>
  <c r="AS14" i="2" s="1"/>
  <c r="AL42" i="2"/>
  <c r="AL41" i="2"/>
  <c r="AO41" i="2" s="1"/>
  <c r="AP41" i="2" s="1"/>
  <c r="AQ41" i="2" s="1"/>
  <c r="AR41" i="2" s="1"/>
  <c r="AS41" i="2" s="1"/>
  <c r="AL28" i="2"/>
  <c r="AO28" i="2" s="1"/>
  <c r="AP28" i="2" s="1"/>
  <c r="AQ28" i="2" s="1"/>
  <c r="AR28" i="2" s="1"/>
  <c r="AS28" i="2" s="1"/>
  <c r="AL26" i="2"/>
  <c r="AO26" i="2" s="1"/>
  <c r="AP26" i="2" s="1"/>
  <c r="AQ26" i="2" s="1"/>
  <c r="AR26" i="2" s="1"/>
  <c r="AS26" i="2" s="1"/>
  <c r="AK222" i="2"/>
  <c r="AH222" i="2"/>
  <c r="R135" i="2"/>
  <c r="Q145" i="2"/>
  <c r="R74" i="2"/>
  <c r="Q93" i="2"/>
  <c r="S38" i="2"/>
  <c r="S71" i="2" s="1"/>
  <c r="R71" i="2"/>
  <c r="AK220" i="2"/>
  <c r="AC220" i="2"/>
  <c r="P260" i="2"/>
  <c r="R501" i="2"/>
  <c r="Q507" i="2"/>
  <c r="Q567" i="2"/>
  <c r="Q581" i="2" s="1"/>
  <c r="R556" i="2"/>
  <c r="P633" i="2"/>
  <c r="R274" i="2"/>
  <c r="Q282" i="2"/>
  <c r="AL628" i="2"/>
  <c r="AO628" i="2" s="1"/>
  <c r="AP628" i="2" s="1"/>
  <c r="AQ628" i="2" s="1"/>
  <c r="AR628" i="2" s="1"/>
  <c r="AS628" i="2" s="1"/>
  <c r="AJ631" i="2"/>
  <c r="AL529" i="2"/>
  <c r="AO529" i="2" s="1"/>
  <c r="AP529" i="2" s="1"/>
  <c r="AQ529" i="2" s="1"/>
  <c r="AR529" i="2" s="1"/>
  <c r="AS529" i="2" s="1"/>
  <c r="AL621" i="2"/>
  <c r="AO621" i="2" s="1"/>
  <c r="AP621" i="2" s="1"/>
  <c r="AQ621" i="2" s="1"/>
  <c r="AR621" i="2" s="1"/>
  <c r="AS621" i="2" s="1"/>
  <c r="AL574" i="2"/>
  <c r="AO574" i="2" s="1"/>
  <c r="AP574" i="2" s="1"/>
  <c r="AQ574" i="2" s="1"/>
  <c r="AR574" i="2" s="1"/>
  <c r="AS574" i="2" s="1"/>
  <c r="AL544" i="2"/>
  <c r="AO544" i="2" s="1"/>
  <c r="AP544" i="2" s="1"/>
  <c r="AQ544" i="2" s="1"/>
  <c r="AR544" i="2" s="1"/>
  <c r="AS544" i="2" s="1"/>
  <c r="AL623" i="2"/>
  <c r="AO623" i="2" s="1"/>
  <c r="AP623" i="2" s="1"/>
  <c r="AQ623" i="2" s="1"/>
  <c r="AR623" i="2" s="1"/>
  <c r="AS623" i="2" s="1"/>
  <c r="AL593" i="2"/>
  <c r="AL541" i="2"/>
  <c r="AO541" i="2" s="1"/>
  <c r="AP541" i="2" s="1"/>
  <c r="AQ541" i="2" s="1"/>
  <c r="AR541" i="2" s="1"/>
  <c r="AS541" i="2" s="1"/>
  <c r="AL530" i="2"/>
  <c r="AO530" i="2" s="1"/>
  <c r="AP530" i="2" s="1"/>
  <c r="AQ530" i="2" s="1"/>
  <c r="AR530" i="2" s="1"/>
  <c r="AS530" i="2" s="1"/>
  <c r="AL494" i="2"/>
  <c r="AO494" i="2" s="1"/>
  <c r="AP494" i="2" s="1"/>
  <c r="AQ494" i="2" s="1"/>
  <c r="AR494" i="2" s="1"/>
  <c r="AS494" i="2" s="1"/>
  <c r="AL542" i="2"/>
  <c r="AO542" i="2" s="1"/>
  <c r="AP542" i="2" s="1"/>
  <c r="AQ542" i="2" s="1"/>
  <c r="AR542" i="2" s="1"/>
  <c r="AS542" i="2" s="1"/>
  <c r="AL423" i="2"/>
  <c r="AO423" i="2" s="1"/>
  <c r="AP423" i="2" s="1"/>
  <c r="AQ423" i="2" s="1"/>
  <c r="AR423" i="2" s="1"/>
  <c r="AS423" i="2" s="1"/>
  <c r="AL515" i="2"/>
  <c r="AO515" i="2" s="1"/>
  <c r="AP515" i="2" s="1"/>
  <c r="AQ515" i="2" s="1"/>
  <c r="AR515" i="2" s="1"/>
  <c r="AS515" i="2" s="1"/>
  <c r="AL449" i="2"/>
  <c r="AO449" i="2" s="1"/>
  <c r="AP449" i="2" s="1"/>
  <c r="AQ449" i="2" s="1"/>
  <c r="AR449" i="2" s="1"/>
  <c r="AS449" i="2" s="1"/>
  <c r="AL447" i="2"/>
  <c r="AO447" i="2" s="1"/>
  <c r="AP447" i="2" s="1"/>
  <c r="AQ447" i="2" s="1"/>
  <c r="AR447" i="2" s="1"/>
  <c r="AS447" i="2" s="1"/>
  <c r="AL441" i="2"/>
  <c r="AO441" i="2" s="1"/>
  <c r="AP441" i="2" s="1"/>
  <c r="AQ441" i="2" s="1"/>
  <c r="AR441" i="2" s="1"/>
  <c r="AS441" i="2" s="1"/>
  <c r="AL439" i="2"/>
  <c r="AO439" i="2" s="1"/>
  <c r="AP439" i="2" s="1"/>
  <c r="AQ439" i="2" s="1"/>
  <c r="AR439" i="2" s="1"/>
  <c r="AS439" i="2" s="1"/>
  <c r="AL348" i="2"/>
  <c r="AO348" i="2" s="1"/>
  <c r="AP348" i="2" s="1"/>
  <c r="AQ348" i="2" s="1"/>
  <c r="AR348" i="2" s="1"/>
  <c r="AS348" i="2" s="1"/>
  <c r="AL328" i="2"/>
  <c r="AO328" i="2" s="1"/>
  <c r="AP328" i="2" s="1"/>
  <c r="AQ328" i="2" s="1"/>
  <c r="AR328" i="2" s="1"/>
  <c r="AS328" i="2" s="1"/>
  <c r="AL324" i="2"/>
  <c r="AO324" i="2" s="1"/>
  <c r="AP324" i="2" s="1"/>
  <c r="AQ324" i="2" s="1"/>
  <c r="AR324" i="2" s="1"/>
  <c r="AS324" i="2" s="1"/>
  <c r="AL296" i="2"/>
  <c r="AO296" i="2" s="1"/>
  <c r="AP296" i="2" s="1"/>
  <c r="AQ296" i="2" s="1"/>
  <c r="AR296" i="2" s="1"/>
  <c r="AS296" i="2" s="1"/>
  <c r="AL236" i="2"/>
  <c r="AO236" i="2" s="1"/>
  <c r="AP236" i="2" s="1"/>
  <c r="AQ236" i="2" s="1"/>
  <c r="AR236" i="2" s="1"/>
  <c r="AS236" i="2" s="1"/>
  <c r="AL232" i="2"/>
  <c r="AO232" i="2" s="1"/>
  <c r="AP232" i="2" s="1"/>
  <c r="AQ232" i="2" s="1"/>
  <c r="AR232" i="2" s="1"/>
  <c r="AS232" i="2" s="1"/>
  <c r="AL375" i="2"/>
  <c r="AO375" i="2" s="1"/>
  <c r="AP375" i="2" s="1"/>
  <c r="AQ375" i="2" s="1"/>
  <c r="AR375" i="2" s="1"/>
  <c r="AS375" i="2" s="1"/>
  <c r="AL406" i="2"/>
  <c r="AO406" i="2" s="1"/>
  <c r="AP406" i="2" s="1"/>
  <c r="AQ406" i="2" s="1"/>
  <c r="AR406" i="2" s="1"/>
  <c r="AS406" i="2" s="1"/>
  <c r="AC226" i="2"/>
  <c r="AB226" i="2"/>
  <c r="AG220" i="2"/>
  <c r="AJ220" i="2"/>
  <c r="AC216" i="2"/>
  <c r="AF216" i="2"/>
  <c r="AG224" i="2"/>
  <c r="AL201" i="2"/>
  <c r="AO201" i="2" s="1"/>
  <c r="AP201" i="2" s="1"/>
  <c r="AQ201" i="2" s="1"/>
  <c r="AR201" i="2" s="1"/>
  <c r="AS201" i="2" s="1"/>
  <c r="AI224" i="2"/>
  <c r="AB224" i="2"/>
  <c r="AH224" i="2"/>
  <c r="AK218" i="2"/>
  <c r="AF218" i="2"/>
  <c r="AL33" i="2"/>
  <c r="AO33" i="2" s="1"/>
  <c r="AP33" i="2" s="1"/>
  <c r="AQ33" i="2" s="1"/>
  <c r="AR33" i="2" s="1"/>
  <c r="AS33" i="2" s="1"/>
  <c r="AL20" i="2"/>
  <c r="AO20" i="2" s="1"/>
  <c r="AP20" i="2" s="1"/>
  <c r="AQ20" i="2" s="1"/>
  <c r="AR20" i="2" s="1"/>
  <c r="AS20" i="2" s="1"/>
  <c r="AG214" i="2"/>
  <c r="AH214" i="2"/>
  <c r="AF214" i="2"/>
  <c r="AL21" i="2"/>
  <c r="AO21" i="2" s="1"/>
  <c r="AP21" i="2" s="1"/>
  <c r="AQ21" i="2" s="1"/>
  <c r="AR21" i="2" s="1"/>
  <c r="AS21" i="2" s="1"/>
  <c r="AE222" i="2"/>
  <c r="AB222" i="2"/>
  <c r="AL103" i="2"/>
  <c r="AO103" i="2" s="1"/>
  <c r="AP103" i="2" s="1"/>
  <c r="AQ103" i="2" s="1"/>
  <c r="AR103" i="2" s="1"/>
  <c r="AS103" i="2" s="1"/>
  <c r="AC39" i="2"/>
  <c r="AH39" i="2"/>
  <c r="AU635" i="2"/>
  <c r="R245" i="2"/>
  <c r="Q258" i="2"/>
  <c r="Q260" i="2" s="1"/>
  <c r="S397" i="2"/>
  <c r="S401" i="2" s="1"/>
  <c r="R401" i="2"/>
  <c r="R419" i="2"/>
  <c r="Q429" i="2"/>
  <c r="Q455" i="2" s="1"/>
  <c r="R314" i="2"/>
  <c r="Q349" i="2"/>
  <c r="R537" i="2"/>
  <c r="Q549" i="2"/>
  <c r="Q35" i="2"/>
  <c r="R12" i="2"/>
  <c r="S121" i="2"/>
  <c r="S132" i="2" s="1"/>
  <c r="R132" i="2"/>
  <c r="S478" i="2"/>
  <c r="S484" i="2" s="1"/>
  <c r="R484" i="2"/>
  <c r="R599" i="2"/>
  <c r="S586" i="2"/>
  <c r="S599" i="2" s="1"/>
  <c r="AL489" i="2"/>
  <c r="AO489" i="2" s="1"/>
  <c r="AP489" i="2" s="1"/>
  <c r="AQ489" i="2" s="1"/>
  <c r="AR489" i="2" s="1"/>
  <c r="AS489" i="2" s="1"/>
  <c r="R117" i="2"/>
  <c r="S117" i="2"/>
  <c r="R108" i="2"/>
  <c r="S96" i="2"/>
  <c r="S108" i="2" s="1"/>
  <c r="R163" i="2"/>
  <c r="S148" i="2"/>
  <c r="R166" i="2"/>
  <c r="Q173" i="2"/>
  <c r="S176" i="2"/>
  <c r="S190" i="2" s="1"/>
  <c r="R190" i="2"/>
  <c r="S230" i="2"/>
  <c r="S242" i="2" s="1"/>
  <c r="R242" i="2"/>
  <c r="S510" i="2"/>
  <c r="S534" i="2" s="1"/>
  <c r="R534" i="2"/>
  <c r="S196" i="2"/>
  <c r="S210" i="2" s="1"/>
  <c r="R210" i="2"/>
  <c r="S265" i="2"/>
  <c r="S271" i="2" s="1"/>
  <c r="R271" i="2"/>
  <c r="AL616" i="2"/>
  <c r="AO616" i="2" s="1"/>
  <c r="AP616" i="2" s="1"/>
  <c r="AQ616" i="2" s="1"/>
  <c r="AR616" i="2" s="1"/>
  <c r="AS616" i="2" s="1"/>
  <c r="AL614" i="2"/>
  <c r="AO614" i="2" s="1"/>
  <c r="AP614" i="2" s="1"/>
  <c r="AQ614" i="2" s="1"/>
  <c r="AR614" i="2" s="1"/>
  <c r="AS614" i="2" s="1"/>
  <c r="AL609" i="2"/>
  <c r="AO609" i="2" s="1"/>
  <c r="AP609" i="2" s="1"/>
  <c r="AQ609" i="2" s="1"/>
  <c r="AR609" i="2" s="1"/>
  <c r="AS609" i="2" s="1"/>
  <c r="AL608" i="2"/>
  <c r="AO608" i="2" s="1"/>
  <c r="AP608" i="2" s="1"/>
  <c r="AQ608" i="2" s="1"/>
  <c r="AR608" i="2" s="1"/>
  <c r="AS608" i="2" s="1"/>
  <c r="AL596" i="2"/>
  <c r="AO596" i="2" s="1"/>
  <c r="AP596" i="2" s="1"/>
  <c r="AQ596" i="2" s="1"/>
  <c r="AR596" i="2" s="1"/>
  <c r="AS596" i="2" s="1"/>
  <c r="AL591" i="2"/>
  <c r="AO591" i="2" s="1"/>
  <c r="AL573" i="2"/>
  <c r="AO573" i="2" s="1"/>
  <c r="AP573" i="2" s="1"/>
  <c r="AQ573" i="2" s="1"/>
  <c r="AR573" i="2" s="1"/>
  <c r="AS573" i="2" s="1"/>
  <c r="AL617" i="2"/>
  <c r="AO617" i="2" s="1"/>
  <c r="AP617" i="2" s="1"/>
  <c r="AQ617" i="2" s="1"/>
  <c r="AR617" i="2" s="1"/>
  <c r="AS617" i="2" s="1"/>
  <c r="AL545" i="2"/>
  <c r="AO545" i="2" s="1"/>
  <c r="AP545" i="2" s="1"/>
  <c r="AQ545" i="2" s="1"/>
  <c r="AR545" i="2" s="1"/>
  <c r="AS545" i="2" s="1"/>
  <c r="AL595" i="2"/>
  <c r="AO595" i="2" s="1"/>
  <c r="AP595" i="2" s="1"/>
  <c r="AQ595" i="2" s="1"/>
  <c r="AR595" i="2" s="1"/>
  <c r="AS595" i="2" s="1"/>
  <c r="AL604" i="2"/>
  <c r="AO604" i="2" s="1"/>
  <c r="AP604" i="2" s="1"/>
  <c r="AQ604" i="2" s="1"/>
  <c r="AR604" i="2" s="1"/>
  <c r="AS604" i="2" s="1"/>
  <c r="AL481" i="2"/>
  <c r="AO481" i="2" s="1"/>
  <c r="AP481" i="2" s="1"/>
  <c r="AQ481" i="2" s="1"/>
  <c r="AR481" i="2" s="1"/>
  <c r="AS481" i="2" s="1"/>
  <c r="AL421" i="2"/>
  <c r="AO421" i="2" s="1"/>
  <c r="AP421" i="2" s="1"/>
  <c r="AQ421" i="2" s="1"/>
  <c r="AR421" i="2" s="1"/>
  <c r="AS421" i="2" s="1"/>
  <c r="AL390" i="2"/>
  <c r="AO390" i="2" s="1"/>
  <c r="AP390" i="2" s="1"/>
  <c r="AQ390" i="2" s="1"/>
  <c r="AR390" i="2" s="1"/>
  <c r="AS390" i="2" s="1"/>
  <c r="AL374" i="2"/>
  <c r="AO374" i="2" s="1"/>
  <c r="AP374" i="2" s="1"/>
  <c r="AQ374" i="2" s="1"/>
  <c r="AR374" i="2" s="1"/>
  <c r="AS374" i="2" s="1"/>
  <c r="AL451" i="2"/>
  <c r="AO451" i="2" s="1"/>
  <c r="AP451" i="2" s="1"/>
  <c r="AQ451" i="2" s="1"/>
  <c r="AR451" i="2" s="1"/>
  <c r="AS451" i="2" s="1"/>
  <c r="AL386" i="2"/>
  <c r="AO386" i="2" s="1"/>
  <c r="AP386" i="2" s="1"/>
  <c r="AQ386" i="2" s="1"/>
  <c r="AR386" i="2" s="1"/>
  <c r="AS386" i="2" s="1"/>
  <c r="AL368" i="2"/>
  <c r="AO368" i="2" s="1"/>
  <c r="AP368" i="2" s="1"/>
  <c r="AQ368" i="2" s="1"/>
  <c r="AR368" i="2" s="1"/>
  <c r="AS368" i="2" s="1"/>
  <c r="AL364" i="2"/>
  <c r="AO364" i="2" s="1"/>
  <c r="AP364" i="2" s="1"/>
  <c r="AQ364" i="2" s="1"/>
  <c r="AR364" i="2" s="1"/>
  <c r="AS364" i="2" s="1"/>
  <c r="AL336" i="2"/>
  <c r="AO336" i="2" s="1"/>
  <c r="AP336" i="2" s="1"/>
  <c r="AQ336" i="2" s="1"/>
  <c r="AR336" i="2" s="1"/>
  <c r="AS336" i="2" s="1"/>
  <c r="AL304" i="2"/>
  <c r="AO304" i="2" s="1"/>
  <c r="AP304" i="2" s="1"/>
  <c r="AQ304" i="2" s="1"/>
  <c r="AR304" i="2" s="1"/>
  <c r="AS304" i="2" s="1"/>
  <c r="AL288" i="2"/>
  <c r="AO288" i="2" s="1"/>
  <c r="AP288" i="2" s="1"/>
  <c r="AQ288" i="2" s="1"/>
  <c r="AR288" i="2" s="1"/>
  <c r="AS288" i="2" s="1"/>
  <c r="AL384" i="2"/>
  <c r="AO384" i="2" s="1"/>
  <c r="AP384" i="2" s="1"/>
  <c r="AQ384" i="2" s="1"/>
  <c r="AR384" i="2" s="1"/>
  <c r="AS384" i="2" s="1"/>
  <c r="AL303" i="2"/>
  <c r="AO303" i="2" s="1"/>
  <c r="AP303" i="2" s="1"/>
  <c r="AQ303" i="2" s="1"/>
  <c r="AR303" i="2" s="1"/>
  <c r="AS303" i="2" s="1"/>
  <c r="AL435" i="2"/>
  <c r="AO435" i="2" s="1"/>
  <c r="AP435" i="2" s="1"/>
  <c r="AQ435" i="2" s="1"/>
  <c r="AR435" i="2" s="1"/>
  <c r="AS435" i="2" s="1"/>
  <c r="AG226" i="2"/>
  <c r="AD226" i="2"/>
  <c r="AJ226" i="2"/>
  <c r="AB220" i="2"/>
  <c r="AH220" i="2"/>
  <c r="AE216" i="2"/>
  <c r="AD216" i="2"/>
  <c r="AL185" i="2"/>
  <c r="AO185" i="2" s="1"/>
  <c r="AP185" i="2" s="1"/>
  <c r="AQ185" i="2" s="1"/>
  <c r="AR185" i="2" s="1"/>
  <c r="AS185" i="2" s="1"/>
  <c r="AL85" i="2"/>
  <c r="AO85" i="2" s="1"/>
  <c r="AP85" i="2" s="1"/>
  <c r="AQ85" i="2" s="1"/>
  <c r="AR85" i="2" s="1"/>
  <c r="AS85" i="2" s="1"/>
  <c r="AL77" i="2"/>
  <c r="AO77" i="2" s="1"/>
  <c r="AP77" i="2" s="1"/>
  <c r="AQ77" i="2" s="1"/>
  <c r="AR77" i="2" s="1"/>
  <c r="AS77" i="2" s="1"/>
  <c r="AL69" i="2"/>
  <c r="AO69" i="2" s="1"/>
  <c r="AP69" i="2" s="1"/>
  <c r="AQ69" i="2" s="1"/>
  <c r="AR69" i="2" s="1"/>
  <c r="AS69" i="2" s="1"/>
  <c r="AL57" i="2"/>
  <c r="AO57" i="2" s="1"/>
  <c r="AP57" i="2" s="1"/>
  <c r="AQ57" i="2" s="1"/>
  <c r="AR57" i="2" s="1"/>
  <c r="AS57" i="2" s="1"/>
  <c r="AL53" i="2"/>
  <c r="AO53" i="2" s="1"/>
  <c r="AP53" i="2" s="1"/>
  <c r="AQ53" i="2" s="1"/>
  <c r="AR53" i="2" s="1"/>
  <c r="AS53" i="2" s="1"/>
  <c r="AL326" i="2"/>
  <c r="AO326" i="2" s="1"/>
  <c r="AP326" i="2" s="1"/>
  <c r="AQ326" i="2" s="1"/>
  <c r="AR326" i="2" s="1"/>
  <c r="AS326" i="2" s="1"/>
  <c r="AL392" i="2"/>
  <c r="AO392" i="2" s="1"/>
  <c r="AP392" i="2" s="1"/>
  <c r="AQ392" i="2" s="1"/>
  <c r="AR392" i="2" s="1"/>
  <c r="AS392" i="2" s="1"/>
  <c r="AL184" i="2"/>
  <c r="AO184" i="2" s="1"/>
  <c r="AP184" i="2" s="1"/>
  <c r="AQ184" i="2" s="1"/>
  <c r="AR184" i="2" s="1"/>
  <c r="AS184" i="2" s="1"/>
  <c r="AK224" i="2"/>
  <c r="AI218" i="2"/>
  <c r="AL167" i="2"/>
  <c r="AO167" i="2" s="1"/>
  <c r="AP167" i="2" s="1"/>
  <c r="AQ167" i="2" s="1"/>
  <c r="AR167" i="2" s="1"/>
  <c r="AS167" i="2" s="1"/>
  <c r="AL29" i="2"/>
  <c r="AO29" i="2" s="1"/>
  <c r="AP29" i="2" s="1"/>
  <c r="AQ29" i="2" s="1"/>
  <c r="AR29" i="2" s="1"/>
  <c r="AS29" i="2" s="1"/>
  <c r="AL19" i="2"/>
  <c r="AO19" i="2" s="1"/>
  <c r="AP19" i="2" s="1"/>
  <c r="AQ19" i="2" s="1"/>
  <c r="AR19" i="2" s="1"/>
  <c r="AS19" i="2" s="1"/>
  <c r="AL13" i="2"/>
  <c r="AO13" i="2" s="1"/>
  <c r="AP13" i="2" s="1"/>
  <c r="AQ13" i="2" s="1"/>
  <c r="AR13" i="2" s="1"/>
  <c r="AS13" i="2" s="1"/>
  <c r="AK214" i="2"/>
  <c r="AL63" i="2"/>
  <c r="AO63" i="2" s="1"/>
  <c r="AP63" i="2" s="1"/>
  <c r="AQ63" i="2" s="1"/>
  <c r="AR63" i="2" s="1"/>
  <c r="AS63" i="2" s="1"/>
  <c r="AL32" i="2"/>
  <c r="AO32" i="2" s="1"/>
  <c r="AP32" i="2" s="1"/>
  <c r="AQ32" i="2" s="1"/>
  <c r="AR32" i="2" s="1"/>
  <c r="AS32" i="2" s="1"/>
  <c r="AL30" i="2"/>
  <c r="AO30" i="2" s="1"/>
  <c r="AP30" i="2" s="1"/>
  <c r="AQ30" i="2" s="1"/>
  <c r="AR30" i="2" s="1"/>
  <c r="AS30" i="2" s="1"/>
  <c r="AL107" i="2"/>
  <c r="AO107" i="2" s="1"/>
  <c r="AP107" i="2" s="1"/>
  <c r="AQ107" i="2" s="1"/>
  <c r="AR107" i="2" s="1"/>
  <c r="AS107" i="2" s="1"/>
  <c r="AC222" i="2"/>
  <c r="AD222" i="2"/>
  <c r="AE39" i="2"/>
  <c r="Q111" i="2"/>
  <c r="P118" i="2"/>
  <c r="P192" i="2" s="1"/>
  <c r="Q71" i="2"/>
  <c r="S285" i="2"/>
  <c r="S311" i="2" s="1"/>
  <c r="R311" i="2"/>
  <c r="Q413" i="2"/>
  <c r="R404" i="2"/>
  <c r="R453" i="2"/>
  <c r="S432" i="2"/>
  <c r="S453" i="2" s="1"/>
  <c r="R360" i="2"/>
  <c r="Q394" i="2"/>
  <c r="Q631" i="2"/>
  <c r="Q633" i="2" s="1"/>
  <c r="R579" i="2"/>
  <c r="S570" i="2"/>
  <c r="S579" i="2" s="1"/>
  <c r="S352" i="2"/>
  <c r="S357" i="2" s="1"/>
  <c r="R357" i="2"/>
  <c r="P415" i="2"/>
  <c r="R487" i="2"/>
  <c r="Q498" i="2"/>
  <c r="AO100" i="2"/>
  <c r="AP100" i="2" s="1"/>
  <c r="AQ100" i="2" s="1"/>
  <c r="AR100" i="2" s="1"/>
  <c r="AS100" i="2" s="1"/>
  <c r="AO80" i="2"/>
  <c r="AP80" i="2" s="1"/>
  <c r="AQ80" i="2" s="1"/>
  <c r="AR80" i="2" s="1"/>
  <c r="AS80" i="2" s="1"/>
  <c r="AO60" i="2"/>
  <c r="AP60" i="2" s="1"/>
  <c r="AQ60" i="2" s="1"/>
  <c r="AR60" i="2" s="1"/>
  <c r="AS60" i="2" s="1"/>
  <c r="AO44" i="2"/>
  <c r="AP44" i="2" s="1"/>
  <c r="AQ44" i="2" s="1"/>
  <c r="AR44" i="2" s="1"/>
  <c r="AS44" i="2" s="1"/>
  <c r="AL626" i="2"/>
  <c r="AO626" i="2" s="1"/>
  <c r="AP626" i="2" s="1"/>
  <c r="AQ626" i="2" s="1"/>
  <c r="AR626" i="2" s="1"/>
  <c r="AS626" i="2" s="1"/>
  <c r="AL603" i="2"/>
  <c r="AO603" i="2" s="1"/>
  <c r="AP603" i="2" s="1"/>
  <c r="AQ603" i="2" s="1"/>
  <c r="AR603" i="2" s="1"/>
  <c r="AS603" i="2" s="1"/>
  <c r="AL587" i="2"/>
  <c r="AO587" i="2" s="1"/>
  <c r="AP587" i="2" s="1"/>
  <c r="AQ587" i="2" s="1"/>
  <c r="AR587" i="2" s="1"/>
  <c r="AS587" i="2" s="1"/>
  <c r="AO593" i="2"/>
  <c r="AP593" i="2" s="1"/>
  <c r="AQ593" i="2" s="1"/>
  <c r="AR593" i="2" s="1"/>
  <c r="AS593" i="2" s="1"/>
  <c r="AL627" i="2"/>
  <c r="AO627" i="2" s="1"/>
  <c r="AP627" i="2" s="1"/>
  <c r="AQ627" i="2" s="1"/>
  <c r="AR627" i="2" s="1"/>
  <c r="AS627" i="2" s="1"/>
  <c r="AB631" i="2"/>
  <c r="AG631" i="2"/>
  <c r="AL502" i="2"/>
  <c r="AO502" i="2" s="1"/>
  <c r="AP502" i="2" s="1"/>
  <c r="AQ502" i="2" s="1"/>
  <c r="AR502" i="2" s="1"/>
  <c r="AS502" i="2" s="1"/>
  <c r="AL468" i="2"/>
  <c r="AO468" i="2" s="1"/>
  <c r="AP468" i="2" s="1"/>
  <c r="AQ468" i="2" s="1"/>
  <c r="AR468" i="2" s="1"/>
  <c r="AS468" i="2" s="1"/>
  <c r="AL622" i="2"/>
  <c r="AO622" i="2" s="1"/>
  <c r="AP622" i="2" s="1"/>
  <c r="AQ622" i="2" s="1"/>
  <c r="AR622" i="2" s="1"/>
  <c r="AS622" i="2" s="1"/>
  <c r="AL606" i="2"/>
  <c r="AO606" i="2" s="1"/>
  <c r="AP606" i="2" s="1"/>
  <c r="AQ606" i="2" s="1"/>
  <c r="AR606" i="2" s="1"/>
  <c r="AS606" i="2" s="1"/>
  <c r="AO505" i="2"/>
  <c r="AP505" i="2" s="1"/>
  <c r="AQ505" i="2" s="1"/>
  <c r="AR505" i="2" s="1"/>
  <c r="AS505" i="2" s="1"/>
  <c r="AL497" i="2"/>
  <c r="AO497" i="2" s="1"/>
  <c r="AP497" i="2" s="1"/>
  <c r="AQ497" i="2" s="1"/>
  <c r="AR497" i="2" s="1"/>
  <c r="AS497" i="2" s="1"/>
  <c r="AL491" i="2"/>
  <c r="AO491" i="2" s="1"/>
  <c r="AP491" i="2" s="1"/>
  <c r="AQ491" i="2" s="1"/>
  <c r="AR491" i="2" s="1"/>
  <c r="AS491" i="2" s="1"/>
  <c r="AL420" i="2"/>
  <c r="AO420" i="2" s="1"/>
  <c r="AP420" i="2" s="1"/>
  <c r="AQ420" i="2" s="1"/>
  <c r="AR420" i="2" s="1"/>
  <c r="AS420" i="2" s="1"/>
  <c r="AL482" i="2"/>
  <c r="AO482" i="2" s="1"/>
  <c r="AP482" i="2" s="1"/>
  <c r="AQ482" i="2" s="1"/>
  <c r="AR482" i="2" s="1"/>
  <c r="AS482" i="2" s="1"/>
  <c r="AL452" i="2"/>
  <c r="AO452" i="2" s="1"/>
  <c r="AP452" i="2" s="1"/>
  <c r="AQ452" i="2" s="1"/>
  <c r="AR452" i="2" s="1"/>
  <c r="AS452" i="2" s="1"/>
  <c r="AL444" i="2"/>
  <c r="AO444" i="2" s="1"/>
  <c r="AP444" i="2" s="1"/>
  <c r="AQ444" i="2" s="1"/>
  <c r="AR444" i="2" s="1"/>
  <c r="AS444" i="2" s="1"/>
  <c r="AL316" i="2"/>
  <c r="AO316" i="2" s="1"/>
  <c r="AP316" i="2" s="1"/>
  <c r="AQ316" i="2" s="1"/>
  <c r="AR316" i="2" s="1"/>
  <c r="AS316" i="2" s="1"/>
  <c r="AL506" i="2"/>
  <c r="AO506" i="2" s="1"/>
  <c r="AP506" i="2" s="1"/>
  <c r="AQ506" i="2" s="1"/>
  <c r="AR506" i="2" s="1"/>
  <c r="AS506" i="2" s="1"/>
  <c r="AL490" i="2"/>
  <c r="AO490" i="2" s="1"/>
  <c r="AP490" i="2" s="1"/>
  <c r="AQ490" i="2" s="1"/>
  <c r="AR490" i="2" s="1"/>
  <c r="AS490" i="2" s="1"/>
  <c r="AL448" i="2"/>
  <c r="AO448" i="2" s="1"/>
  <c r="AP448" i="2" s="1"/>
  <c r="AQ448" i="2" s="1"/>
  <c r="AR448" i="2" s="1"/>
  <c r="AS448" i="2" s="1"/>
  <c r="AL411" i="2"/>
  <c r="AO411" i="2" s="1"/>
  <c r="AP411" i="2" s="1"/>
  <c r="AQ411" i="2" s="1"/>
  <c r="AR411" i="2" s="1"/>
  <c r="AS411" i="2" s="1"/>
  <c r="AL381" i="2"/>
  <c r="AO381" i="2" s="1"/>
  <c r="AP381" i="2" s="1"/>
  <c r="AQ381" i="2" s="1"/>
  <c r="AR381" i="2" s="1"/>
  <c r="AS381" i="2" s="1"/>
  <c r="AL239" i="2"/>
  <c r="AO239" i="2" s="1"/>
  <c r="AP239" i="2" s="1"/>
  <c r="AQ239" i="2" s="1"/>
  <c r="AR239" i="2" s="1"/>
  <c r="AS239" i="2" s="1"/>
  <c r="AL426" i="2"/>
  <c r="AO426" i="2" s="1"/>
  <c r="AP426" i="2" s="1"/>
  <c r="AQ426" i="2" s="1"/>
  <c r="AR426" i="2" s="1"/>
  <c r="AS426" i="2" s="1"/>
  <c r="AO256" i="2"/>
  <c r="AP256" i="2" s="1"/>
  <c r="AQ256" i="2" s="1"/>
  <c r="AR256" i="2" s="1"/>
  <c r="AS256" i="2" s="1"/>
  <c r="AK221" i="2"/>
  <c r="AG221" i="2"/>
  <c r="AC221" i="2"/>
  <c r="AI221" i="2"/>
  <c r="AE221" i="2"/>
  <c r="AH221" i="2"/>
  <c r="AF221" i="2"/>
  <c r="AD221" i="2"/>
  <c r="AJ221" i="2"/>
  <c r="AB221" i="2"/>
  <c r="AL409" i="2"/>
  <c r="AO409" i="2" s="1"/>
  <c r="AP409" i="2" s="1"/>
  <c r="AQ409" i="2" s="1"/>
  <c r="AR409" i="2" s="1"/>
  <c r="AS409" i="2" s="1"/>
  <c r="AL345" i="2"/>
  <c r="AO345" i="2" s="1"/>
  <c r="AP345" i="2" s="1"/>
  <c r="AQ345" i="2" s="1"/>
  <c r="AR345" i="2" s="1"/>
  <c r="AS345" i="2" s="1"/>
  <c r="AL334" i="2"/>
  <c r="AO334" i="2" s="1"/>
  <c r="AP334" i="2" s="1"/>
  <c r="AQ334" i="2" s="1"/>
  <c r="AR334" i="2" s="1"/>
  <c r="AS334" i="2" s="1"/>
  <c r="AL281" i="2"/>
  <c r="AO281" i="2" s="1"/>
  <c r="AP281" i="2" s="1"/>
  <c r="AQ281" i="2" s="1"/>
  <c r="AR281" i="2" s="1"/>
  <c r="AS281" i="2" s="1"/>
  <c r="AK112" i="2"/>
  <c r="AG112" i="2"/>
  <c r="AC112" i="2"/>
  <c r="AI112" i="2"/>
  <c r="AE112" i="2"/>
  <c r="AH112" i="2"/>
  <c r="AF112" i="2"/>
  <c r="AD112" i="2"/>
  <c r="AJ112" i="2"/>
  <c r="AB112" i="2"/>
  <c r="AI113" i="2"/>
  <c r="AE113" i="2"/>
  <c r="AK113" i="2"/>
  <c r="AG113" i="2"/>
  <c r="AC113" i="2"/>
  <c r="AJ113" i="2"/>
  <c r="AB113" i="2"/>
  <c r="AF113" i="2"/>
  <c r="AH113" i="2"/>
  <c r="AD113" i="2"/>
  <c r="AO97" i="2"/>
  <c r="AP97" i="2" s="1"/>
  <c r="AQ97" i="2" s="1"/>
  <c r="AR97" i="2" s="1"/>
  <c r="AS97" i="2" s="1"/>
  <c r="AO65" i="2"/>
  <c r="AP65" i="2" s="1"/>
  <c r="AQ65" i="2" s="1"/>
  <c r="AR65" i="2" s="1"/>
  <c r="AS65" i="2" s="1"/>
  <c r="AL407" i="2"/>
  <c r="AL277" i="2"/>
  <c r="AO277" i="2" s="1"/>
  <c r="AP277" i="2" s="1"/>
  <c r="AQ277" i="2" s="1"/>
  <c r="AR277" i="2" s="1"/>
  <c r="AS277" i="2" s="1"/>
  <c r="AL365" i="2"/>
  <c r="AO365" i="2" s="1"/>
  <c r="AP365" i="2" s="1"/>
  <c r="AQ365" i="2" s="1"/>
  <c r="AR365" i="2" s="1"/>
  <c r="AS365" i="2" s="1"/>
  <c r="AL310" i="2"/>
  <c r="AO310" i="2" s="1"/>
  <c r="AP310" i="2" s="1"/>
  <c r="AQ310" i="2" s="1"/>
  <c r="AR310" i="2" s="1"/>
  <c r="AS310" i="2" s="1"/>
  <c r="AL346" i="2"/>
  <c r="AO346" i="2" s="1"/>
  <c r="AP346" i="2" s="1"/>
  <c r="AQ346" i="2" s="1"/>
  <c r="AR346" i="2" s="1"/>
  <c r="AS346" i="2" s="1"/>
  <c r="AL341" i="2"/>
  <c r="AO341" i="2" s="1"/>
  <c r="AP341" i="2" s="1"/>
  <c r="AQ341" i="2" s="1"/>
  <c r="AR341" i="2" s="1"/>
  <c r="AS341" i="2" s="1"/>
  <c r="AL325" i="2"/>
  <c r="AO325" i="2" s="1"/>
  <c r="AP325" i="2" s="1"/>
  <c r="AQ325" i="2" s="1"/>
  <c r="AR325" i="2" s="1"/>
  <c r="AS325" i="2" s="1"/>
  <c r="AL233" i="2"/>
  <c r="AO233" i="2" s="1"/>
  <c r="AP233" i="2" s="1"/>
  <c r="AQ233" i="2" s="1"/>
  <c r="AR233" i="2" s="1"/>
  <c r="AS233" i="2" s="1"/>
  <c r="AO209" i="2"/>
  <c r="AP209" i="2" s="1"/>
  <c r="AQ209" i="2" s="1"/>
  <c r="AR209" i="2" s="1"/>
  <c r="AS209" i="2" s="1"/>
  <c r="AL342" i="2"/>
  <c r="AO342" i="2" s="1"/>
  <c r="AP342" i="2" s="1"/>
  <c r="AQ342" i="2" s="1"/>
  <c r="AR342" i="2" s="1"/>
  <c r="AS342" i="2" s="1"/>
  <c r="AL321" i="2"/>
  <c r="AO321" i="2" s="1"/>
  <c r="AP321" i="2" s="1"/>
  <c r="AQ321" i="2" s="1"/>
  <c r="AR321" i="2" s="1"/>
  <c r="AS321" i="2" s="1"/>
  <c r="AL424" i="2"/>
  <c r="AO424" i="2" s="1"/>
  <c r="AP424" i="2" s="1"/>
  <c r="AQ424" i="2" s="1"/>
  <c r="AR424" i="2" s="1"/>
  <c r="AS424" i="2" s="1"/>
  <c r="AL241" i="2"/>
  <c r="AO241" i="2" s="1"/>
  <c r="AP241" i="2" s="1"/>
  <c r="AQ241" i="2" s="1"/>
  <c r="AR241" i="2" s="1"/>
  <c r="AS241" i="2" s="1"/>
  <c r="AO152" i="2"/>
  <c r="AP152" i="2" s="1"/>
  <c r="AQ152" i="2" s="1"/>
  <c r="AR152" i="2" s="1"/>
  <c r="AS152" i="2" s="1"/>
  <c r="AG196" i="2"/>
  <c r="AG210" i="2" s="1"/>
  <c r="AB196" i="2"/>
  <c r="AL151" i="2"/>
  <c r="AO151" i="2" s="1"/>
  <c r="AP151" i="2" s="1"/>
  <c r="AQ151" i="2" s="1"/>
  <c r="AR151" i="2" s="1"/>
  <c r="AS151" i="2" s="1"/>
  <c r="AL149" i="2"/>
  <c r="AO149" i="2" s="1"/>
  <c r="AP149" i="2" s="1"/>
  <c r="AQ149" i="2" s="1"/>
  <c r="AR149" i="2" s="1"/>
  <c r="AS149" i="2" s="1"/>
  <c r="AL78" i="2"/>
  <c r="AO78" i="2" s="1"/>
  <c r="AP78" i="2" s="1"/>
  <c r="AQ78" i="2" s="1"/>
  <c r="AR78" i="2" s="1"/>
  <c r="AS78" i="2" s="1"/>
  <c r="AL15" i="2"/>
  <c r="AO15" i="2" s="1"/>
  <c r="AP15" i="2" s="1"/>
  <c r="AQ15" i="2" s="1"/>
  <c r="AR15" i="2" s="1"/>
  <c r="AS15" i="2" s="1"/>
  <c r="AL181" i="2"/>
  <c r="AO181" i="2" s="1"/>
  <c r="AP181" i="2" s="1"/>
  <c r="AQ181" i="2" s="1"/>
  <c r="AR181" i="2" s="1"/>
  <c r="AS181" i="2" s="1"/>
  <c r="AL199" i="2"/>
  <c r="AO199" i="2" s="1"/>
  <c r="AP199" i="2" s="1"/>
  <c r="AQ199" i="2" s="1"/>
  <c r="AR199" i="2" s="1"/>
  <c r="AS199" i="2" s="1"/>
  <c r="AL170" i="2"/>
  <c r="AO170" i="2" s="1"/>
  <c r="AP170" i="2" s="1"/>
  <c r="AQ170" i="2" s="1"/>
  <c r="AR170" i="2" s="1"/>
  <c r="AS170" i="2" s="1"/>
  <c r="AL159" i="2"/>
  <c r="AL157" i="2"/>
  <c r="AO157" i="2" s="1"/>
  <c r="AP157" i="2" s="1"/>
  <c r="AQ157" i="2" s="1"/>
  <c r="AR157" i="2" s="1"/>
  <c r="AS157" i="2" s="1"/>
  <c r="AL123" i="2"/>
  <c r="AO123" i="2" s="1"/>
  <c r="AP123" i="2" s="1"/>
  <c r="AQ123" i="2" s="1"/>
  <c r="AR123" i="2" s="1"/>
  <c r="AS123" i="2" s="1"/>
  <c r="AL55" i="2"/>
  <c r="AL23" i="2"/>
  <c r="AO23" i="2" s="1"/>
  <c r="AP23" i="2" s="1"/>
  <c r="AQ23" i="2" s="1"/>
  <c r="AR23" i="2" s="1"/>
  <c r="AS23" i="2" s="1"/>
  <c r="AL592" i="2"/>
  <c r="AO592" i="2" s="1"/>
  <c r="AL548" i="2"/>
  <c r="AO548" i="2" s="1"/>
  <c r="AP548" i="2" s="1"/>
  <c r="AQ548" i="2" s="1"/>
  <c r="AR548" i="2" s="1"/>
  <c r="AS548" i="2" s="1"/>
  <c r="AL546" i="2"/>
  <c r="AO546" i="2" s="1"/>
  <c r="AP546" i="2" s="1"/>
  <c r="AQ546" i="2" s="1"/>
  <c r="AR546" i="2" s="1"/>
  <c r="AS546" i="2" s="1"/>
  <c r="AL525" i="2"/>
  <c r="AO525" i="2" s="1"/>
  <c r="AP525" i="2" s="1"/>
  <c r="AQ525" i="2" s="1"/>
  <c r="AR525" i="2" s="1"/>
  <c r="AS525" i="2" s="1"/>
  <c r="AL578" i="2"/>
  <c r="AO578" i="2" s="1"/>
  <c r="AP578" i="2" s="1"/>
  <c r="AQ578" i="2" s="1"/>
  <c r="AR578" i="2" s="1"/>
  <c r="AS578" i="2" s="1"/>
  <c r="AL588" i="2"/>
  <c r="AO588" i="2" s="1"/>
  <c r="AP588" i="2" s="1"/>
  <c r="AQ588" i="2" s="1"/>
  <c r="AR588" i="2" s="1"/>
  <c r="AS588" i="2" s="1"/>
  <c r="AL572" i="2"/>
  <c r="AO572" i="2" s="1"/>
  <c r="AP572" i="2" s="1"/>
  <c r="AQ572" i="2" s="1"/>
  <c r="AR572" i="2" s="1"/>
  <c r="AS572" i="2" s="1"/>
  <c r="AL613" i="2"/>
  <c r="AO613" i="2" s="1"/>
  <c r="AP613" i="2" s="1"/>
  <c r="AQ613" i="2" s="1"/>
  <c r="AR613" i="2" s="1"/>
  <c r="AS613" i="2" s="1"/>
  <c r="AL594" i="2"/>
  <c r="AO594" i="2" s="1"/>
  <c r="AP594" i="2" s="1"/>
  <c r="AQ594" i="2" s="1"/>
  <c r="AR594" i="2" s="1"/>
  <c r="AS594" i="2" s="1"/>
  <c r="AL575" i="2"/>
  <c r="AO575" i="2" s="1"/>
  <c r="AP575" i="2" s="1"/>
  <c r="AQ575" i="2" s="1"/>
  <c r="AR575" i="2" s="1"/>
  <c r="AS575" i="2" s="1"/>
  <c r="AL565" i="2"/>
  <c r="AO565" i="2" s="1"/>
  <c r="AP565" i="2" s="1"/>
  <c r="AQ565" i="2" s="1"/>
  <c r="AR565" i="2" s="1"/>
  <c r="AS565" i="2" s="1"/>
  <c r="AL624" i="2"/>
  <c r="AO624" i="2" s="1"/>
  <c r="AP624" i="2" s="1"/>
  <c r="AQ624" i="2" s="1"/>
  <c r="AR624" i="2" s="1"/>
  <c r="AS624" i="2" s="1"/>
  <c r="AL620" i="2"/>
  <c r="AO620" i="2" s="1"/>
  <c r="AP620" i="2" s="1"/>
  <c r="AQ620" i="2" s="1"/>
  <c r="AR620" i="2" s="1"/>
  <c r="AS620" i="2" s="1"/>
  <c r="AL524" i="2"/>
  <c r="AO524" i="2" s="1"/>
  <c r="AP524" i="2" s="1"/>
  <c r="AQ524" i="2" s="1"/>
  <c r="AR524" i="2" s="1"/>
  <c r="AS524" i="2" s="1"/>
  <c r="AF631" i="2"/>
  <c r="AK631" i="2"/>
  <c r="AL532" i="2"/>
  <c r="AO532" i="2" s="1"/>
  <c r="AP532" i="2" s="1"/>
  <c r="AQ532" i="2" s="1"/>
  <c r="AR532" i="2" s="1"/>
  <c r="AS532" i="2" s="1"/>
  <c r="AL522" i="2"/>
  <c r="AO522" i="2" s="1"/>
  <c r="AP522" i="2" s="1"/>
  <c r="AQ522" i="2" s="1"/>
  <c r="AR522" i="2" s="1"/>
  <c r="AS522" i="2" s="1"/>
  <c r="AL527" i="2"/>
  <c r="AO527" i="2" s="1"/>
  <c r="AP527" i="2" s="1"/>
  <c r="AQ527" i="2" s="1"/>
  <c r="AR527" i="2" s="1"/>
  <c r="AS527" i="2" s="1"/>
  <c r="AL480" i="2"/>
  <c r="AO480" i="2" s="1"/>
  <c r="AP480" i="2" s="1"/>
  <c r="AQ480" i="2" s="1"/>
  <c r="AR480" i="2" s="1"/>
  <c r="AS480" i="2" s="1"/>
  <c r="AL566" i="2"/>
  <c r="AO566" i="2" s="1"/>
  <c r="AP566" i="2" s="1"/>
  <c r="AQ566" i="2" s="1"/>
  <c r="AR566" i="2" s="1"/>
  <c r="AS566" i="2" s="1"/>
  <c r="AL563" i="2"/>
  <c r="AO563" i="2" s="1"/>
  <c r="AP563" i="2" s="1"/>
  <c r="AQ563" i="2" s="1"/>
  <c r="AR563" i="2" s="1"/>
  <c r="AS563" i="2" s="1"/>
  <c r="AL558" i="2"/>
  <c r="AO558" i="2" s="1"/>
  <c r="AP558" i="2" s="1"/>
  <c r="AQ558" i="2" s="1"/>
  <c r="AR558" i="2" s="1"/>
  <c r="AS558" i="2" s="1"/>
  <c r="AL531" i="2"/>
  <c r="AO531" i="2" s="1"/>
  <c r="AP531" i="2" s="1"/>
  <c r="AQ531" i="2" s="1"/>
  <c r="AR531" i="2" s="1"/>
  <c r="AS531" i="2" s="1"/>
  <c r="AL492" i="2"/>
  <c r="AO492" i="2" s="1"/>
  <c r="AP492" i="2" s="1"/>
  <c r="AQ492" i="2" s="1"/>
  <c r="AR492" i="2" s="1"/>
  <c r="AS492" i="2" s="1"/>
  <c r="AL469" i="2"/>
  <c r="AO469" i="2" s="1"/>
  <c r="AP469" i="2" s="1"/>
  <c r="AQ469" i="2" s="1"/>
  <c r="AR469" i="2" s="1"/>
  <c r="AS469" i="2" s="1"/>
  <c r="AL398" i="2"/>
  <c r="AO398" i="2" s="1"/>
  <c r="AP398" i="2" s="1"/>
  <c r="AQ398" i="2" s="1"/>
  <c r="AR398" i="2" s="1"/>
  <c r="AS398" i="2" s="1"/>
  <c r="AL518" i="2"/>
  <c r="AO518" i="2" s="1"/>
  <c r="AP518" i="2" s="1"/>
  <c r="AQ518" i="2" s="1"/>
  <c r="AR518" i="2" s="1"/>
  <c r="AS518" i="2" s="1"/>
  <c r="AL425" i="2"/>
  <c r="AO425" i="2" s="1"/>
  <c r="AP425" i="2" s="1"/>
  <c r="AQ425" i="2" s="1"/>
  <c r="AR425" i="2" s="1"/>
  <c r="AS425" i="2" s="1"/>
  <c r="AL466" i="2"/>
  <c r="AO466" i="2" s="1"/>
  <c r="AP466" i="2" s="1"/>
  <c r="AQ466" i="2" s="1"/>
  <c r="AR466" i="2" s="1"/>
  <c r="AS466" i="2" s="1"/>
  <c r="AL465" i="2"/>
  <c r="AO465" i="2" s="1"/>
  <c r="AP465" i="2" s="1"/>
  <c r="AQ465" i="2" s="1"/>
  <c r="AR465" i="2" s="1"/>
  <c r="AS465" i="2" s="1"/>
  <c r="AL412" i="2"/>
  <c r="AO412" i="2" s="1"/>
  <c r="AP412" i="2" s="1"/>
  <c r="AQ412" i="2" s="1"/>
  <c r="AR412" i="2" s="1"/>
  <c r="AS412" i="2" s="1"/>
  <c r="AL410" i="2"/>
  <c r="AO410" i="2" s="1"/>
  <c r="AP410" i="2" s="1"/>
  <c r="AQ410" i="2" s="1"/>
  <c r="AR410" i="2" s="1"/>
  <c r="AS410" i="2" s="1"/>
  <c r="AL378" i="2"/>
  <c r="AO378" i="2" s="1"/>
  <c r="AP378" i="2" s="1"/>
  <c r="AQ378" i="2" s="1"/>
  <c r="AR378" i="2" s="1"/>
  <c r="AS378" i="2" s="1"/>
  <c r="AL280" i="2"/>
  <c r="AO280" i="2" s="1"/>
  <c r="AP280" i="2" s="1"/>
  <c r="AQ280" i="2" s="1"/>
  <c r="AR280" i="2" s="1"/>
  <c r="AS280" i="2" s="1"/>
  <c r="AL276" i="2"/>
  <c r="AO276" i="2" s="1"/>
  <c r="AP276" i="2" s="1"/>
  <c r="AQ276" i="2" s="1"/>
  <c r="AR276" i="2" s="1"/>
  <c r="AS276" i="2" s="1"/>
  <c r="AL235" i="2"/>
  <c r="AO235" i="2" s="1"/>
  <c r="AP235" i="2" s="1"/>
  <c r="AQ235" i="2" s="1"/>
  <c r="AR235" i="2" s="1"/>
  <c r="AS235" i="2" s="1"/>
  <c r="AL231" i="2"/>
  <c r="AO231" i="2" s="1"/>
  <c r="AP231" i="2" s="1"/>
  <c r="AQ231" i="2" s="1"/>
  <c r="AR231" i="2" s="1"/>
  <c r="AS231" i="2" s="1"/>
  <c r="AL440" i="2"/>
  <c r="AL383" i="2"/>
  <c r="AO383" i="2" s="1"/>
  <c r="AP383" i="2" s="1"/>
  <c r="AQ383" i="2" s="1"/>
  <c r="AR383" i="2" s="1"/>
  <c r="AS383" i="2" s="1"/>
  <c r="AL376" i="2"/>
  <c r="AO376" i="2" s="1"/>
  <c r="AP376" i="2" s="1"/>
  <c r="AQ376" i="2" s="1"/>
  <c r="AR376" i="2" s="1"/>
  <c r="AS376" i="2" s="1"/>
  <c r="AL347" i="2"/>
  <c r="AO347" i="2" s="1"/>
  <c r="AP347" i="2" s="1"/>
  <c r="AQ347" i="2" s="1"/>
  <c r="AR347" i="2" s="1"/>
  <c r="AS347" i="2" s="1"/>
  <c r="AL331" i="2"/>
  <c r="AO331" i="2" s="1"/>
  <c r="AP331" i="2" s="1"/>
  <c r="AQ331" i="2" s="1"/>
  <c r="AR331" i="2" s="1"/>
  <c r="AS331" i="2" s="1"/>
  <c r="AL315" i="2"/>
  <c r="AO315" i="2" s="1"/>
  <c r="AP315" i="2" s="1"/>
  <c r="AQ315" i="2" s="1"/>
  <c r="AR315" i="2" s="1"/>
  <c r="AS315" i="2" s="1"/>
  <c r="AL299" i="2"/>
  <c r="AO299" i="2" s="1"/>
  <c r="AP299" i="2" s="1"/>
  <c r="AQ299" i="2" s="1"/>
  <c r="AR299" i="2" s="1"/>
  <c r="AS299" i="2" s="1"/>
  <c r="AL294" i="2"/>
  <c r="AO294" i="2" s="1"/>
  <c r="AP294" i="2" s="1"/>
  <c r="AQ294" i="2" s="1"/>
  <c r="AR294" i="2" s="1"/>
  <c r="AS294" i="2" s="1"/>
  <c r="AL291" i="2"/>
  <c r="AO291" i="2" s="1"/>
  <c r="AP291" i="2" s="1"/>
  <c r="AQ291" i="2" s="1"/>
  <c r="AR291" i="2" s="1"/>
  <c r="AS291" i="2" s="1"/>
  <c r="AL286" i="2"/>
  <c r="AO286" i="2" s="1"/>
  <c r="AP286" i="2" s="1"/>
  <c r="AQ286" i="2" s="1"/>
  <c r="AR286" i="2" s="1"/>
  <c r="AS286" i="2" s="1"/>
  <c r="AL278" i="2"/>
  <c r="AO278" i="2" s="1"/>
  <c r="AP278" i="2" s="1"/>
  <c r="AQ278" i="2" s="1"/>
  <c r="AR278" i="2" s="1"/>
  <c r="AS278" i="2" s="1"/>
  <c r="AL275" i="2"/>
  <c r="AO275" i="2" s="1"/>
  <c r="AP275" i="2" s="1"/>
  <c r="AQ275" i="2" s="1"/>
  <c r="AR275" i="2" s="1"/>
  <c r="AS275" i="2" s="1"/>
  <c r="AL255" i="2"/>
  <c r="AO255" i="2" s="1"/>
  <c r="AP255" i="2" s="1"/>
  <c r="AQ255" i="2" s="1"/>
  <c r="AR255" i="2" s="1"/>
  <c r="AS255" i="2" s="1"/>
  <c r="AO248" i="2"/>
  <c r="AP248" i="2" s="1"/>
  <c r="AQ248" i="2" s="1"/>
  <c r="AR248" i="2" s="1"/>
  <c r="AS248" i="2" s="1"/>
  <c r="AL399" i="2"/>
  <c r="AO399" i="2" s="1"/>
  <c r="AP399" i="2" s="1"/>
  <c r="AQ399" i="2" s="1"/>
  <c r="AR399" i="2" s="1"/>
  <c r="AS399" i="2" s="1"/>
  <c r="AL388" i="2"/>
  <c r="AO388" i="2" s="1"/>
  <c r="AP388" i="2" s="1"/>
  <c r="AQ388" i="2" s="1"/>
  <c r="AR388" i="2" s="1"/>
  <c r="AS388" i="2" s="1"/>
  <c r="AK225" i="2"/>
  <c r="AG225" i="2"/>
  <c r="AC225" i="2"/>
  <c r="AI225" i="2"/>
  <c r="AE225" i="2"/>
  <c r="AD225" i="2"/>
  <c r="AJ225" i="2"/>
  <c r="AB225" i="2"/>
  <c r="AH225" i="2"/>
  <c r="AF225" i="2"/>
  <c r="AL361" i="2"/>
  <c r="AO361" i="2" s="1"/>
  <c r="AP361" i="2" s="1"/>
  <c r="AQ361" i="2" s="1"/>
  <c r="AR361" i="2" s="1"/>
  <c r="AS361" i="2" s="1"/>
  <c r="AL238" i="2"/>
  <c r="AO238" i="2" s="1"/>
  <c r="AP238" i="2" s="1"/>
  <c r="AQ238" i="2" s="1"/>
  <c r="AR238" i="2" s="1"/>
  <c r="AS238" i="2" s="1"/>
  <c r="AL186" i="2"/>
  <c r="AO186" i="2" s="1"/>
  <c r="AP186" i="2" s="1"/>
  <c r="AQ186" i="2" s="1"/>
  <c r="AR186" i="2" s="1"/>
  <c r="AS186" i="2" s="1"/>
  <c r="AK114" i="2"/>
  <c r="AG114" i="2"/>
  <c r="AC114" i="2"/>
  <c r="AI114" i="2"/>
  <c r="AE114" i="2"/>
  <c r="AD114" i="2"/>
  <c r="AJ114" i="2"/>
  <c r="AB114" i="2"/>
  <c r="AH114" i="2"/>
  <c r="AF114" i="2"/>
  <c r="AI115" i="2"/>
  <c r="AE115" i="2"/>
  <c r="AK115" i="2"/>
  <c r="AG115" i="2"/>
  <c r="AC115" i="2"/>
  <c r="AF115" i="2"/>
  <c r="AJ115" i="2"/>
  <c r="AD115" i="2"/>
  <c r="AB115" i="2"/>
  <c r="AH115" i="2"/>
  <c r="AL436" i="2"/>
  <c r="AO436" i="2" s="1"/>
  <c r="AP436" i="2" s="1"/>
  <c r="AQ436" i="2" s="1"/>
  <c r="AR436" i="2" s="1"/>
  <c r="AS436" i="2" s="1"/>
  <c r="AI177" i="2"/>
  <c r="AE177" i="2"/>
  <c r="AK177" i="2"/>
  <c r="AG177" i="2"/>
  <c r="AC177" i="2"/>
  <c r="AJ177" i="2"/>
  <c r="AB177" i="2"/>
  <c r="AH177" i="2"/>
  <c r="AF177" i="2"/>
  <c r="AD177" i="2"/>
  <c r="AL322" i="2"/>
  <c r="AO322" i="2" s="1"/>
  <c r="AP322" i="2" s="1"/>
  <c r="AQ322" i="2" s="1"/>
  <c r="AR322" i="2" s="1"/>
  <c r="AS322" i="2" s="1"/>
  <c r="AL305" i="2"/>
  <c r="AO305" i="2" s="1"/>
  <c r="AP305" i="2" s="1"/>
  <c r="AQ305" i="2" s="1"/>
  <c r="AR305" i="2" s="1"/>
  <c r="AS305" i="2" s="1"/>
  <c r="AL249" i="2"/>
  <c r="AO249" i="2" s="1"/>
  <c r="AP249" i="2" s="1"/>
  <c r="AQ249" i="2" s="1"/>
  <c r="AR249" i="2" s="1"/>
  <c r="AS249" i="2" s="1"/>
  <c r="AL503" i="2"/>
  <c r="AO503" i="2" s="1"/>
  <c r="AP503" i="2" s="1"/>
  <c r="AQ503" i="2" s="1"/>
  <c r="AR503" i="2" s="1"/>
  <c r="AS503" i="2" s="1"/>
  <c r="AL330" i="2"/>
  <c r="AO330" i="2" s="1"/>
  <c r="AP330" i="2" s="1"/>
  <c r="AQ330" i="2" s="1"/>
  <c r="AR330" i="2" s="1"/>
  <c r="AS330" i="2" s="1"/>
  <c r="AL297" i="2"/>
  <c r="AO297" i="2" s="1"/>
  <c r="AP297" i="2" s="1"/>
  <c r="AQ297" i="2" s="1"/>
  <c r="AR297" i="2" s="1"/>
  <c r="AS297" i="2" s="1"/>
  <c r="AL257" i="2"/>
  <c r="AO257" i="2" s="1"/>
  <c r="AP257" i="2" s="1"/>
  <c r="AQ257" i="2" s="1"/>
  <c r="AR257" i="2" s="1"/>
  <c r="AS257" i="2" s="1"/>
  <c r="AL253" i="2"/>
  <c r="AO253" i="2" s="1"/>
  <c r="AP253" i="2" s="1"/>
  <c r="AQ253" i="2" s="1"/>
  <c r="AR253" i="2" s="1"/>
  <c r="AS253" i="2" s="1"/>
  <c r="AL198" i="2"/>
  <c r="AO198" i="2" s="1"/>
  <c r="AP198" i="2" s="1"/>
  <c r="AQ198" i="2" s="1"/>
  <c r="AR198" i="2" s="1"/>
  <c r="AS198" i="2" s="1"/>
  <c r="AL269" i="2"/>
  <c r="AL317" i="2"/>
  <c r="AO317" i="2" s="1"/>
  <c r="AP317" i="2" s="1"/>
  <c r="AQ317" i="2" s="1"/>
  <c r="AR317" i="2" s="1"/>
  <c r="AS317" i="2" s="1"/>
  <c r="AL204" i="2"/>
  <c r="AO204" i="2" s="1"/>
  <c r="AP204" i="2" s="1"/>
  <c r="AQ204" i="2" s="1"/>
  <c r="AR204" i="2" s="1"/>
  <c r="AS204" i="2" s="1"/>
  <c r="AL155" i="2"/>
  <c r="AO155" i="2" s="1"/>
  <c r="AP155" i="2" s="1"/>
  <c r="AQ155" i="2" s="1"/>
  <c r="AR155" i="2" s="1"/>
  <c r="AS155" i="2" s="1"/>
  <c r="AL153" i="2"/>
  <c r="AO153" i="2" s="1"/>
  <c r="AP153" i="2" s="1"/>
  <c r="AQ153" i="2" s="1"/>
  <c r="AR153" i="2" s="1"/>
  <c r="AS153" i="2" s="1"/>
  <c r="AL66" i="2"/>
  <c r="AO66" i="2" s="1"/>
  <c r="AP66" i="2" s="1"/>
  <c r="AQ66" i="2" s="1"/>
  <c r="AR66" i="2" s="1"/>
  <c r="AS66" i="2" s="1"/>
  <c r="AL150" i="2"/>
  <c r="AO150" i="2" s="1"/>
  <c r="AP150" i="2" s="1"/>
  <c r="AQ150" i="2" s="1"/>
  <c r="AR150" i="2" s="1"/>
  <c r="AS150" i="2" s="1"/>
  <c r="AL143" i="2"/>
  <c r="AO143" i="2" s="1"/>
  <c r="AP143" i="2" s="1"/>
  <c r="AQ143" i="2" s="1"/>
  <c r="AR143" i="2" s="1"/>
  <c r="AS143" i="2" s="1"/>
  <c r="AL141" i="2"/>
  <c r="AO141" i="2" s="1"/>
  <c r="AP141" i="2" s="1"/>
  <c r="AQ141" i="2" s="1"/>
  <c r="AR141" i="2" s="1"/>
  <c r="AS141" i="2" s="1"/>
  <c r="AL131" i="2"/>
  <c r="AO131" i="2" s="1"/>
  <c r="AP131" i="2" s="1"/>
  <c r="AQ131" i="2" s="1"/>
  <c r="AR131" i="2" s="1"/>
  <c r="AS131" i="2" s="1"/>
  <c r="AL129" i="2"/>
  <c r="AO129" i="2" s="1"/>
  <c r="AP129" i="2" s="1"/>
  <c r="AQ129" i="2" s="1"/>
  <c r="AR129" i="2" s="1"/>
  <c r="AS129" i="2" s="1"/>
  <c r="AL47" i="2"/>
  <c r="AO47" i="2" s="1"/>
  <c r="AP47" i="2" s="1"/>
  <c r="AQ47" i="2" s="1"/>
  <c r="AR47" i="2" s="1"/>
  <c r="AS47" i="2" s="1"/>
  <c r="AL31" i="2"/>
  <c r="AL207" i="2"/>
  <c r="AO207" i="2" s="1"/>
  <c r="AP207" i="2" s="1"/>
  <c r="AQ207" i="2" s="1"/>
  <c r="AR207" i="2" s="1"/>
  <c r="AS207" i="2" s="1"/>
  <c r="AL197" i="2"/>
  <c r="AO197" i="2" s="1"/>
  <c r="AP197" i="2" s="1"/>
  <c r="AQ197" i="2" s="1"/>
  <c r="AR197" i="2" s="1"/>
  <c r="AS197" i="2" s="1"/>
  <c r="AL180" i="2"/>
  <c r="AO180" i="2" s="1"/>
  <c r="AP180" i="2" s="1"/>
  <c r="AQ180" i="2" s="1"/>
  <c r="AR180" i="2" s="1"/>
  <c r="AS180" i="2" s="1"/>
  <c r="AL172" i="2"/>
  <c r="AO172" i="2" s="1"/>
  <c r="AP172" i="2" s="1"/>
  <c r="AQ172" i="2" s="1"/>
  <c r="AR172" i="2" s="1"/>
  <c r="AS172" i="2" s="1"/>
  <c r="AL106" i="2"/>
  <c r="AO106" i="2" s="1"/>
  <c r="AP106" i="2" s="1"/>
  <c r="AQ106" i="2" s="1"/>
  <c r="AR106" i="2" s="1"/>
  <c r="AS106" i="2" s="1"/>
  <c r="AL91" i="2"/>
  <c r="AO91" i="2" s="1"/>
  <c r="AP91" i="2" s="1"/>
  <c r="AQ91" i="2" s="1"/>
  <c r="AR91" i="2" s="1"/>
  <c r="AS91" i="2" s="1"/>
  <c r="AL43" i="2"/>
  <c r="AO43" i="2" s="1"/>
  <c r="AP43" i="2" s="1"/>
  <c r="AQ43" i="2" s="1"/>
  <c r="AR43" i="2" s="1"/>
  <c r="AS43" i="2" s="1"/>
  <c r="AL27" i="2"/>
  <c r="AO27" i="2" s="1"/>
  <c r="AP27" i="2" s="1"/>
  <c r="AQ27" i="2" s="1"/>
  <c r="AR27" i="2" s="1"/>
  <c r="AS27" i="2" s="1"/>
  <c r="AL200" i="2"/>
  <c r="AO200" i="2" s="1"/>
  <c r="AP200" i="2" s="1"/>
  <c r="AQ200" i="2" s="1"/>
  <c r="AR200" i="2" s="1"/>
  <c r="AS200" i="2" s="1"/>
  <c r="AL179" i="2"/>
  <c r="AO179" i="2" s="1"/>
  <c r="AP179" i="2" s="1"/>
  <c r="AQ179" i="2" s="1"/>
  <c r="AR179" i="2" s="1"/>
  <c r="AS179" i="2" s="1"/>
  <c r="AL158" i="2"/>
  <c r="AO158" i="2" s="1"/>
  <c r="AP158" i="2" s="1"/>
  <c r="AQ158" i="2" s="1"/>
  <c r="AR158" i="2" s="1"/>
  <c r="AS158" i="2" s="1"/>
  <c r="AL156" i="2"/>
  <c r="AO156" i="2" s="1"/>
  <c r="AP156" i="2" s="1"/>
  <c r="AQ156" i="2" s="1"/>
  <c r="AR156" i="2" s="1"/>
  <c r="AS156" i="2" s="1"/>
  <c r="AL122" i="2"/>
  <c r="AO122" i="2" s="1"/>
  <c r="AP122" i="2" s="1"/>
  <c r="AQ122" i="2" s="1"/>
  <c r="AR122" i="2" s="1"/>
  <c r="AS122" i="2" s="1"/>
  <c r="AO55" i="2"/>
  <c r="AP55" i="2" s="1"/>
  <c r="AQ55" i="2" s="1"/>
  <c r="AR55" i="2" s="1"/>
  <c r="AS55" i="2" s="1"/>
  <c r="AL521" i="2"/>
  <c r="AO521" i="2" s="1"/>
  <c r="AP521" i="2" s="1"/>
  <c r="AQ521" i="2" s="1"/>
  <c r="AR521" i="2" s="1"/>
  <c r="AS521" i="2" s="1"/>
  <c r="AL607" i="2"/>
  <c r="AO607" i="2" s="1"/>
  <c r="AP607" i="2" s="1"/>
  <c r="AQ607" i="2" s="1"/>
  <c r="AR607" i="2" s="1"/>
  <c r="AS607" i="2" s="1"/>
  <c r="AL619" i="2"/>
  <c r="AO619" i="2" s="1"/>
  <c r="AP619" i="2" s="1"/>
  <c r="AQ619" i="2" s="1"/>
  <c r="AR619" i="2" s="1"/>
  <c r="AS619" i="2" s="1"/>
  <c r="AL615" i="2"/>
  <c r="AL559" i="2"/>
  <c r="AO559" i="2" s="1"/>
  <c r="AP559" i="2" s="1"/>
  <c r="AQ559" i="2" s="1"/>
  <c r="AR559" i="2" s="1"/>
  <c r="AS559" i="2" s="1"/>
  <c r="AE631" i="2"/>
  <c r="AD631" i="2"/>
  <c r="AO516" i="2"/>
  <c r="AP516" i="2" s="1"/>
  <c r="AQ516" i="2" s="1"/>
  <c r="AR516" i="2" s="1"/>
  <c r="AS516" i="2" s="1"/>
  <c r="AL504" i="2"/>
  <c r="AO504" i="2" s="1"/>
  <c r="AP504" i="2" s="1"/>
  <c r="AQ504" i="2" s="1"/>
  <c r="AR504" i="2" s="1"/>
  <c r="AS504" i="2" s="1"/>
  <c r="AL543" i="2"/>
  <c r="AO543" i="2" s="1"/>
  <c r="AP543" i="2" s="1"/>
  <c r="AQ543" i="2" s="1"/>
  <c r="AR543" i="2" s="1"/>
  <c r="AS543" i="2" s="1"/>
  <c r="AL528" i="2"/>
  <c r="AO528" i="2" s="1"/>
  <c r="AP528" i="2" s="1"/>
  <c r="AQ528" i="2" s="1"/>
  <c r="AR528" i="2" s="1"/>
  <c r="AS528" i="2" s="1"/>
  <c r="AL519" i="2"/>
  <c r="AO519" i="2" s="1"/>
  <c r="AP519" i="2" s="1"/>
  <c r="AQ519" i="2" s="1"/>
  <c r="AR519" i="2" s="1"/>
  <c r="AS519" i="2" s="1"/>
  <c r="AL495" i="2"/>
  <c r="AO495" i="2" s="1"/>
  <c r="AP495" i="2" s="1"/>
  <c r="AQ495" i="2" s="1"/>
  <c r="AR495" i="2" s="1"/>
  <c r="AS495" i="2" s="1"/>
  <c r="AL577" i="2"/>
  <c r="AO577" i="2" s="1"/>
  <c r="AP577" i="2" s="1"/>
  <c r="AQ577" i="2" s="1"/>
  <c r="AR577" i="2" s="1"/>
  <c r="AS577" i="2" s="1"/>
  <c r="AL526" i="2"/>
  <c r="AO526" i="2" s="1"/>
  <c r="AP526" i="2" s="1"/>
  <c r="AQ526" i="2" s="1"/>
  <c r="AR526" i="2" s="1"/>
  <c r="AS526" i="2" s="1"/>
  <c r="AI460" i="2"/>
  <c r="AI475" i="2" s="1"/>
  <c r="AE460" i="2"/>
  <c r="AE475" i="2" s="1"/>
  <c r="AH460" i="2"/>
  <c r="AH475" i="2" s="1"/>
  <c r="AC460" i="2"/>
  <c r="AF460" i="2"/>
  <c r="AJ460" i="2"/>
  <c r="AB460" i="2"/>
  <c r="AG460" i="2"/>
  <c r="AG475" i="2" s="1"/>
  <c r="AK460" i="2"/>
  <c r="AK475" i="2" s="1"/>
  <c r="AD460" i="2"/>
  <c r="AD475" i="2" s="1"/>
  <c r="AL471" i="2"/>
  <c r="AO471" i="2" s="1"/>
  <c r="AP471" i="2" s="1"/>
  <c r="AQ471" i="2" s="1"/>
  <c r="AR471" i="2" s="1"/>
  <c r="AS471" i="2" s="1"/>
  <c r="AL464" i="2"/>
  <c r="AO464" i="2" s="1"/>
  <c r="AP464" i="2" s="1"/>
  <c r="AQ464" i="2" s="1"/>
  <c r="AR464" i="2" s="1"/>
  <c r="AS464" i="2" s="1"/>
  <c r="AL467" i="2"/>
  <c r="AO467" i="2" s="1"/>
  <c r="AP467" i="2" s="1"/>
  <c r="AQ467" i="2" s="1"/>
  <c r="AR467" i="2" s="1"/>
  <c r="AS467" i="2" s="1"/>
  <c r="AL443" i="2"/>
  <c r="AO443" i="2" s="1"/>
  <c r="AP443" i="2" s="1"/>
  <c r="AQ443" i="2" s="1"/>
  <c r="AR443" i="2" s="1"/>
  <c r="AS443" i="2" s="1"/>
  <c r="AL428" i="2"/>
  <c r="AO428" i="2" s="1"/>
  <c r="AP428" i="2" s="1"/>
  <c r="AQ428" i="2" s="1"/>
  <c r="AR428" i="2" s="1"/>
  <c r="AS428" i="2" s="1"/>
  <c r="AL422" i="2"/>
  <c r="AO422" i="2" s="1"/>
  <c r="AP422" i="2" s="1"/>
  <c r="AQ422" i="2" s="1"/>
  <c r="AR422" i="2" s="1"/>
  <c r="AS422" i="2" s="1"/>
  <c r="AL373" i="2"/>
  <c r="AO373" i="2" s="1"/>
  <c r="AP373" i="2" s="1"/>
  <c r="AQ373" i="2" s="1"/>
  <c r="AR373" i="2" s="1"/>
  <c r="AS373" i="2" s="1"/>
  <c r="AO372" i="2"/>
  <c r="AP372" i="2" s="1"/>
  <c r="AQ372" i="2" s="1"/>
  <c r="AR372" i="2" s="1"/>
  <c r="AS372" i="2" s="1"/>
  <c r="AL369" i="2"/>
  <c r="AO369" i="2" s="1"/>
  <c r="AP369" i="2" s="1"/>
  <c r="AQ369" i="2" s="1"/>
  <c r="AR369" i="2" s="1"/>
  <c r="AS369" i="2" s="1"/>
  <c r="AL493" i="2"/>
  <c r="AO493" i="2" s="1"/>
  <c r="AP493" i="2" s="1"/>
  <c r="AQ493" i="2" s="1"/>
  <c r="AR493" i="2" s="1"/>
  <c r="AS493" i="2" s="1"/>
  <c r="AL393" i="2"/>
  <c r="AO393" i="2" s="1"/>
  <c r="AP393" i="2" s="1"/>
  <c r="AQ393" i="2" s="1"/>
  <c r="AR393" i="2" s="1"/>
  <c r="AS393" i="2" s="1"/>
  <c r="AL371" i="2"/>
  <c r="AO371" i="2" s="1"/>
  <c r="AP371" i="2" s="1"/>
  <c r="AQ371" i="2" s="1"/>
  <c r="AR371" i="2" s="1"/>
  <c r="AS371" i="2" s="1"/>
  <c r="AI219" i="2"/>
  <c r="AE219" i="2"/>
  <c r="AK219" i="2"/>
  <c r="AG219" i="2"/>
  <c r="AC219" i="2"/>
  <c r="AJ219" i="2"/>
  <c r="AB219" i="2"/>
  <c r="AH219" i="2"/>
  <c r="AF219" i="2"/>
  <c r="AD219" i="2"/>
  <c r="AL438" i="2"/>
  <c r="AO438" i="2" s="1"/>
  <c r="AP438" i="2" s="1"/>
  <c r="AQ438" i="2" s="1"/>
  <c r="AR438" i="2" s="1"/>
  <c r="AS438" i="2" s="1"/>
  <c r="AL433" i="2"/>
  <c r="AO433" i="2" s="1"/>
  <c r="AP433" i="2" s="1"/>
  <c r="AQ433" i="2" s="1"/>
  <c r="AR433" i="2" s="1"/>
  <c r="AS433" i="2" s="1"/>
  <c r="AL400" i="2"/>
  <c r="AO400" i="2" s="1"/>
  <c r="AP400" i="2" s="1"/>
  <c r="AQ400" i="2" s="1"/>
  <c r="AR400" i="2" s="1"/>
  <c r="AS400" i="2" s="1"/>
  <c r="AL387" i="2"/>
  <c r="AO387" i="2" s="1"/>
  <c r="AP387" i="2" s="1"/>
  <c r="AQ387" i="2" s="1"/>
  <c r="AR387" i="2" s="1"/>
  <c r="AS387" i="2" s="1"/>
  <c r="AL366" i="2"/>
  <c r="AO366" i="2" s="1"/>
  <c r="AP366" i="2" s="1"/>
  <c r="AQ366" i="2" s="1"/>
  <c r="AR366" i="2" s="1"/>
  <c r="AS366" i="2" s="1"/>
  <c r="AO306" i="2"/>
  <c r="AP306" i="2" s="1"/>
  <c r="AQ306" i="2" s="1"/>
  <c r="AR306" i="2" s="1"/>
  <c r="AS306" i="2" s="1"/>
  <c r="AL254" i="2"/>
  <c r="AO254" i="2" s="1"/>
  <c r="AP254" i="2" s="1"/>
  <c r="AQ254" i="2" s="1"/>
  <c r="AR254" i="2" s="1"/>
  <c r="AS254" i="2" s="1"/>
  <c r="AK116" i="2"/>
  <c r="AG116" i="2"/>
  <c r="AC116" i="2"/>
  <c r="AI116" i="2"/>
  <c r="AE116" i="2"/>
  <c r="AH116" i="2"/>
  <c r="AD116" i="2"/>
  <c r="AF116" i="2"/>
  <c r="AJ116" i="2"/>
  <c r="AB116" i="2"/>
  <c r="AO407" i="2"/>
  <c r="AP407" i="2" s="1"/>
  <c r="AQ407" i="2" s="1"/>
  <c r="AR407" i="2" s="1"/>
  <c r="AS407" i="2" s="1"/>
  <c r="AL353" i="2"/>
  <c r="AO353" i="2" s="1"/>
  <c r="AP353" i="2" s="1"/>
  <c r="AQ353" i="2" s="1"/>
  <c r="AR353" i="2" s="1"/>
  <c r="AS353" i="2" s="1"/>
  <c r="AL213" i="2"/>
  <c r="AL189" i="2"/>
  <c r="AO189" i="2" s="1"/>
  <c r="AP189" i="2" s="1"/>
  <c r="AQ189" i="2" s="1"/>
  <c r="AR189" i="2" s="1"/>
  <c r="AS189" i="2" s="1"/>
  <c r="AL301" i="2"/>
  <c r="AO301" i="2" s="1"/>
  <c r="AP301" i="2" s="1"/>
  <c r="AQ301" i="2" s="1"/>
  <c r="AR301" i="2" s="1"/>
  <c r="AS301" i="2" s="1"/>
  <c r="AL289" i="2"/>
  <c r="AO289" i="2" s="1"/>
  <c r="AP289" i="2" s="1"/>
  <c r="AQ289" i="2" s="1"/>
  <c r="AR289" i="2" s="1"/>
  <c r="AS289" i="2" s="1"/>
  <c r="AL434" i="2"/>
  <c r="AO434" i="2" s="1"/>
  <c r="AP434" i="2" s="1"/>
  <c r="AQ434" i="2" s="1"/>
  <c r="AR434" i="2" s="1"/>
  <c r="AS434" i="2" s="1"/>
  <c r="AL309" i="2"/>
  <c r="AO309" i="2" s="1"/>
  <c r="AP309" i="2" s="1"/>
  <c r="AQ309" i="2" s="1"/>
  <c r="AR309" i="2" s="1"/>
  <c r="AS309" i="2" s="1"/>
  <c r="AL354" i="2"/>
  <c r="AO354" i="2" s="1"/>
  <c r="AP354" i="2" s="1"/>
  <c r="AQ354" i="2" s="1"/>
  <c r="AR354" i="2" s="1"/>
  <c r="AS354" i="2" s="1"/>
  <c r="AL293" i="2"/>
  <c r="AO293" i="2" s="1"/>
  <c r="AP293" i="2" s="1"/>
  <c r="AQ293" i="2" s="1"/>
  <c r="AR293" i="2" s="1"/>
  <c r="AS293" i="2" s="1"/>
  <c r="AO51" i="2"/>
  <c r="AP51" i="2" s="1"/>
  <c r="AQ51" i="2" s="1"/>
  <c r="AR51" i="2" s="1"/>
  <c r="AS51" i="2" s="1"/>
  <c r="AL34" i="2"/>
  <c r="AO34" i="2" s="1"/>
  <c r="AP34" i="2" s="1"/>
  <c r="AQ34" i="2" s="1"/>
  <c r="AR34" i="2" s="1"/>
  <c r="AS34" i="2" s="1"/>
  <c r="AL18" i="2"/>
  <c r="AO18" i="2" s="1"/>
  <c r="AP18" i="2" s="1"/>
  <c r="AQ18" i="2" s="1"/>
  <c r="AR18" i="2" s="1"/>
  <c r="AS18" i="2" s="1"/>
  <c r="AL161" i="2"/>
  <c r="AO161" i="2" s="1"/>
  <c r="AP161" i="2" s="1"/>
  <c r="AQ161" i="2" s="1"/>
  <c r="AR161" i="2" s="1"/>
  <c r="AS161" i="2" s="1"/>
  <c r="AL139" i="2"/>
  <c r="AO139" i="2" s="1"/>
  <c r="AP139" i="2" s="1"/>
  <c r="AQ139" i="2" s="1"/>
  <c r="AR139" i="2" s="1"/>
  <c r="AS139" i="2" s="1"/>
  <c r="AL137" i="2"/>
  <c r="AO137" i="2" s="1"/>
  <c r="AP137" i="2" s="1"/>
  <c r="AQ137" i="2" s="1"/>
  <c r="AR137" i="2" s="1"/>
  <c r="AS137" i="2" s="1"/>
  <c r="AL127" i="2"/>
  <c r="AO127" i="2" s="1"/>
  <c r="AP127" i="2" s="1"/>
  <c r="AQ127" i="2" s="1"/>
  <c r="AR127" i="2" s="1"/>
  <c r="AS127" i="2" s="1"/>
  <c r="AL125" i="2"/>
  <c r="AO125" i="2" s="1"/>
  <c r="AP125" i="2" s="1"/>
  <c r="AQ125" i="2" s="1"/>
  <c r="AR125" i="2" s="1"/>
  <c r="AS125" i="2" s="1"/>
  <c r="AL58" i="2"/>
  <c r="AO58" i="2" s="1"/>
  <c r="AP58" i="2" s="1"/>
  <c r="AQ58" i="2" s="1"/>
  <c r="AR58" i="2" s="1"/>
  <c r="AS58" i="2" s="1"/>
  <c r="AL178" i="2"/>
  <c r="AO178" i="2" s="1"/>
  <c r="AP178" i="2" s="1"/>
  <c r="AQ178" i="2" s="1"/>
  <c r="AR178" i="2" s="1"/>
  <c r="AS178" i="2" s="1"/>
  <c r="AO168" i="2"/>
  <c r="AP168" i="2" s="1"/>
  <c r="AQ168" i="2" s="1"/>
  <c r="AR168" i="2" s="1"/>
  <c r="AS168" i="2" s="1"/>
  <c r="AO159" i="2"/>
  <c r="AP159" i="2" s="1"/>
  <c r="AQ159" i="2" s="1"/>
  <c r="AR159" i="2" s="1"/>
  <c r="AS159" i="2" s="1"/>
  <c r="AL86" i="2"/>
  <c r="AO86" i="2" s="1"/>
  <c r="AP86" i="2" s="1"/>
  <c r="AQ86" i="2" s="1"/>
  <c r="AR86" i="2" s="1"/>
  <c r="AS86" i="2" s="1"/>
  <c r="AL70" i="2"/>
  <c r="AO70" i="2" s="1"/>
  <c r="AP70" i="2" s="1"/>
  <c r="AQ70" i="2" s="1"/>
  <c r="AR70" i="2" s="1"/>
  <c r="AS70" i="2" s="1"/>
  <c r="AL54" i="2"/>
  <c r="AO54" i="2" s="1"/>
  <c r="AP54" i="2" s="1"/>
  <c r="AQ54" i="2" s="1"/>
  <c r="AR54" i="2" s="1"/>
  <c r="AS54" i="2" s="1"/>
  <c r="AL40" i="2"/>
  <c r="AO40" i="2" s="1"/>
  <c r="AP40" i="2" s="1"/>
  <c r="AQ40" i="2" s="1"/>
  <c r="AR40" i="2" s="1"/>
  <c r="AS40" i="2" s="1"/>
  <c r="AL24" i="2"/>
  <c r="AO24" i="2" s="1"/>
  <c r="AP24" i="2" s="1"/>
  <c r="AQ24" i="2" s="1"/>
  <c r="AR24" i="2" s="1"/>
  <c r="AS24" i="2" s="1"/>
  <c r="AL22" i="2"/>
  <c r="AO22" i="2" s="1"/>
  <c r="AP22" i="2" s="1"/>
  <c r="AQ22" i="2" s="1"/>
  <c r="AR22" i="2" s="1"/>
  <c r="AS22" i="2" s="1"/>
  <c r="AL612" i="2"/>
  <c r="AO612" i="2" s="1"/>
  <c r="AP612" i="2" s="1"/>
  <c r="AQ612" i="2" s="1"/>
  <c r="AR612" i="2" s="1"/>
  <c r="AS612" i="2" s="1"/>
  <c r="AL610" i="2"/>
  <c r="AO610" i="2" s="1"/>
  <c r="AP610" i="2" s="1"/>
  <c r="AQ610" i="2" s="1"/>
  <c r="AR610" i="2" s="1"/>
  <c r="AS610" i="2" s="1"/>
  <c r="AL589" i="2"/>
  <c r="AO589" i="2" s="1"/>
  <c r="AP589" i="2" s="1"/>
  <c r="AQ589" i="2" s="1"/>
  <c r="AR589" i="2" s="1"/>
  <c r="AS589" i="2" s="1"/>
  <c r="AL533" i="2"/>
  <c r="AO533" i="2" s="1"/>
  <c r="AP533" i="2" s="1"/>
  <c r="AQ533" i="2" s="1"/>
  <c r="AR533" i="2" s="1"/>
  <c r="AS533" i="2" s="1"/>
  <c r="AL517" i="2"/>
  <c r="AO517" i="2" s="1"/>
  <c r="AP517" i="2" s="1"/>
  <c r="AQ517" i="2" s="1"/>
  <c r="AR517" i="2" s="1"/>
  <c r="AS517" i="2" s="1"/>
  <c r="AL629" i="2"/>
  <c r="AO629" i="2" s="1"/>
  <c r="AP629" i="2" s="1"/>
  <c r="AQ629" i="2" s="1"/>
  <c r="AR629" i="2" s="1"/>
  <c r="AS629" i="2" s="1"/>
  <c r="AL611" i="2"/>
  <c r="AO611" i="2" s="1"/>
  <c r="AP611" i="2" s="1"/>
  <c r="AQ611" i="2" s="1"/>
  <c r="AR611" i="2" s="1"/>
  <c r="AS611" i="2" s="1"/>
  <c r="AL547" i="2"/>
  <c r="AO547" i="2" s="1"/>
  <c r="AP547" i="2" s="1"/>
  <c r="AQ547" i="2" s="1"/>
  <c r="AR547" i="2" s="1"/>
  <c r="AS547" i="2" s="1"/>
  <c r="AL625" i="2"/>
  <c r="AO625" i="2" s="1"/>
  <c r="AP625" i="2" s="1"/>
  <c r="AQ625" i="2" s="1"/>
  <c r="AR625" i="2" s="1"/>
  <c r="AS625" i="2" s="1"/>
  <c r="AO615" i="2"/>
  <c r="AP615" i="2" s="1"/>
  <c r="AQ615" i="2" s="1"/>
  <c r="AR615" i="2" s="1"/>
  <c r="AS615" i="2" s="1"/>
  <c r="AL598" i="2"/>
  <c r="AO598" i="2" s="1"/>
  <c r="AP598" i="2" s="1"/>
  <c r="AQ598" i="2" s="1"/>
  <c r="AR598" i="2" s="1"/>
  <c r="AS598" i="2" s="1"/>
  <c r="AO571" i="2"/>
  <c r="AP571" i="2" s="1"/>
  <c r="AQ571" i="2" s="1"/>
  <c r="AR571" i="2" s="1"/>
  <c r="AS571" i="2" s="1"/>
  <c r="AL557" i="2"/>
  <c r="AO557" i="2" s="1"/>
  <c r="AP557" i="2" s="1"/>
  <c r="AQ557" i="2" s="1"/>
  <c r="AR557" i="2" s="1"/>
  <c r="AS557" i="2" s="1"/>
  <c r="AL576" i="2"/>
  <c r="AO576" i="2" s="1"/>
  <c r="AP576" i="2" s="1"/>
  <c r="AQ576" i="2" s="1"/>
  <c r="AR576" i="2" s="1"/>
  <c r="AS576" i="2" s="1"/>
  <c r="AL630" i="2"/>
  <c r="AO630" i="2" s="1"/>
  <c r="AP630" i="2" s="1"/>
  <c r="AQ630" i="2" s="1"/>
  <c r="AR630" i="2" s="1"/>
  <c r="AS630" i="2" s="1"/>
  <c r="AL514" i="2"/>
  <c r="AO514" i="2" s="1"/>
  <c r="AP514" i="2" s="1"/>
  <c r="AQ514" i="2" s="1"/>
  <c r="AR514" i="2" s="1"/>
  <c r="AS514" i="2" s="1"/>
  <c r="AI631" i="2"/>
  <c r="AL602" i="2"/>
  <c r="AO602" i="2" s="1"/>
  <c r="AC631" i="2"/>
  <c r="AH631" i="2"/>
  <c r="AL539" i="2"/>
  <c r="AO539" i="2" s="1"/>
  <c r="AP539" i="2" s="1"/>
  <c r="AQ539" i="2" s="1"/>
  <c r="AR539" i="2" s="1"/>
  <c r="AS539" i="2" s="1"/>
  <c r="AL523" i="2"/>
  <c r="AO523" i="2" s="1"/>
  <c r="AP523" i="2" s="1"/>
  <c r="AQ523" i="2" s="1"/>
  <c r="AR523" i="2" s="1"/>
  <c r="AS523" i="2" s="1"/>
  <c r="AL512" i="2"/>
  <c r="AO512" i="2" s="1"/>
  <c r="AP512" i="2" s="1"/>
  <c r="AQ512" i="2" s="1"/>
  <c r="AR512" i="2" s="1"/>
  <c r="AS512" i="2" s="1"/>
  <c r="AL564" i="2"/>
  <c r="AO564" i="2" s="1"/>
  <c r="AP564" i="2" s="1"/>
  <c r="AQ564" i="2" s="1"/>
  <c r="AR564" i="2" s="1"/>
  <c r="AS564" i="2" s="1"/>
  <c r="AL520" i="2"/>
  <c r="AO520" i="2" s="1"/>
  <c r="AP520" i="2" s="1"/>
  <c r="AQ520" i="2" s="1"/>
  <c r="AR520" i="2" s="1"/>
  <c r="AS520" i="2" s="1"/>
  <c r="AO472" i="2"/>
  <c r="AP472" i="2" s="1"/>
  <c r="AQ472" i="2" s="1"/>
  <c r="AR472" i="2" s="1"/>
  <c r="AS472" i="2" s="1"/>
  <c r="AL605" i="2"/>
  <c r="AO605" i="2" s="1"/>
  <c r="AP605" i="2" s="1"/>
  <c r="AQ605" i="2" s="1"/>
  <c r="AR605" i="2" s="1"/>
  <c r="AS605" i="2" s="1"/>
  <c r="AO473" i="2"/>
  <c r="AP473" i="2" s="1"/>
  <c r="AQ473" i="2" s="1"/>
  <c r="AR473" i="2" s="1"/>
  <c r="AS473" i="2" s="1"/>
  <c r="AL561" i="2"/>
  <c r="AO561" i="2" s="1"/>
  <c r="AP561" i="2" s="1"/>
  <c r="AQ561" i="2" s="1"/>
  <c r="AR561" i="2" s="1"/>
  <c r="AS561" i="2" s="1"/>
  <c r="AL483" i="2"/>
  <c r="AO483" i="2" s="1"/>
  <c r="AP483" i="2" s="1"/>
  <c r="AQ483" i="2" s="1"/>
  <c r="AR483" i="2" s="1"/>
  <c r="AS483" i="2" s="1"/>
  <c r="AL437" i="2"/>
  <c r="AO437" i="2" s="1"/>
  <c r="AP437" i="2" s="1"/>
  <c r="AQ437" i="2" s="1"/>
  <c r="AR437" i="2" s="1"/>
  <c r="AS437" i="2" s="1"/>
  <c r="AL408" i="2"/>
  <c r="AO408" i="2" s="1"/>
  <c r="AP408" i="2" s="1"/>
  <c r="AQ408" i="2" s="1"/>
  <c r="AR408" i="2" s="1"/>
  <c r="AS408" i="2" s="1"/>
  <c r="AL450" i="2"/>
  <c r="AO450" i="2" s="1"/>
  <c r="AP450" i="2" s="1"/>
  <c r="AQ450" i="2" s="1"/>
  <c r="AR450" i="2" s="1"/>
  <c r="AS450" i="2" s="1"/>
  <c r="AL442" i="2"/>
  <c r="AO442" i="2" s="1"/>
  <c r="AP442" i="2" s="1"/>
  <c r="AQ442" i="2" s="1"/>
  <c r="AR442" i="2" s="1"/>
  <c r="AS442" i="2" s="1"/>
  <c r="AD352" i="2"/>
  <c r="AD357" i="2" s="1"/>
  <c r="AG352" i="2"/>
  <c r="AG357" i="2" s="1"/>
  <c r="AB352" i="2"/>
  <c r="AL268" i="2"/>
  <c r="AO268" i="2" s="1"/>
  <c r="AP268" i="2" s="1"/>
  <c r="AQ268" i="2" s="1"/>
  <c r="AR268" i="2" s="1"/>
  <c r="AS268" i="2" s="1"/>
  <c r="AO440" i="2"/>
  <c r="AP440" i="2" s="1"/>
  <c r="AQ440" i="2" s="1"/>
  <c r="AR440" i="2" s="1"/>
  <c r="AS440" i="2" s="1"/>
  <c r="AL389" i="2"/>
  <c r="AO389" i="2" s="1"/>
  <c r="AP389" i="2" s="1"/>
  <c r="AQ389" i="2" s="1"/>
  <c r="AR389" i="2" s="1"/>
  <c r="AS389" i="2" s="1"/>
  <c r="AL363" i="2"/>
  <c r="AO363" i="2" s="1"/>
  <c r="AP363" i="2" s="1"/>
  <c r="AQ363" i="2" s="1"/>
  <c r="AR363" i="2" s="1"/>
  <c r="AS363" i="2" s="1"/>
  <c r="AL339" i="2"/>
  <c r="AO339" i="2" s="1"/>
  <c r="AP339" i="2" s="1"/>
  <c r="AQ339" i="2" s="1"/>
  <c r="AR339" i="2" s="1"/>
  <c r="AS339" i="2" s="1"/>
  <c r="AL323" i="2"/>
  <c r="AO323" i="2" s="1"/>
  <c r="AP323" i="2" s="1"/>
  <c r="AQ323" i="2" s="1"/>
  <c r="AR323" i="2" s="1"/>
  <c r="AS323" i="2" s="1"/>
  <c r="AL307" i="2"/>
  <c r="AO307" i="2" s="1"/>
  <c r="AP307" i="2" s="1"/>
  <c r="AQ307" i="2" s="1"/>
  <c r="AR307" i="2" s="1"/>
  <c r="AS307" i="2" s="1"/>
  <c r="AL298" i="2"/>
  <c r="AO298" i="2" s="1"/>
  <c r="AP298" i="2" s="1"/>
  <c r="AQ298" i="2" s="1"/>
  <c r="AR298" i="2" s="1"/>
  <c r="AS298" i="2" s="1"/>
  <c r="AL295" i="2"/>
  <c r="AO295" i="2" s="1"/>
  <c r="AP295" i="2" s="1"/>
  <c r="AQ295" i="2" s="1"/>
  <c r="AR295" i="2" s="1"/>
  <c r="AS295" i="2" s="1"/>
  <c r="AL290" i="2"/>
  <c r="AO290" i="2" s="1"/>
  <c r="AP290" i="2" s="1"/>
  <c r="AQ290" i="2" s="1"/>
  <c r="AR290" i="2" s="1"/>
  <c r="AS290" i="2" s="1"/>
  <c r="AL279" i="2"/>
  <c r="AO279" i="2" s="1"/>
  <c r="AP279" i="2" s="1"/>
  <c r="AQ279" i="2" s="1"/>
  <c r="AR279" i="2" s="1"/>
  <c r="AS279" i="2" s="1"/>
  <c r="AL270" i="2"/>
  <c r="AO270" i="2" s="1"/>
  <c r="AP270" i="2" s="1"/>
  <c r="AQ270" i="2" s="1"/>
  <c r="AR270" i="2" s="1"/>
  <c r="AS270" i="2" s="1"/>
  <c r="AL267" i="2"/>
  <c r="AO267" i="2" s="1"/>
  <c r="AP267" i="2" s="1"/>
  <c r="AQ267" i="2" s="1"/>
  <c r="AR267" i="2" s="1"/>
  <c r="AS267" i="2" s="1"/>
  <c r="AL247" i="2"/>
  <c r="AO247" i="2" s="1"/>
  <c r="AP247" i="2" s="1"/>
  <c r="AQ247" i="2" s="1"/>
  <c r="AR247" i="2" s="1"/>
  <c r="AS247" i="2" s="1"/>
  <c r="AL590" i="2"/>
  <c r="AO590" i="2" s="1"/>
  <c r="AL538" i="2"/>
  <c r="AO538" i="2" s="1"/>
  <c r="AP538" i="2" s="1"/>
  <c r="AQ538" i="2" s="1"/>
  <c r="AR538" i="2" s="1"/>
  <c r="AS538" i="2" s="1"/>
  <c r="AL496" i="2"/>
  <c r="AO496" i="2" s="1"/>
  <c r="AP496" i="2" s="1"/>
  <c r="AQ496" i="2" s="1"/>
  <c r="AR496" i="2" s="1"/>
  <c r="AS496" i="2" s="1"/>
  <c r="AL488" i="2"/>
  <c r="AO488" i="2" s="1"/>
  <c r="AP488" i="2" s="1"/>
  <c r="AQ488" i="2" s="1"/>
  <c r="AR488" i="2" s="1"/>
  <c r="AS488" i="2" s="1"/>
  <c r="AL380" i="2"/>
  <c r="AO380" i="2" s="1"/>
  <c r="AP380" i="2" s="1"/>
  <c r="AQ380" i="2" s="1"/>
  <c r="AR380" i="2" s="1"/>
  <c r="AS380" i="2" s="1"/>
  <c r="AL377" i="2"/>
  <c r="AO377" i="2" s="1"/>
  <c r="AP377" i="2" s="1"/>
  <c r="AQ377" i="2" s="1"/>
  <c r="AR377" i="2" s="1"/>
  <c r="AS377" i="2" s="1"/>
  <c r="AK217" i="2"/>
  <c r="AG217" i="2"/>
  <c r="AC217" i="2"/>
  <c r="AI217" i="2"/>
  <c r="AE217" i="2"/>
  <c r="AD217" i="2"/>
  <c r="AJ217" i="2"/>
  <c r="AB217" i="2"/>
  <c r="AH217" i="2"/>
  <c r="AF217" i="2"/>
  <c r="AI223" i="2"/>
  <c r="AE223" i="2"/>
  <c r="AK223" i="2"/>
  <c r="AG223" i="2"/>
  <c r="AC223" i="2"/>
  <c r="AF223" i="2"/>
  <c r="AD223" i="2"/>
  <c r="AJ223" i="2"/>
  <c r="AB223" i="2"/>
  <c r="AH223" i="2"/>
  <c r="AL470" i="2"/>
  <c r="AO470" i="2" s="1"/>
  <c r="AP470" i="2" s="1"/>
  <c r="AQ470" i="2" s="1"/>
  <c r="AR470" i="2" s="1"/>
  <c r="AS470" i="2" s="1"/>
  <c r="AL329" i="2"/>
  <c r="AO329" i="2" s="1"/>
  <c r="AP329" i="2" s="1"/>
  <c r="AQ329" i="2" s="1"/>
  <c r="AR329" i="2" s="1"/>
  <c r="AS329" i="2" s="1"/>
  <c r="AL318" i="2"/>
  <c r="AO318" i="2" s="1"/>
  <c r="AP318" i="2" s="1"/>
  <c r="AQ318" i="2" s="1"/>
  <c r="AR318" i="2" s="1"/>
  <c r="AS318" i="2" s="1"/>
  <c r="AL302" i="2"/>
  <c r="AO302" i="2" s="1"/>
  <c r="AP302" i="2" s="1"/>
  <c r="AQ302" i="2" s="1"/>
  <c r="AR302" i="2" s="1"/>
  <c r="AS302" i="2" s="1"/>
  <c r="AL234" i="2"/>
  <c r="AO234" i="2" s="1"/>
  <c r="AP234" i="2" s="1"/>
  <c r="AQ234" i="2" s="1"/>
  <c r="AR234" i="2" s="1"/>
  <c r="AS234" i="2" s="1"/>
  <c r="AL183" i="2"/>
  <c r="AO183" i="2" s="1"/>
  <c r="AP183" i="2" s="1"/>
  <c r="AQ183" i="2" s="1"/>
  <c r="AR183" i="2" s="1"/>
  <c r="AS183" i="2" s="1"/>
  <c r="AW635" i="2"/>
  <c r="AL391" i="2"/>
  <c r="AO391" i="2" s="1"/>
  <c r="AP391" i="2" s="1"/>
  <c r="AQ391" i="2" s="1"/>
  <c r="AR391" i="2" s="1"/>
  <c r="AS391" i="2" s="1"/>
  <c r="AL370" i="2"/>
  <c r="AO370" i="2" s="1"/>
  <c r="AP370" i="2" s="1"/>
  <c r="AQ370" i="2" s="1"/>
  <c r="AR370" i="2" s="1"/>
  <c r="AS370" i="2" s="1"/>
  <c r="AL250" i="2"/>
  <c r="AO250" i="2" s="1"/>
  <c r="AP250" i="2" s="1"/>
  <c r="AQ250" i="2" s="1"/>
  <c r="AR250" i="2" s="1"/>
  <c r="AS250" i="2" s="1"/>
  <c r="AL427" i="2"/>
  <c r="AO427" i="2" s="1"/>
  <c r="AP427" i="2" s="1"/>
  <c r="AQ427" i="2" s="1"/>
  <c r="AR427" i="2" s="1"/>
  <c r="AS427" i="2" s="1"/>
  <c r="AL474" i="2"/>
  <c r="AO474" i="2" s="1"/>
  <c r="AP474" i="2" s="1"/>
  <c r="AQ474" i="2" s="1"/>
  <c r="AR474" i="2" s="1"/>
  <c r="AS474" i="2" s="1"/>
  <c r="AL463" i="2"/>
  <c r="AO463" i="2" s="1"/>
  <c r="AP463" i="2" s="1"/>
  <c r="AQ463" i="2" s="1"/>
  <c r="AR463" i="2" s="1"/>
  <c r="AS463" i="2" s="1"/>
  <c r="AL362" i="2"/>
  <c r="AO362" i="2" s="1"/>
  <c r="AP362" i="2" s="1"/>
  <c r="AQ362" i="2" s="1"/>
  <c r="AR362" i="2" s="1"/>
  <c r="AS362" i="2" s="1"/>
  <c r="AL237" i="2"/>
  <c r="AO237" i="2" s="1"/>
  <c r="AP237" i="2" s="1"/>
  <c r="AQ237" i="2" s="1"/>
  <c r="AR237" i="2" s="1"/>
  <c r="AS237" i="2" s="1"/>
  <c r="AL206" i="2"/>
  <c r="AO206" i="2" s="1"/>
  <c r="AP206" i="2" s="1"/>
  <c r="AQ206" i="2" s="1"/>
  <c r="AR206" i="2" s="1"/>
  <c r="AS206" i="2" s="1"/>
  <c r="AL379" i="2"/>
  <c r="AO379" i="2" s="1"/>
  <c r="AP379" i="2" s="1"/>
  <c r="AQ379" i="2" s="1"/>
  <c r="AR379" i="2" s="1"/>
  <c r="AS379" i="2" s="1"/>
  <c r="AL337" i="2"/>
  <c r="AO337" i="2" s="1"/>
  <c r="AP337" i="2" s="1"/>
  <c r="AQ337" i="2" s="1"/>
  <c r="AR337" i="2" s="1"/>
  <c r="AS337" i="2" s="1"/>
  <c r="AO269" i="2"/>
  <c r="AP269" i="2" s="1"/>
  <c r="AQ269" i="2" s="1"/>
  <c r="AR269" i="2" s="1"/>
  <c r="AS269" i="2" s="1"/>
  <c r="AL446" i="2"/>
  <c r="AO446" i="2" s="1"/>
  <c r="AP446" i="2" s="1"/>
  <c r="AQ446" i="2" s="1"/>
  <c r="AR446" i="2" s="1"/>
  <c r="AS446" i="2" s="1"/>
  <c r="AL333" i="2"/>
  <c r="AO333" i="2" s="1"/>
  <c r="AP333" i="2" s="1"/>
  <c r="AQ333" i="2" s="1"/>
  <c r="AR333" i="2" s="1"/>
  <c r="AS333" i="2" s="1"/>
  <c r="AL144" i="2"/>
  <c r="AO144" i="2" s="1"/>
  <c r="AP144" i="2" s="1"/>
  <c r="AQ144" i="2" s="1"/>
  <c r="AR144" i="2" s="1"/>
  <c r="AS144" i="2" s="1"/>
  <c r="AL98" i="2"/>
  <c r="AO98" i="2" s="1"/>
  <c r="AP98" i="2" s="1"/>
  <c r="AQ98" i="2" s="1"/>
  <c r="AR98" i="2" s="1"/>
  <c r="AS98" i="2" s="1"/>
  <c r="AL82" i="2"/>
  <c r="AO82" i="2" s="1"/>
  <c r="AP82" i="2" s="1"/>
  <c r="AQ82" i="2" s="1"/>
  <c r="AR82" i="2" s="1"/>
  <c r="AS82" i="2" s="1"/>
  <c r="AL50" i="2"/>
  <c r="AO50" i="2" s="1"/>
  <c r="AP50" i="2" s="1"/>
  <c r="AQ50" i="2" s="1"/>
  <c r="AR50" i="2" s="1"/>
  <c r="AS50" i="2" s="1"/>
  <c r="AL205" i="2"/>
  <c r="AO205" i="2" s="1"/>
  <c r="AP205" i="2" s="1"/>
  <c r="AQ205" i="2" s="1"/>
  <c r="AR205" i="2" s="1"/>
  <c r="AS205" i="2" s="1"/>
  <c r="AL140" i="2"/>
  <c r="AO140" i="2" s="1"/>
  <c r="AP140" i="2" s="1"/>
  <c r="AQ140" i="2" s="1"/>
  <c r="AR140" i="2" s="1"/>
  <c r="AS140" i="2" s="1"/>
  <c r="AO79" i="2"/>
  <c r="AP79" i="2" s="1"/>
  <c r="AQ79" i="2" s="1"/>
  <c r="AR79" i="2" s="1"/>
  <c r="AS79" i="2" s="1"/>
  <c r="AL62" i="2"/>
  <c r="AO62" i="2" s="1"/>
  <c r="AP62" i="2" s="1"/>
  <c r="AQ62" i="2" s="1"/>
  <c r="AR62" i="2" s="1"/>
  <c r="AS62" i="2" s="1"/>
  <c r="AL46" i="2"/>
  <c r="AO46" i="2" s="1"/>
  <c r="AP46" i="2" s="1"/>
  <c r="AQ46" i="2" s="1"/>
  <c r="AR46" i="2" s="1"/>
  <c r="AS46" i="2" s="1"/>
  <c r="AO31" i="2"/>
  <c r="AP31" i="2" s="1"/>
  <c r="AQ31" i="2" s="1"/>
  <c r="AR31" i="2" s="1"/>
  <c r="AS31" i="2" s="1"/>
  <c r="AO208" i="2"/>
  <c r="AP208" i="2" s="1"/>
  <c r="AQ208" i="2" s="1"/>
  <c r="AR208" i="2" s="1"/>
  <c r="AS208" i="2" s="1"/>
  <c r="AL187" i="2"/>
  <c r="AO187" i="2" s="1"/>
  <c r="AP187" i="2" s="1"/>
  <c r="AQ187" i="2" s="1"/>
  <c r="AR187" i="2" s="1"/>
  <c r="AS187" i="2" s="1"/>
  <c r="AL182" i="2"/>
  <c r="AO182" i="2" s="1"/>
  <c r="AP182" i="2" s="1"/>
  <c r="AQ182" i="2" s="1"/>
  <c r="AR182" i="2" s="1"/>
  <c r="AS182" i="2" s="1"/>
  <c r="AL162" i="2"/>
  <c r="AO162" i="2" s="1"/>
  <c r="AP162" i="2" s="1"/>
  <c r="AQ162" i="2" s="1"/>
  <c r="AR162" i="2" s="1"/>
  <c r="AS162" i="2" s="1"/>
  <c r="AL160" i="2"/>
  <c r="AO160" i="2" s="1"/>
  <c r="AP160" i="2" s="1"/>
  <c r="AQ160" i="2" s="1"/>
  <c r="AR160" i="2" s="1"/>
  <c r="AS160" i="2" s="1"/>
  <c r="AL138" i="2"/>
  <c r="AO138" i="2" s="1"/>
  <c r="AP138" i="2" s="1"/>
  <c r="AQ138" i="2" s="1"/>
  <c r="AR138" i="2" s="1"/>
  <c r="AS138" i="2" s="1"/>
  <c r="AL136" i="2"/>
  <c r="AO136" i="2" s="1"/>
  <c r="AP136" i="2" s="1"/>
  <c r="AQ136" i="2" s="1"/>
  <c r="AR136" i="2" s="1"/>
  <c r="AS136" i="2" s="1"/>
  <c r="AL126" i="2"/>
  <c r="AO126" i="2" s="1"/>
  <c r="AP126" i="2" s="1"/>
  <c r="AQ126" i="2" s="1"/>
  <c r="AR126" i="2" s="1"/>
  <c r="AS126" i="2" s="1"/>
  <c r="AL124" i="2"/>
  <c r="AO124" i="2" s="1"/>
  <c r="AP124" i="2" s="1"/>
  <c r="AQ124" i="2" s="1"/>
  <c r="AR124" i="2" s="1"/>
  <c r="AS124" i="2" s="1"/>
  <c r="AL90" i="2"/>
  <c r="AO90" i="2" s="1"/>
  <c r="AP90" i="2" s="1"/>
  <c r="AQ90" i="2" s="1"/>
  <c r="AR90" i="2" s="1"/>
  <c r="AS90" i="2" s="1"/>
  <c r="AL75" i="2"/>
  <c r="AO75" i="2" s="1"/>
  <c r="AP75" i="2" s="1"/>
  <c r="AQ75" i="2" s="1"/>
  <c r="AR75" i="2" s="1"/>
  <c r="AS75" i="2" s="1"/>
  <c r="AL59" i="2"/>
  <c r="AO59" i="2" s="1"/>
  <c r="AP59" i="2" s="1"/>
  <c r="AQ59" i="2" s="1"/>
  <c r="AR59" i="2" s="1"/>
  <c r="AS59" i="2" s="1"/>
  <c r="AO42" i="2"/>
  <c r="AP42" i="2" s="1"/>
  <c r="AQ42" i="2" s="1"/>
  <c r="AR42" i="2" s="1"/>
  <c r="AS42" i="2" s="1"/>
  <c r="AL203" i="2"/>
  <c r="AO203" i="2" s="1"/>
  <c r="AP203" i="2" s="1"/>
  <c r="AQ203" i="2" s="1"/>
  <c r="AR203" i="2" s="1"/>
  <c r="AS203" i="2" s="1"/>
  <c r="AL202" i="2"/>
  <c r="AO202" i="2" s="1"/>
  <c r="AP202" i="2" s="1"/>
  <c r="AQ202" i="2" s="1"/>
  <c r="AR202" i="2" s="1"/>
  <c r="AS202" i="2" s="1"/>
  <c r="AL171" i="2"/>
  <c r="AO171" i="2" s="1"/>
  <c r="AP171" i="2" s="1"/>
  <c r="AQ171" i="2" s="1"/>
  <c r="AR171" i="2" s="1"/>
  <c r="AS171" i="2" s="1"/>
  <c r="AL169" i="2"/>
  <c r="AO169" i="2" s="1"/>
  <c r="AP169" i="2" s="1"/>
  <c r="AQ169" i="2" s="1"/>
  <c r="AR169" i="2" s="1"/>
  <c r="AS169" i="2" s="1"/>
  <c r="AL102" i="2"/>
  <c r="AO102" i="2" s="1"/>
  <c r="AP102" i="2" s="1"/>
  <c r="AQ102" i="2" s="1"/>
  <c r="AR102" i="2" s="1"/>
  <c r="AS102" i="2" s="1"/>
  <c r="AL87" i="2"/>
  <c r="AO87" i="2" s="1"/>
  <c r="AP87" i="2" s="1"/>
  <c r="AQ87" i="2" s="1"/>
  <c r="AR87" i="2" s="1"/>
  <c r="AS87" i="2" s="1"/>
  <c r="AH325" i="1"/>
  <c r="AD325" i="1"/>
  <c r="AL325" i="1"/>
  <c r="AE452" i="1"/>
  <c r="AI452" i="1"/>
  <c r="N216" i="1"/>
  <c r="M216" i="1" s="1"/>
  <c r="L216" i="1" s="1"/>
  <c r="K216" i="1" s="1"/>
  <c r="Q216" i="1" s="1"/>
  <c r="R216" i="1" s="1"/>
  <c r="S216" i="1" s="1"/>
  <c r="T216" i="1" s="1"/>
  <c r="N226" i="1"/>
  <c r="M226" i="1" s="1"/>
  <c r="L226" i="1" s="1"/>
  <c r="K226" i="1" s="1"/>
  <c r="Q226" i="1" s="1"/>
  <c r="R226" i="1" s="1"/>
  <c r="S226" i="1" s="1"/>
  <c r="T226" i="1" s="1"/>
  <c r="AG342" i="1"/>
  <c r="W416" i="1"/>
  <c r="Q402" i="1"/>
  <c r="R405" i="1"/>
  <c r="R414" i="1" s="1"/>
  <c r="D456" i="1"/>
  <c r="H456" i="1"/>
  <c r="P456" i="1"/>
  <c r="AC533" i="1"/>
  <c r="F582" i="1"/>
  <c r="J582" i="1"/>
  <c r="E634" i="1"/>
  <c r="I634" i="1"/>
  <c r="AK623" i="1"/>
  <c r="AP646" i="1"/>
  <c r="AQ646" i="1" s="1"/>
  <c r="AR646" i="1" s="1"/>
  <c r="AP647" i="1"/>
  <c r="AQ647" i="1" s="1"/>
  <c r="AR647" i="1" s="1"/>
  <c r="AP655" i="1"/>
  <c r="AQ655" i="1" s="1"/>
  <c r="AR655" i="1" s="1"/>
  <c r="AH661" i="1"/>
  <c r="AH666" i="1" s="1"/>
  <c r="AU848" i="1"/>
  <c r="AP669" i="1"/>
  <c r="AP672" i="1"/>
  <c r="AQ672" i="1" s="1"/>
  <c r="AR672" i="1" s="1"/>
  <c r="AH681" i="1"/>
  <c r="AG683" i="1"/>
  <c r="AP687" i="1"/>
  <c r="AQ687" i="1" s="1"/>
  <c r="AR687" i="1" s="1"/>
  <c r="AP689" i="1"/>
  <c r="AQ689" i="1" s="1"/>
  <c r="AR689" i="1" s="1"/>
  <c r="AP691" i="1"/>
  <c r="AQ691" i="1" s="1"/>
  <c r="AR691" i="1" s="1"/>
  <c r="AP693" i="1"/>
  <c r="AQ693" i="1" s="1"/>
  <c r="AR693" i="1" s="1"/>
  <c r="AP694" i="1"/>
  <c r="AQ694" i="1" s="1"/>
  <c r="AR694" i="1" s="1"/>
  <c r="AP697" i="1"/>
  <c r="AQ697" i="1" s="1"/>
  <c r="AR697" i="1" s="1"/>
  <c r="AP699" i="1"/>
  <c r="AQ699" i="1" s="1"/>
  <c r="AR699" i="1" s="1"/>
  <c r="AP700" i="1"/>
  <c r="AQ700" i="1" s="1"/>
  <c r="AR700" i="1" s="1"/>
  <c r="AP832" i="1"/>
  <c r="AQ832" i="1" s="1"/>
  <c r="AR832" i="1" s="1"/>
  <c r="AP855" i="1"/>
  <c r="AQ855" i="1" s="1"/>
  <c r="AR855" i="1" s="1"/>
  <c r="AK865" i="1"/>
  <c r="AK867" i="1" s="1"/>
  <c r="AK921" i="1" s="1"/>
  <c r="AL981" i="1"/>
  <c r="AC981" i="1"/>
  <c r="AK981" i="1"/>
  <c r="AE981" i="1"/>
  <c r="AE1023" i="1"/>
  <c r="AK1023" i="1"/>
  <c r="AC1023" i="1"/>
  <c r="AF1169" i="1"/>
  <c r="AD1169" i="1"/>
  <c r="AC1169" i="1"/>
  <c r="AK1169" i="1"/>
  <c r="V1218" i="1"/>
  <c r="AU1218" i="1"/>
  <c r="AL884" i="1"/>
  <c r="AL885" i="1" s="1"/>
  <c r="AC884" i="1"/>
  <c r="AC885" i="1" s="1"/>
  <c r="AE884" i="1"/>
  <c r="AE885" i="1" s="1"/>
  <c r="AK884" i="1"/>
  <c r="AK885" i="1" s="1"/>
  <c r="AJ998" i="1"/>
  <c r="AK998" i="1"/>
  <c r="AD998" i="1"/>
  <c r="AC998" i="1"/>
  <c r="AH998" i="1"/>
  <c r="AG1105" i="1"/>
  <c r="AC1105" i="1"/>
  <c r="AI1105" i="1"/>
  <c r="AD1126" i="1"/>
  <c r="AI1126" i="1"/>
  <c r="AC1126" i="1"/>
  <c r="AG1136" i="1"/>
  <c r="AC1136" i="1"/>
  <c r="AI1136" i="1"/>
  <c r="N219" i="1"/>
  <c r="M219" i="1" s="1"/>
  <c r="L219" i="1" s="1"/>
  <c r="K219" i="1" s="1"/>
  <c r="Q219" i="1" s="1"/>
  <c r="R219" i="1" s="1"/>
  <c r="S219" i="1" s="1"/>
  <c r="T219" i="1" s="1"/>
  <c r="Q358" i="1"/>
  <c r="Q580" i="1"/>
  <c r="AK683" i="1"/>
  <c r="AJ733" i="1"/>
  <c r="AH733" i="1"/>
  <c r="AD733" i="1"/>
  <c r="AJ735" i="1"/>
  <c r="AD735" i="1"/>
  <c r="AH735" i="1"/>
  <c r="AG763" i="1"/>
  <c r="AG766" i="1" s="1"/>
  <c r="AL763" i="1"/>
  <c r="AL766" i="1" s="1"/>
  <c r="AD763" i="1"/>
  <c r="AN27" i="1"/>
  <c r="AG533" i="1"/>
  <c r="AL661" i="1"/>
  <c r="AL666" i="1" s="1"/>
  <c r="AJ865" i="1"/>
  <c r="AJ867" i="1" s="1"/>
  <c r="AE865" i="1"/>
  <c r="AE867" i="1" s="1"/>
  <c r="AE921" i="1" s="1"/>
  <c r="AI865" i="1"/>
  <c r="AI867" i="1" s="1"/>
  <c r="AC865" i="1"/>
  <c r="AC867" i="1" s="1"/>
  <c r="AI998" i="1"/>
  <c r="AL1003" i="1"/>
  <c r="AK1003" i="1"/>
  <c r="AC1003" i="1"/>
  <c r="AH1043" i="1"/>
  <c r="AD1043" i="1"/>
  <c r="AJ1043" i="1"/>
  <c r="AC1043" i="1"/>
  <c r="AH1064" i="1"/>
  <c r="AE1064" i="1"/>
  <c r="AL1105" i="1"/>
  <c r="AL1126" i="1"/>
  <c r="AL1136" i="1"/>
  <c r="AI1147" i="1"/>
  <c r="AF1147" i="1"/>
  <c r="AE1147" i="1"/>
  <c r="Y1402" i="1"/>
  <c r="Q36" i="1"/>
  <c r="AN16" i="1"/>
  <c r="Q243" i="1"/>
  <c r="AG529" i="1"/>
  <c r="H582" i="1"/>
  <c r="L582" i="1"/>
  <c r="P582" i="1"/>
  <c r="AC631" i="1"/>
  <c r="AD661" i="1"/>
  <c r="AD666" i="1" s="1"/>
  <c r="AP673" i="1"/>
  <c r="AQ673" i="1" s="1"/>
  <c r="AR673" i="1" s="1"/>
  <c r="AP675" i="1"/>
  <c r="AQ675" i="1" s="1"/>
  <c r="AR675" i="1" s="1"/>
  <c r="AP679" i="1"/>
  <c r="AQ679" i="1" s="1"/>
  <c r="AR679" i="1" s="1"/>
  <c r="AD683" i="1"/>
  <c r="AP686" i="1"/>
  <c r="AQ686" i="1" s="1"/>
  <c r="AR686" i="1" s="1"/>
  <c r="AK707" i="1"/>
  <c r="AE733" i="1"/>
  <c r="AE735" i="1"/>
  <c r="AP744" i="1"/>
  <c r="AQ744" i="1" s="1"/>
  <c r="AR744" i="1" s="1"/>
  <c r="AG754" i="1"/>
  <c r="AG753" i="1"/>
  <c r="AE763" i="1"/>
  <c r="AE766" i="1" s="1"/>
  <c r="AP776" i="1"/>
  <c r="AQ776" i="1" s="1"/>
  <c r="AR776" i="1" s="1"/>
  <c r="AD865" i="1"/>
  <c r="AD867" i="1" s="1"/>
  <c r="AG900" i="1"/>
  <c r="AK900" i="1"/>
  <c r="AK902" i="1" s="1"/>
  <c r="AC900" i="1"/>
  <c r="AC902" i="1" s="1"/>
  <c r="AM947" i="1"/>
  <c r="AP947" i="1" s="1"/>
  <c r="AQ947" i="1" s="1"/>
  <c r="AR947" i="1" s="1"/>
  <c r="AG1003" i="1"/>
  <c r="AL1023" i="1"/>
  <c r="AI1025" i="1"/>
  <c r="AL1025" i="1"/>
  <c r="AF1043" i="1"/>
  <c r="AI1064" i="1"/>
  <c r="AI1077" i="1"/>
  <c r="AD1077" i="1"/>
  <c r="AK1130" i="1"/>
  <c r="AC1130" i="1"/>
  <c r="AJ1147" i="1"/>
  <c r="AM1161" i="1"/>
  <c r="AP1161" i="1" s="1"/>
  <c r="AQ1161" i="1" s="1"/>
  <c r="AR1161" i="1" s="1"/>
  <c r="AH1163" i="1"/>
  <c r="AD1163" i="1"/>
  <c r="AJ1163" i="1"/>
  <c r="AC1163" i="1"/>
  <c r="AK1167" i="1"/>
  <c r="AC1167" i="1"/>
  <c r="P1218" i="1"/>
  <c r="Y1218" i="1"/>
  <c r="K1319" i="1"/>
  <c r="AA1319" i="1"/>
  <c r="AP708" i="1"/>
  <c r="AQ708" i="1" s="1"/>
  <c r="AR708" i="1" s="1"/>
  <c r="AP714" i="1"/>
  <c r="AQ714" i="1" s="1"/>
  <c r="AP715" i="1"/>
  <c r="AQ715" i="1" s="1"/>
  <c r="AR715" i="1" s="1"/>
  <c r="AP717" i="1"/>
  <c r="AQ717" i="1" s="1"/>
  <c r="AR717" i="1" s="1"/>
  <c r="AP725" i="1"/>
  <c r="AQ725" i="1" s="1"/>
  <c r="AR725" i="1" s="1"/>
  <c r="AP732" i="1"/>
  <c r="AQ732" i="1" s="1"/>
  <c r="AR732" i="1" s="1"/>
  <c r="AP742" i="1"/>
  <c r="AQ742" i="1" s="1"/>
  <c r="AR742" i="1" s="1"/>
  <c r="AD765" i="1"/>
  <c r="AP770" i="1"/>
  <c r="AQ770" i="1" s="1"/>
  <c r="AR770" i="1" s="1"/>
  <c r="AP771" i="1"/>
  <c r="AQ771" i="1" s="1"/>
  <c r="AR771" i="1" s="1"/>
  <c r="AP778" i="1"/>
  <c r="AQ778" i="1" s="1"/>
  <c r="AR778" i="1" s="1"/>
  <c r="AP780" i="1"/>
  <c r="AQ780" i="1" s="1"/>
  <c r="AR780" i="1" s="1"/>
  <c r="AP786" i="1"/>
  <c r="AQ786" i="1" s="1"/>
  <c r="AR786" i="1" s="1"/>
  <c r="AP787" i="1"/>
  <c r="AQ787" i="1" s="1"/>
  <c r="AR787" i="1" s="1"/>
  <c r="AP788" i="1"/>
  <c r="AQ788" i="1" s="1"/>
  <c r="AR788" i="1" s="1"/>
  <c r="AP789" i="1"/>
  <c r="AQ789" i="1" s="1"/>
  <c r="AR789" i="1" s="1"/>
  <c r="AP799" i="1"/>
  <c r="AQ799" i="1" s="1"/>
  <c r="AR799" i="1" s="1"/>
  <c r="AP807" i="1"/>
  <c r="AQ807" i="1" s="1"/>
  <c r="AR807" i="1" s="1"/>
  <c r="AP822" i="1"/>
  <c r="AQ822" i="1" s="1"/>
  <c r="AR822" i="1" s="1"/>
  <c r="AP823" i="1"/>
  <c r="AQ823" i="1" s="1"/>
  <c r="AR823" i="1" s="1"/>
  <c r="AP824" i="1"/>
  <c r="AQ824" i="1" s="1"/>
  <c r="AR824" i="1" s="1"/>
  <c r="AP853" i="1"/>
  <c r="AQ853" i="1" s="1"/>
  <c r="AR853" i="1" s="1"/>
  <c r="AP862" i="1"/>
  <c r="AQ862" i="1" s="1"/>
  <c r="AR862" i="1" s="1"/>
  <c r="AP864" i="1"/>
  <c r="AQ864" i="1" s="1"/>
  <c r="AR864" i="1" s="1"/>
  <c r="AP866" i="1"/>
  <c r="AQ866" i="1" s="1"/>
  <c r="AR866" i="1" s="1"/>
  <c r="AP876" i="1"/>
  <c r="AQ876" i="1" s="1"/>
  <c r="AR876" i="1" s="1"/>
  <c r="AJ898" i="1"/>
  <c r="AJ902" i="1" s="1"/>
  <c r="AJ921" i="1" s="1"/>
  <c r="AE898" i="1"/>
  <c r="AI898" i="1"/>
  <c r="AP899" i="1"/>
  <c r="AQ899" i="1" s="1"/>
  <c r="AR899" i="1" s="1"/>
  <c r="AP907" i="1"/>
  <c r="AQ907" i="1" s="1"/>
  <c r="AR907" i="1" s="1"/>
  <c r="AP910" i="1"/>
  <c r="AQ910" i="1" s="1"/>
  <c r="AR910" i="1" s="1"/>
  <c r="AP917" i="1"/>
  <c r="AQ917" i="1" s="1"/>
  <c r="AR917" i="1" s="1"/>
  <c r="AM953" i="1"/>
  <c r="AP953" i="1" s="1"/>
  <c r="AQ953" i="1" s="1"/>
  <c r="AR953" i="1" s="1"/>
  <c r="AH1035" i="1"/>
  <c r="AL1037" i="1"/>
  <c r="AL1061" i="1"/>
  <c r="AE1190" i="1"/>
  <c r="AP734" i="1"/>
  <c r="AQ734" i="1" s="1"/>
  <c r="AR734" i="1" s="1"/>
  <c r="AP749" i="1"/>
  <c r="AQ749" i="1" s="1"/>
  <c r="AR749" i="1" s="1"/>
  <c r="AP750" i="1"/>
  <c r="AQ750" i="1" s="1"/>
  <c r="AR750" i="1" s="1"/>
  <c r="AP757" i="1"/>
  <c r="AP760" i="1"/>
  <c r="AQ760" i="1" s="1"/>
  <c r="AR760" i="1" s="1"/>
  <c r="AP774" i="1"/>
  <c r="AQ774" i="1" s="1"/>
  <c r="AR774" i="1" s="1"/>
  <c r="AP793" i="1"/>
  <c r="AQ793" i="1" s="1"/>
  <c r="AR793" i="1" s="1"/>
  <c r="AP798" i="1"/>
  <c r="AQ798" i="1" s="1"/>
  <c r="AR798" i="1" s="1"/>
  <c r="AP802" i="1"/>
  <c r="AQ802" i="1" s="1"/>
  <c r="AR802" i="1" s="1"/>
  <c r="AP803" i="1"/>
  <c r="AQ803" i="1" s="1"/>
  <c r="AR803" i="1" s="1"/>
  <c r="AP804" i="1"/>
  <c r="AQ804" i="1" s="1"/>
  <c r="AR804" i="1" s="1"/>
  <c r="AP805" i="1"/>
  <c r="AQ805" i="1" s="1"/>
  <c r="AR805" i="1" s="1"/>
  <c r="AP809" i="1"/>
  <c r="AQ809" i="1" s="1"/>
  <c r="AR809" i="1" s="1"/>
  <c r="AP896" i="1"/>
  <c r="AQ896" i="1" s="1"/>
  <c r="AR896" i="1" s="1"/>
  <c r="AD898" i="1"/>
  <c r="AM898" i="1" s="1"/>
  <c r="AP898" i="1" s="1"/>
  <c r="AQ898" i="1" s="1"/>
  <c r="AR898" i="1" s="1"/>
  <c r="AV898" i="1" s="1"/>
  <c r="G1174" i="1"/>
  <c r="K1174" i="1"/>
  <c r="K1404" i="1" s="1"/>
  <c r="AM970" i="1"/>
  <c r="AP970" i="1" s="1"/>
  <c r="AQ970" i="1" s="1"/>
  <c r="AR970" i="1" s="1"/>
  <c r="AM973" i="1"/>
  <c r="AP973" i="1" s="1"/>
  <c r="AQ973" i="1" s="1"/>
  <c r="AR973" i="1" s="1"/>
  <c r="AV973" i="1" s="1"/>
  <c r="AX973" i="1" s="1"/>
  <c r="AM975" i="1"/>
  <c r="AP975" i="1" s="1"/>
  <c r="AQ975" i="1" s="1"/>
  <c r="AR975" i="1" s="1"/>
  <c r="AJ1017" i="1"/>
  <c r="AI1017" i="1"/>
  <c r="AC1017" i="1"/>
  <c r="AK1017" i="1"/>
  <c r="G1218" i="1"/>
  <c r="AI1235" i="1"/>
  <c r="AI1240" i="1" s="1"/>
  <c r="D1349" i="1"/>
  <c r="H1349" i="1"/>
  <c r="L1349" i="1"/>
  <c r="P1349" i="1"/>
  <c r="AB1349" i="1"/>
  <c r="AF1349" i="1"/>
  <c r="AJ1349" i="1"/>
  <c r="AT1349" i="1"/>
  <c r="AX1349" i="1"/>
  <c r="O1402" i="1"/>
  <c r="X921" i="1"/>
  <c r="AP870" i="1"/>
  <c r="AQ870" i="1" s="1"/>
  <c r="AP874" i="1"/>
  <c r="AQ874" i="1" s="1"/>
  <c r="AR874" i="1" s="1"/>
  <c r="AP879" i="1"/>
  <c r="AQ879" i="1" s="1"/>
  <c r="AR879" i="1" s="1"/>
  <c r="AP880" i="1"/>
  <c r="AQ880" i="1" s="1"/>
  <c r="AR880" i="1" s="1"/>
  <c r="AP883" i="1"/>
  <c r="AQ883" i="1" s="1"/>
  <c r="AR883" i="1" s="1"/>
  <c r="AP905" i="1"/>
  <c r="AQ905" i="1" s="1"/>
  <c r="AR905" i="1" s="1"/>
  <c r="AP906" i="1"/>
  <c r="AQ906" i="1" s="1"/>
  <c r="AR906" i="1" s="1"/>
  <c r="AP918" i="1"/>
  <c r="AQ918" i="1" s="1"/>
  <c r="AR918" i="1" s="1"/>
  <c r="F1174" i="1"/>
  <c r="J1174" i="1"/>
  <c r="N1174" i="1"/>
  <c r="AH1000" i="1"/>
  <c r="AM1045" i="1"/>
  <c r="AP1045" i="1" s="1"/>
  <c r="AQ1045" i="1" s="1"/>
  <c r="AR1045" i="1" s="1"/>
  <c r="AM1055" i="1"/>
  <c r="AP1055" i="1" s="1"/>
  <c r="AQ1055" i="1" s="1"/>
  <c r="AR1055" i="1" s="1"/>
  <c r="AV1055" i="1" s="1"/>
  <c r="AX1055" i="1" s="1"/>
  <c r="AM1059" i="1"/>
  <c r="AP1059" i="1" s="1"/>
  <c r="AQ1059" i="1" s="1"/>
  <c r="AR1059" i="1" s="1"/>
  <c r="AM1165" i="1"/>
  <c r="AP1165" i="1" s="1"/>
  <c r="AQ1165" i="1" s="1"/>
  <c r="AR1165" i="1" s="1"/>
  <c r="AH1249" i="1"/>
  <c r="AH1250" i="1" s="1"/>
  <c r="AT1402" i="1"/>
  <c r="AK304" i="1"/>
  <c r="AC304" i="1"/>
  <c r="AI304" i="1"/>
  <c r="AK306" i="1"/>
  <c r="AH306" i="1"/>
  <c r="AC306" i="1"/>
  <c r="AK307" i="1"/>
  <c r="AC307" i="1"/>
  <c r="AH307" i="1"/>
  <c r="T902" i="1"/>
  <c r="AL84" i="1"/>
  <c r="AH84" i="1"/>
  <c r="AK308" i="1"/>
  <c r="AC308" i="1"/>
  <c r="AI308" i="1"/>
  <c r="AK311" i="1"/>
  <c r="AH311" i="1"/>
  <c r="AC311" i="1"/>
  <c r="AH321" i="1"/>
  <c r="AL321" i="1"/>
  <c r="AD321" i="1"/>
  <c r="AH337" i="1"/>
  <c r="AL337" i="1"/>
  <c r="AD337" i="1"/>
  <c r="AK310" i="1"/>
  <c r="AH310" i="1"/>
  <c r="AC310" i="1"/>
  <c r="AE448" i="1"/>
  <c r="AI448" i="1"/>
  <c r="AH618" i="1"/>
  <c r="AL618" i="1"/>
  <c r="AD618" i="1"/>
  <c r="AL622" i="1"/>
  <c r="AH622" i="1"/>
  <c r="AF620" i="1"/>
  <c r="AJ620" i="1"/>
  <c r="AH333" i="1"/>
  <c r="AD333" i="1"/>
  <c r="AD528" i="1"/>
  <c r="AL528" i="1"/>
  <c r="AL709" i="1"/>
  <c r="AG709" i="1"/>
  <c r="W944" i="1"/>
  <c r="AF944" i="1" s="1"/>
  <c r="T943" i="1"/>
  <c r="T948" i="1" s="1"/>
  <c r="AJ977" i="1"/>
  <c r="AL977" i="1"/>
  <c r="AD977" i="1"/>
  <c r="AE977" i="1"/>
  <c r="AJ1011" i="1"/>
  <c r="AI1011" i="1"/>
  <c r="AD1011" i="1"/>
  <c r="AK1011" i="1"/>
  <c r="AC1011" i="1"/>
  <c r="AL1011" i="1"/>
  <c r="AL1021" i="1"/>
  <c r="AC1021" i="1"/>
  <c r="AK1021" i="1"/>
  <c r="AJ1080" i="1"/>
  <c r="AK1080" i="1"/>
  <c r="AE1080" i="1"/>
  <c r="AG1080" i="1"/>
  <c r="AD1080" i="1"/>
  <c r="AL1080" i="1"/>
  <c r="AC1080" i="1"/>
  <c r="AJ1128" i="1"/>
  <c r="AH1128" i="1"/>
  <c r="AE1128" i="1"/>
  <c r="AI1128" i="1"/>
  <c r="AD1128" i="1"/>
  <c r="R1317" i="1"/>
  <c r="S1305" i="1"/>
  <c r="S1317" i="1" s="1"/>
  <c r="AV193" i="1"/>
  <c r="AD77" i="1"/>
  <c r="AC81" i="1"/>
  <c r="Q164" i="1"/>
  <c r="S174" i="1"/>
  <c r="N227" i="1"/>
  <c r="M227" i="1" s="1"/>
  <c r="L227" i="1" s="1"/>
  <c r="K227" i="1" s="1"/>
  <c r="Q227" i="1" s="1"/>
  <c r="R227" i="1" s="1"/>
  <c r="S227" i="1" s="1"/>
  <c r="T227" i="1" s="1"/>
  <c r="N222" i="1"/>
  <c r="M222" i="1" s="1"/>
  <c r="L222" i="1" s="1"/>
  <c r="K222" i="1" s="1"/>
  <c r="Q222" i="1" s="1"/>
  <c r="R222" i="1" s="1"/>
  <c r="S222" i="1" s="1"/>
  <c r="T222" i="1" s="1"/>
  <c r="N218" i="1"/>
  <c r="M218" i="1" s="1"/>
  <c r="L218" i="1" s="1"/>
  <c r="K218" i="1" s="1"/>
  <c r="Q218" i="1" s="1"/>
  <c r="R218" i="1" s="1"/>
  <c r="S218" i="1" s="1"/>
  <c r="T218" i="1" s="1"/>
  <c r="AE218" i="1" s="1"/>
  <c r="N214" i="1"/>
  <c r="M214" i="1" s="1"/>
  <c r="L214" i="1" s="1"/>
  <c r="K214" i="1" s="1"/>
  <c r="Q214" i="1" s="1"/>
  <c r="R214" i="1" s="1"/>
  <c r="S214" i="1" s="1"/>
  <c r="T214" i="1" s="1"/>
  <c r="AF214" i="1" s="1"/>
  <c r="G416" i="1"/>
  <c r="K416" i="1"/>
  <c r="O416" i="1"/>
  <c r="Q283" i="1"/>
  <c r="AL333" i="1"/>
  <c r="AD341" i="1"/>
  <c r="AL345" i="1"/>
  <c r="Q395" i="1"/>
  <c r="AV456" i="1"/>
  <c r="AG442" i="1"/>
  <c r="AC442" i="1"/>
  <c r="F552" i="1"/>
  <c r="J552" i="1"/>
  <c r="N552" i="1"/>
  <c r="W552" i="1"/>
  <c r="AX552" i="1"/>
  <c r="AH528" i="1"/>
  <c r="D582" i="1"/>
  <c r="AX634" i="1"/>
  <c r="AI629" i="1"/>
  <c r="U848" i="1"/>
  <c r="AJ695" i="1"/>
  <c r="AI695" i="1"/>
  <c r="AD695" i="1"/>
  <c r="AH695" i="1"/>
  <c r="AJ701" i="1"/>
  <c r="AI701" i="1"/>
  <c r="AD701" i="1"/>
  <c r="AH701" i="1"/>
  <c r="AC709" i="1"/>
  <c r="AJ751" i="1"/>
  <c r="AK751" i="1"/>
  <c r="AK754" i="1" s="1"/>
  <c r="AE751" i="1"/>
  <c r="AH751" i="1"/>
  <c r="AI916" i="1"/>
  <c r="AI919" i="1" s="1"/>
  <c r="AF916" i="1"/>
  <c r="AF919" i="1" s="1"/>
  <c r="AJ916" i="1"/>
  <c r="AJ919" i="1" s="1"/>
  <c r="W919" i="1"/>
  <c r="Q931" i="1"/>
  <c r="O1174" i="1"/>
  <c r="O1404" i="1" s="1"/>
  <c r="AS1174" i="1"/>
  <c r="AH977" i="1"/>
  <c r="AJ989" i="1"/>
  <c r="AE989" i="1"/>
  <c r="AH989" i="1"/>
  <c r="AE1011" i="1"/>
  <c r="AM1019" i="1"/>
  <c r="AP1019" i="1" s="1"/>
  <c r="AQ1019" i="1" s="1"/>
  <c r="AR1019" i="1" s="1"/>
  <c r="AG1021" i="1"/>
  <c r="AJ1031" i="1"/>
  <c r="AH1031" i="1"/>
  <c r="AC1031" i="1"/>
  <c r="AK1031" i="1"/>
  <c r="AD1031" i="1"/>
  <c r="AL1031" i="1"/>
  <c r="AK1068" i="1"/>
  <c r="AF1068" i="1"/>
  <c r="AJ1075" i="1"/>
  <c r="W1082" i="1"/>
  <c r="AI1075" i="1"/>
  <c r="AD1075" i="1"/>
  <c r="AL1075" i="1"/>
  <c r="AE1075" i="1"/>
  <c r="AK1075" i="1"/>
  <c r="AC1075" i="1"/>
  <c r="AC1082" i="1" s="1"/>
  <c r="AH1080" i="1"/>
  <c r="AL1128" i="1"/>
  <c r="AJ1138" i="1"/>
  <c r="AD1138" i="1"/>
  <c r="AE1138" i="1"/>
  <c r="AL1138" i="1"/>
  <c r="AI1138" i="1"/>
  <c r="AJ1363" i="1"/>
  <c r="AJ1368" i="1" s="1"/>
  <c r="AJ1402" i="1" s="1"/>
  <c r="AK1363" i="1"/>
  <c r="AK1368" i="1" s="1"/>
  <c r="AK1402" i="1" s="1"/>
  <c r="AE1363" i="1"/>
  <c r="AE1368" i="1" s="1"/>
  <c r="AE1402" i="1" s="1"/>
  <c r="W1368" i="1"/>
  <c r="W1402" i="1" s="1"/>
  <c r="AI1363" i="1"/>
  <c r="AI1368" i="1" s="1"/>
  <c r="AI1402" i="1" s="1"/>
  <c r="AC1363" i="1"/>
  <c r="AC1368" i="1" s="1"/>
  <c r="AC1402" i="1" s="1"/>
  <c r="AG1363" i="1"/>
  <c r="AG1368" i="1" s="1"/>
  <c r="AG1402" i="1" s="1"/>
  <c r="AD1363" i="1"/>
  <c r="AL77" i="1"/>
  <c r="AK81" i="1"/>
  <c r="Q146" i="1"/>
  <c r="R150" i="1"/>
  <c r="S150" i="1" s="1"/>
  <c r="T150" i="1" s="1"/>
  <c r="T167" i="1"/>
  <c r="AH167" i="1" s="1"/>
  <c r="AX261" i="1"/>
  <c r="N217" i="1"/>
  <c r="M217" i="1" s="1"/>
  <c r="L217" i="1" s="1"/>
  <c r="K217" i="1" s="1"/>
  <c r="Q217" i="1" s="1"/>
  <c r="R217" i="1" s="1"/>
  <c r="S217" i="1" s="1"/>
  <c r="T217" i="1" s="1"/>
  <c r="N223" i="1"/>
  <c r="M223" i="1" s="1"/>
  <c r="L223" i="1" s="1"/>
  <c r="K223" i="1" s="1"/>
  <c r="Q223" i="1" s="1"/>
  <c r="R223" i="1" s="1"/>
  <c r="S223" i="1" s="1"/>
  <c r="T223" i="1" s="1"/>
  <c r="Q312" i="1"/>
  <c r="R286" i="1"/>
  <c r="S286" i="1" s="1"/>
  <c r="T286" i="1" s="1"/>
  <c r="AD329" i="1"/>
  <c r="AL341" i="1"/>
  <c r="AK346" i="1"/>
  <c r="AG346" i="1"/>
  <c r="AL349" i="1"/>
  <c r="Y416" i="1"/>
  <c r="R402" i="1"/>
  <c r="F456" i="1"/>
  <c r="J456" i="1"/>
  <c r="AK442" i="1"/>
  <c r="AC446" i="1"/>
  <c r="AG450" i="1"/>
  <c r="AC450" i="1"/>
  <c r="AX456" i="1"/>
  <c r="X552" i="1"/>
  <c r="R488" i="1"/>
  <c r="Q508" i="1"/>
  <c r="AH532" i="1"/>
  <c r="AK549" i="1"/>
  <c r="O634" i="1"/>
  <c r="X848" i="1"/>
  <c r="AC695" i="1"/>
  <c r="AK695" i="1"/>
  <c r="AK711" i="1" s="1"/>
  <c r="AC701" i="1"/>
  <c r="AK701" i="1"/>
  <c r="AL704" i="1"/>
  <c r="AG704" i="1"/>
  <c r="AJ705" i="1"/>
  <c r="AH705" i="1"/>
  <c r="AC705" i="1"/>
  <c r="AI705" i="1"/>
  <c r="AK709" i="1"/>
  <c r="AB848" i="1"/>
  <c r="AC751" i="1"/>
  <c r="AC754" i="1" s="1"/>
  <c r="AI751" i="1"/>
  <c r="W754" i="1"/>
  <c r="Q781" i="1"/>
  <c r="AJ811" i="1"/>
  <c r="AI811" i="1"/>
  <c r="AD811" i="1"/>
  <c r="AH811" i="1"/>
  <c r="AG845" i="1"/>
  <c r="AG846" i="1" s="1"/>
  <c r="AK845" i="1"/>
  <c r="AE902" i="1"/>
  <c r="AE916" i="1"/>
  <c r="AE919" i="1" s="1"/>
  <c r="AM938" i="1"/>
  <c r="AP938" i="1" s="1"/>
  <c r="AQ938" i="1" s="1"/>
  <c r="AR938" i="1" s="1"/>
  <c r="AV938" i="1" s="1"/>
  <c r="AX938" i="1" s="1"/>
  <c r="W1005" i="1"/>
  <c r="AH952" i="1"/>
  <c r="AE952" i="1"/>
  <c r="AM955" i="1"/>
  <c r="AP955" i="1" s="1"/>
  <c r="AQ955" i="1" s="1"/>
  <c r="AR955" i="1" s="1"/>
  <c r="AE957" i="1"/>
  <c r="AF957" i="1"/>
  <c r="AI977" i="1"/>
  <c r="AM984" i="1"/>
  <c r="AP984" i="1" s="1"/>
  <c r="AQ984" i="1" s="1"/>
  <c r="AR984" i="1" s="1"/>
  <c r="AV984" i="1" s="1"/>
  <c r="AX984" i="1" s="1"/>
  <c r="AD989" i="1"/>
  <c r="AG1011" i="1"/>
  <c r="AJ1025" i="1"/>
  <c r="AE1025" i="1"/>
  <c r="AH1025" i="1"/>
  <c r="AE1031" i="1"/>
  <c r="AH1052" i="1"/>
  <c r="AF1052" i="1"/>
  <c r="AJ1052" i="1"/>
  <c r="AD1052" i="1"/>
  <c r="AG1068" i="1"/>
  <c r="AG1075" i="1"/>
  <c r="AI1080" i="1"/>
  <c r="AJ1107" i="1"/>
  <c r="AH1107" i="1"/>
  <c r="AE1107" i="1"/>
  <c r="AI1107" i="1"/>
  <c r="AD1107" i="1"/>
  <c r="AF1138" i="1"/>
  <c r="AH1363" i="1"/>
  <c r="AH1368" i="1" s="1"/>
  <c r="AH1402" i="1" s="1"/>
  <c r="P1402" i="1"/>
  <c r="AH80" i="1"/>
  <c r="M118" i="1"/>
  <c r="Q118" i="1" s="1"/>
  <c r="M117" i="1"/>
  <c r="Q117" i="1" s="1"/>
  <c r="R117" i="1" s="1"/>
  <c r="S117" i="1" s="1"/>
  <c r="T117" i="1" s="1"/>
  <c r="AG117" i="1" s="1"/>
  <c r="R138" i="1"/>
  <c r="S138" i="1" s="1"/>
  <c r="T138" i="1" s="1"/>
  <c r="AE138" i="1" s="1"/>
  <c r="Q174" i="1"/>
  <c r="N215" i="1"/>
  <c r="M215" i="1" s="1"/>
  <c r="L215" i="1" s="1"/>
  <c r="K215" i="1" s="1"/>
  <c r="Q215" i="1" s="1"/>
  <c r="R215" i="1" s="1"/>
  <c r="S215" i="1" s="1"/>
  <c r="T215" i="1" s="1"/>
  <c r="N221" i="1"/>
  <c r="M221" i="1" s="1"/>
  <c r="L221" i="1" s="1"/>
  <c r="K221" i="1" s="1"/>
  <c r="Q221" i="1" s="1"/>
  <c r="R221" i="1" s="1"/>
  <c r="S221" i="1" s="1"/>
  <c r="T221" i="1" s="1"/>
  <c r="N224" i="1"/>
  <c r="M224" i="1" s="1"/>
  <c r="L224" i="1" s="1"/>
  <c r="K224" i="1" s="1"/>
  <c r="Q224" i="1" s="1"/>
  <c r="R224" i="1" s="1"/>
  <c r="S224" i="1" s="1"/>
  <c r="T224" i="1" s="1"/>
  <c r="AF224" i="1" s="1"/>
  <c r="E416" i="1"/>
  <c r="I416" i="1"/>
  <c r="I636" i="1" s="1"/>
  <c r="M416" i="1"/>
  <c r="M636" i="1" s="1"/>
  <c r="AL329" i="1"/>
  <c r="AI444" i="1"/>
  <c r="AK446" i="1"/>
  <c r="AK450" i="1"/>
  <c r="AC529" i="1"/>
  <c r="AL532" i="1"/>
  <c r="AG545" i="1"/>
  <c r="AK545" i="1"/>
  <c r="AX582" i="1"/>
  <c r="Q632" i="1"/>
  <c r="AP663" i="1"/>
  <c r="AQ663" i="1" s="1"/>
  <c r="AR663" i="1" s="1"/>
  <c r="AP674" i="1"/>
  <c r="AQ674" i="1" s="1"/>
  <c r="AR674" i="1" s="1"/>
  <c r="AJ683" i="1"/>
  <c r="AH683" i="1"/>
  <c r="AC683" i="1"/>
  <c r="AI683" i="1"/>
  <c r="AP688" i="1"/>
  <c r="AQ688" i="1" s="1"/>
  <c r="AR688" i="1" s="1"/>
  <c r="AE695" i="1"/>
  <c r="AL695" i="1"/>
  <c r="AE701" i="1"/>
  <c r="AL701" i="1"/>
  <c r="AC704" i="1"/>
  <c r="AD705" i="1"/>
  <c r="AK705" i="1"/>
  <c r="AP706" i="1"/>
  <c r="AQ706" i="1" s="1"/>
  <c r="AR706" i="1" s="1"/>
  <c r="AL707" i="1"/>
  <c r="AC707" i="1"/>
  <c r="AP723" i="1"/>
  <c r="AQ723" i="1" s="1"/>
  <c r="AR723" i="1" s="1"/>
  <c r="AP730" i="1"/>
  <c r="AQ730" i="1" s="1"/>
  <c r="AR730" i="1" s="1"/>
  <c r="AP731" i="1"/>
  <c r="AQ731" i="1" s="1"/>
  <c r="AR731" i="1" s="1"/>
  <c r="AD751" i="1"/>
  <c r="AL751" i="1"/>
  <c r="AL753" i="1"/>
  <c r="AK753" i="1"/>
  <c r="Q766" i="1"/>
  <c r="AJ763" i="1"/>
  <c r="AJ766" i="1" s="1"/>
  <c r="AH763" i="1"/>
  <c r="AH766" i="1" s="1"/>
  <c r="AC763" i="1"/>
  <c r="AC766" i="1" s="1"/>
  <c r="AI763" i="1"/>
  <c r="AI766" i="1" s="1"/>
  <c r="AJ765" i="1"/>
  <c r="AK765" i="1"/>
  <c r="AE765" i="1"/>
  <c r="AH765" i="1"/>
  <c r="Q795" i="1"/>
  <c r="R817" i="1"/>
  <c r="AP808" i="1"/>
  <c r="AQ808" i="1" s="1"/>
  <c r="AR808" i="1" s="1"/>
  <c r="AC811" i="1"/>
  <c r="AK811" i="1"/>
  <c r="AK817" i="1" s="1"/>
  <c r="AP841" i="1"/>
  <c r="AQ841" i="1" s="1"/>
  <c r="AR841" i="1" s="1"/>
  <c r="AK843" i="1"/>
  <c r="AF843" i="1"/>
  <c r="AP844" i="1"/>
  <c r="AQ844" i="1" s="1"/>
  <c r="AR844" i="1" s="1"/>
  <c r="AC845" i="1"/>
  <c r="AP856" i="1"/>
  <c r="AQ856" i="1" s="1"/>
  <c r="AR856" i="1" s="1"/>
  <c r="AP861" i="1"/>
  <c r="AQ861" i="1" s="1"/>
  <c r="AR861" i="1" s="1"/>
  <c r="AL916" i="1"/>
  <c r="AL919" i="1" s="1"/>
  <c r="AD952" i="1"/>
  <c r="AI957" i="1"/>
  <c r="AM960" i="1"/>
  <c r="AP960" i="1" s="1"/>
  <c r="AQ960" i="1" s="1"/>
  <c r="AR960" i="1" s="1"/>
  <c r="AI989" i="1"/>
  <c r="AL997" i="1"/>
  <c r="AC997" i="1"/>
  <c r="AH1011" i="1"/>
  <c r="AD1025" i="1"/>
  <c r="AG1031" i="1"/>
  <c r="AK1052" i="1"/>
  <c r="AH1075" i="1"/>
  <c r="AJ1098" i="1"/>
  <c r="AI1098" i="1"/>
  <c r="AD1098" i="1"/>
  <c r="AG1098" i="1"/>
  <c r="AH1098" i="1"/>
  <c r="AE1098" i="1"/>
  <c r="AL1107" i="1"/>
  <c r="D1319" i="1"/>
  <c r="H1319" i="1"/>
  <c r="L1319" i="1"/>
  <c r="P1319" i="1"/>
  <c r="Y1319" i="1"/>
  <c r="AL1363" i="1"/>
  <c r="AL1368" i="1" s="1"/>
  <c r="AL1402" i="1" s="1"/>
  <c r="AM1033" i="1"/>
  <c r="AP1033" i="1" s="1"/>
  <c r="AQ1033" i="1" s="1"/>
  <c r="AR1033" i="1" s="1"/>
  <c r="AM1039" i="1"/>
  <c r="AP1039" i="1" s="1"/>
  <c r="AQ1039" i="1" s="1"/>
  <c r="AR1039" i="1" s="1"/>
  <c r="AJ1049" i="1"/>
  <c r="AM1057" i="1"/>
  <c r="AP1057" i="1" s="1"/>
  <c r="AQ1057" i="1" s="1"/>
  <c r="AR1057" i="1" s="1"/>
  <c r="AV1057" i="1" s="1"/>
  <c r="AX1057" i="1" s="1"/>
  <c r="AM1149" i="1"/>
  <c r="AP1149" i="1" s="1"/>
  <c r="AQ1149" i="1" s="1"/>
  <c r="AR1149" i="1" s="1"/>
  <c r="AV1149" i="1" s="1"/>
  <c r="AX1149" i="1" s="1"/>
  <c r="AJ1171" i="1"/>
  <c r="AH1171" i="1"/>
  <c r="AC1171" i="1"/>
  <c r="AG1171" i="1"/>
  <c r="AK1171" i="1"/>
  <c r="AG1188" i="1"/>
  <c r="AC1188" i="1"/>
  <c r="R1216" i="1"/>
  <c r="AS1319" i="1"/>
  <c r="Q1264" i="1"/>
  <c r="Q1302" i="1"/>
  <c r="AX193" i="1"/>
  <c r="Q109" i="1"/>
  <c r="Q191" i="1"/>
  <c r="AV261" i="1"/>
  <c r="F416" i="1"/>
  <c r="J416" i="1"/>
  <c r="N416" i="1"/>
  <c r="N636" i="1" s="1"/>
  <c r="AX416" i="1"/>
  <c r="D552" i="1"/>
  <c r="H552" i="1"/>
  <c r="L552" i="1"/>
  <c r="P552" i="1"/>
  <c r="AV582" i="1"/>
  <c r="F634" i="1"/>
  <c r="J634" i="1"/>
  <c r="AV634" i="1"/>
  <c r="AP643" i="1"/>
  <c r="AQ643" i="1" s="1"/>
  <c r="AR643" i="1" s="1"/>
  <c r="AI661" i="1"/>
  <c r="AI666" i="1" s="1"/>
  <c r="Y848" i="1"/>
  <c r="W711" i="1"/>
  <c r="AG677" i="1"/>
  <c r="AL677" i="1"/>
  <c r="AP680" i="1"/>
  <c r="AQ680" i="1" s="1"/>
  <c r="AR680" i="1" s="1"/>
  <c r="AG681" i="1"/>
  <c r="AL681" i="1"/>
  <c r="AP692" i="1"/>
  <c r="AQ692" i="1" s="1"/>
  <c r="AR692" i="1" s="1"/>
  <c r="AP698" i="1"/>
  <c r="AQ698" i="1" s="1"/>
  <c r="AR698" i="1" s="1"/>
  <c r="AP719" i="1"/>
  <c r="AQ719" i="1" s="1"/>
  <c r="AR719" i="1" s="1"/>
  <c r="AI733" i="1"/>
  <c r="AI735" i="1"/>
  <c r="AT848" i="1"/>
  <c r="AP745" i="1"/>
  <c r="AQ745" i="1" s="1"/>
  <c r="AR745" i="1" s="1"/>
  <c r="AP762" i="1"/>
  <c r="AQ762" i="1" s="1"/>
  <c r="AR762" i="1" s="1"/>
  <c r="AP777" i="1"/>
  <c r="AQ777" i="1" s="1"/>
  <c r="AR777" i="1" s="1"/>
  <c r="AP790" i="1"/>
  <c r="AQ790" i="1" s="1"/>
  <c r="AR790" i="1" s="1"/>
  <c r="Q817" i="1"/>
  <c r="AP833" i="1"/>
  <c r="AQ833" i="1" s="1"/>
  <c r="AR833" i="1" s="1"/>
  <c r="U921" i="1"/>
  <c r="AP871" i="1"/>
  <c r="AQ871" i="1" s="1"/>
  <c r="AR871" i="1" s="1"/>
  <c r="AP877" i="1"/>
  <c r="AQ877" i="1" s="1"/>
  <c r="AR877" i="1" s="1"/>
  <c r="AJ884" i="1"/>
  <c r="AJ885" i="1" s="1"/>
  <c r="AI884" i="1"/>
  <c r="AI885" i="1" s="1"/>
  <c r="AD884" i="1"/>
  <c r="AD885" i="1" s="1"/>
  <c r="AH884" i="1"/>
  <c r="AH885" i="1" s="1"/>
  <c r="AP889" i="1"/>
  <c r="AQ889" i="1" s="1"/>
  <c r="AR889" i="1" s="1"/>
  <c r="AP892" i="1"/>
  <c r="AQ892" i="1" s="1"/>
  <c r="AR892" i="1" s="1"/>
  <c r="AJ900" i="1"/>
  <c r="AI900" i="1"/>
  <c r="AI902" i="1" s="1"/>
  <c r="AI921" i="1" s="1"/>
  <c r="AD900" i="1"/>
  <c r="AH900" i="1"/>
  <c r="AH902" i="1" s="1"/>
  <c r="AP908" i="1"/>
  <c r="AQ908" i="1" s="1"/>
  <c r="AR908" i="1" s="1"/>
  <c r="AI940" i="1"/>
  <c r="AF940" i="1"/>
  <c r="AJ981" i="1"/>
  <c r="AI981" i="1"/>
  <c r="AD981" i="1"/>
  <c r="AH981" i="1"/>
  <c r="AJ1023" i="1"/>
  <c r="AI1023" i="1"/>
  <c r="AD1023" i="1"/>
  <c r="AH1023" i="1"/>
  <c r="AM1028" i="1"/>
  <c r="AP1028" i="1" s="1"/>
  <c r="AQ1028" i="1" s="1"/>
  <c r="AR1028" i="1" s="1"/>
  <c r="AJ1035" i="1"/>
  <c r="AC1035" i="1"/>
  <c r="AK1035" i="1"/>
  <c r="AJ1037" i="1"/>
  <c r="AK1037" i="1"/>
  <c r="AE1037" i="1"/>
  <c r="AH1037" i="1"/>
  <c r="AK1041" i="1"/>
  <c r="AC1041" i="1"/>
  <c r="AC1049" i="1"/>
  <c r="AK1049" i="1"/>
  <c r="AI1061" i="1"/>
  <c r="AF1061" i="1"/>
  <c r="AJ1064" i="1"/>
  <c r="AL1064" i="1"/>
  <c r="AD1064" i="1"/>
  <c r="AJ1077" i="1"/>
  <c r="AE1077" i="1"/>
  <c r="AE1082" i="1" s="1"/>
  <c r="AL1077" i="1"/>
  <c r="AL1096" i="1"/>
  <c r="AG1096" i="1"/>
  <c r="AC1096" i="1"/>
  <c r="AL1103" i="1"/>
  <c r="AG1103" i="1"/>
  <c r="AK1103" i="1"/>
  <c r="AL1111" i="1"/>
  <c r="AK1111" i="1"/>
  <c r="AL1121" i="1"/>
  <c r="AC1121" i="1"/>
  <c r="AL1124" i="1"/>
  <c r="AG1124" i="1"/>
  <c r="AK1124" i="1"/>
  <c r="AD1171" i="1"/>
  <c r="AL1171" i="1"/>
  <c r="AK1188" i="1"/>
  <c r="AJ1190" i="1"/>
  <c r="AH1190" i="1"/>
  <c r="AC1190" i="1"/>
  <c r="AG1190" i="1"/>
  <c r="AK1190" i="1"/>
  <c r="E1218" i="1"/>
  <c r="I1218" i="1"/>
  <c r="G1319" i="1"/>
  <c r="G1404" i="1" s="1"/>
  <c r="O1319" i="1"/>
  <c r="R1276" i="1"/>
  <c r="S1276" i="1" s="1"/>
  <c r="T1276" i="1" s="1"/>
  <c r="T1302" i="1" s="1"/>
  <c r="X1402" i="1"/>
  <c r="AB1402" i="1"/>
  <c r="AP815" i="1"/>
  <c r="AQ815" i="1" s="1"/>
  <c r="AR815" i="1" s="1"/>
  <c r="AX827" i="1"/>
  <c r="AP825" i="1"/>
  <c r="AQ825" i="1" s="1"/>
  <c r="AR825" i="1" s="1"/>
  <c r="AP826" i="1"/>
  <c r="AQ826" i="1" s="1"/>
  <c r="AR826" i="1" s="1"/>
  <c r="AP858" i="1"/>
  <c r="AQ858" i="1" s="1"/>
  <c r="AR858" i="1" s="1"/>
  <c r="AG865" i="1"/>
  <c r="AG867" i="1" s="1"/>
  <c r="AL865" i="1"/>
  <c r="AL867" i="1" s="1"/>
  <c r="Y921" i="1"/>
  <c r="AU921" i="1"/>
  <c r="AU1404" i="1" s="1"/>
  <c r="AP873" i="1"/>
  <c r="AQ873" i="1" s="1"/>
  <c r="AR873" i="1" s="1"/>
  <c r="AP881" i="1"/>
  <c r="AQ881" i="1" s="1"/>
  <c r="AR881" i="1" s="1"/>
  <c r="Q885" i="1"/>
  <c r="AP891" i="1"/>
  <c r="AQ891" i="1" s="1"/>
  <c r="AR891" i="1" s="1"/>
  <c r="AG898" i="1"/>
  <c r="AG902" i="1" s="1"/>
  <c r="AL898" i="1"/>
  <c r="AL902" i="1" s="1"/>
  <c r="W902" i="1"/>
  <c r="W921" i="1" s="1"/>
  <c r="AP912" i="1"/>
  <c r="AQ912" i="1" s="1"/>
  <c r="AR912" i="1" s="1"/>
  <c r="D1174" i="1"/>
  <c r="H1174" i="1"/>
  <c r="L1174" i="1"/>
  <c r="L1404" i="1" s="1"/>
  <c r="P1174" i="1"/>
  <c r="AT1174" i="1"/>
  <c r="AM962" i="1"/>
  <c r="AP962" i="1" s="1"/>
  <c r="AQ962" i="1" s="1"/>
  <c r="AR962" i="1" s="1"/>
  <c r="AM966" i="1"/>
  <c r="AP966" i="1" s="1"/>
  <c r="AQ966" i="1" s="1"/>
  <c r="AR966" i="1" s="1"/>
  <c r="AV966" i="1" s="1"/>
  <c r="AX966" i="1" s="1"/>
  <c r="AG998" i="1"/>
  <c r="AL998" i="1"/>
  <c r="AG1000" i="1"/>
  <c r="AL1000" i="1"/>
  <c r="AG1017" i="1"/>
  <c r="AL1017" i="1"/>
  <c r="Q1082" i="1"/>
  <c r="AJ1105" i="1"/>
  <c r="AK1105" i="1"/>
  <c r="AE1105" i="1"/>
  <c r="AH1105" i="1"/>
  <c r="AJ1126" i="1"/>
  <c r="AK1126" i="1"/>
  <c r="AE1126" i="1"/>
  <c r="AH1126" i="1"/>
  <c r="AJ1136" i="1"/>
  <c r="AK1136" i="1"/>
  <c r="AE1136" i="1"/>
  <c r="AH1136" i="1"/>
  <c r="Q1152" i="1"/>
  <c r="AJ1169" i="1"/>
  <c r="AB1218" i="1"/>
  <c r="Q1216" i="1"/>
  <c r="S1216" i="1" s="1"/>
  <c r="F1319" i="1"/>
  <c r="J1319" i="1"/>
  <c r="N1319" i="1"/>
  <c r="AU1319" i="1"/>
  <c r="AK1349" i="1"/>
  <c r="X1349" i="1"/>
  <c r="AP1349" i="1"/>
  <c r="D1402" i="1"/>
  <c r="H1402" i="1"/>
  <c r="AU1402" i="1"/>
  <c r="AK1147" i="1"/>
  <c r="O1218" i="1"/>
  <c r="U1319" i="1"/>
  <c r="AT1319" i="1"/>
  <c r="AG1249" i="1"/>
  <c r="AG1250" i="1" s="1"/>
  <c r="AL1249" i="1"/>
  <c r="AL1250" i="1" s="1"/>
  <c r="F1349" i="1"/>
  <c r="J1349" i="1"/>
  <c r="N1349" i="1"/>
  <c r="F1402" i="1"/>
  <c r="J1402" i="1"/>
  <c r="Q1400" i="1"/>
  <c r="AF18" i="1"/>
  <c r="AE18" i="1"/>
  <c r="AH18" i="1"/>
  <c r="AI18" i="1"/>
  <c r="AL18" i="1"/>
  <c r="AK18" i="1"/>
  <c r="AG18" i="1"/>
  <c r="AC18" i="1"/>
  <c r="AJ18" i="1"/>
  <c r="AD18" i="1"/>
  <c r="AK24" i="1"/>
  <c r="AG24" i="1"/>
  <c r="AC24" i="1"/>
  <c r="AJ24" i="1"/>
  <c r="AI24" i="1"/>
  <c r="AD24" i="1"/>
  <c r="AH24" i="1"/>
  <c r="AL24" i="1"/>
  <c r="AF24" i="1"/>
  <c r="AE24" i="1"/>
  <c r="AK32" i="1"/>
  <c r="AG32" i="1"/>
  <c r="AC32" i="1"/>
  <c r="AE32" i="1"/>
  <c r="AI32" i="1"/>
  <c r="AD32" i="1"/>
  <c r="AH32" i="1"/>
  <c r="AL32" i="1"/>
  <c r="AF32" i="1"/>
  <c r="AJ32" i="1"/>
  <c r="AL43" i="1"/>
  <c r="AH43" i="1"/>
  <c r="AD43" i="1"/>
  <c r="AI43" i="1"/>
  <c r="AG43" i="1"/>
  <c r="AK43" i="1"/>
  <c r="AF43" i="1"/>
  <c r="AJ43" i="1"/>
  <c r="AE43" i="1"/>
  <c r="AC43" i="1"/>
  <c r="AL47" i="1"/>
  <c r="AH47" i="1"/>
  <c r="AD47" i="1"/>
  <c r="AC47" i="1"/>
  <c r="AG47" i="1"/>
  <c r="AK47" i="1"/>
  <c r="AF47" i="1"/>
  <c r="AJ47" i="1"/>
  <c r="AE47" i="1"/>
  <c r="AI47" i="1"/>
  <c r="AF14" i="1"/>
  <c r="AI14" i="1"/>
  <c r="AL14" i="1"/>
  <c r="AE14" i="1"/>
  <c r="AH14" i="1"/>
  <c r="AK14" i="1"/>
  <c r="AG14" i="1"/>
  <c r="AC14" i="1"/>
  <c r="AJ14" i="1"/>
  <c r="AD14" i="1"/>
  <c r="AL20" i="1"/>
  <c r="AD20" i="1"/>
  <c r="AK20" i="1"/>
  <c r="AG20" i="1"/>
  <c r="AF20" i="1"/>
  <c r="AI20" i="1"/>
  <c r="AE20" i="1"/>
  <c r="AH20" i="1"/>
  <c r="AC20" i="1"/>
  <c r="AJ20" i="1"/>
  <c r="AJ25" i="1"/>
  <c r="AF25" i="1"/>
  <c r="AK25" i="1"/>
  <c r="AD25" i="1"/>
  <c r="AI25" i="1"/>
  <c r="AH25" i="1"/>
  <c r="AC25" i="1"/>
  <c r="AL25" i="1"/>
  <c r="AG25" i="1"/>
  <c r="AE25" i="1"/>
  <c r="AI30" i="1"/>
  <c r="AE30" i="1"/>
  <c r="AK30" i="1"/>
  <c r="AC30" i="1"/>
  <c r="AJ30" i="1"/>
  <c r="AD30" i="1"/>
  <c r="AH30" i="1"/>
  <c r="AL30" i="1"/>
  <c r="AG30" i="1"/>
  <c r="AF30" i="1"/>
  <c r="AJ33" i="1"/>
  <c r="AF33" i="1"/>
  <c r="AE33" i="1"/>
  <c r="AH33" i="1"/>
  <c r="AI33" i="1"/>
  <c r="AD33" i="1"/>
  <c r="AC33" i="1"/>
  <c r="AL33" i="1"/>
  <c r="AG33" i="1"/>
  <c r="AK33" i="1"/>
  <c r="AI61" i="1"/>
  <c r="AE61" i="1"/>
  <c r="AJ61" i="1"/>
  <c r="AF61" i="1"/>
  <c r="AG61" i="1"/>
  <c r="AL61" i="1"/>
  <c r="AD61" i="1"/>
  <c r="AK61" i="1"/>
  <c r="AC61" i="1"/>
  <c r="AH61" i="1"/>
  <c r="AL66" i="1"/>
  <c r="AH66" i="1"/>
  <c r="AD66" i="1"/>
  <c r="AI66" i="1"/>
  <c r="AE66" i="1"/>
  <c r="AK66" i="1"/>
  <c r="AJ66" i="1"/>
  <c r="AG66" i="1"/>
  <c r="AF66" i="1"/>
  <c r="AC66" i="1"/>
  <c r="AE15" i="1"/>
  <c r="AC15" i="1"/>
  <c r="AH15" i="1"/>
  <c r="AK15" i="1"/>
  <c r="AJ15" i="1"/>
  <c r="AF15" i="1"/>
  <c r="AI15" i="1"/>
  <c r="AL15" i="1"/>
  <c r="AD15" i="1"/>
  <c r="AG15" i="1"/>
  <c r="AI23" i="1"/>
  <c r="AL23" i="1"/>
  <c r="AG23" i="1"/>
  <c r="AH23" i="1"/>
  <c r="AC23" i="1"/>
  <c r="AJ23" i="1"/>
  <c r="AF23" i="1"/>
  <c r="AE23" i="1"/>
  <c r="AD23" i="1"/>
  <c r="AK23" i="1"/>
  <c r="AI26" i="1"/>
  <c r="AE26" i="1"/>
  <c r="AK26" i="1"/>
  <c r="AJ26" i="1"/>
  <c r="AC26" i="1"/>
  <c r="AD26" i="1"/>
  <c r="AH26" i="1"/>
  <c r="AL26" i="1"/>
  <c r="AG26" i="1"/>
  <c r="AF26" i="1"/>
  <c r="AL31" i="1"/>
  <c r="AH31" i="1"/>
  <c r="AD31" i="1"/>
  <c r="AK31" i="1"/>
  <c r="AJ31" i="1"/>
  <c r="AE31" i="1"/>
  <c r="AC31" i="1"/>
  <c r="AI31" i="1"/>
  <c r="AG31" i="1"/>
  <c r="AF31" i="1"/>
  <c r="AI34" i="1"/>
  <c r="AE34" i="1"/>
  <c r="AF34" i="1"/>
  <c r="AJ34" i="1"/>
  <c r="AD34" i="1"/>
  <c r="AC34" i="1"/>
  <c r="AH34" i="1"/>
  <c r="AL34" i="1"/>
  <c r="AG34" i="1"/>
  <c r="AK34" i="1"/>
  <c r="AK40" i="1"/>
  <c r="AG40" i="1"/>
  <c r="AC40" i="1"/>
  <c r="AH40" i="1"/>
  <c r="AL40" i="1"/>
  <c r="AF40" i="1"/>
  <c r="AJ40" i="1"/>
  <c r="AE40" i="1"/>
  <c r="AI40" i="1"/>
  <c r="AD40" i="1"/>
  <c r="AI42" i="1"/>
  <c r="AE42" i="1"/>
  <c r="AH42" i="1"/>
  <c r="AL42" i="1"/>
  <c r="AG42" i="1"/>
  <c r="AK42" i="1"/>
  <c r="AF42" i="1"/>
  <c r="AJ42" i="1"/>
  <c r="AD42" i="1"/>
  <c r="AC42" i="1"/>
  <c r="AK44" i="1"/>
  <c r="AG44" i="1"/>
  <c r="AC44" i="1"/>
  <c r="AH44" i="1"/>
  <c r="AL44" i="1"/>
  <c r="AF44" i="1"/>
  <c r="AJ44" i="1"/>
  <c r="AE44" i="1"/>
  <c r="AI44" i="1"/>
  <c r="AD44" i="1"/>
  <c r="AI46" i="1"/>
  <c r="AE46" i="1"/>
  <c r="AC46" i="1"/>
  <c r="AL46" i="1"/>
  <c r="AG46" i="1"/>
  <c r="AK46" i="1"/>
  <c r="AF46" i="1"/>
  <c r="AJ46" i="1"/>
  <c r="AD46" i="1"/>
  <c r="AH46" i="1"/>
  <c r="AK48" i="1"/>
  <c r="AG48" i="1"/>
  <c r="AC48" i="1"/>
  <c r="AH48" i="1"/>
  <c r="AL48" i="1"/>
  <c r="AF48" i="1"/>
  <c r="AJ48" i="1"/>
  <c r="AE48" i="1"/>
  <c r="AI48" i="1"/>
  <c r="AD48" i="1"/>
  <c r="AI50" i="1"/>
  <c r="AE50" i="1"/>
  <c r="AH50" i="1"/>
  <c r="AL50" i="1"/>
  <c r="AG50" i="1"/>
  <c r="AK50" i="1"/>
  <c r="AF50" i="1"/>
  <c r="AJ50" i="1"/>
  <c r="AD50" i="1"/>
  <c r="AC50" i="1"/>
  <c r="AK52" i="1"/>
  <c r="AG52" i="1"/>
  <c r="AC52" i="1"/>
  <c r="AH52" i="1"/>
  <c r="AL52" i="1"/>
  <c r="AF52" i="1"/>
  <c r="AJ52" i="1"/>
  <c r="AE52" i="1"/>
  <c r="AI52" i="1"/>
  <c r="AD52" i="1"/>
  <c r="AK55" i="1"/>
  <c r="AG55" i="1"/>
  <c r="AC55" i="1"/>
  <c r="AL55" i="1"/>
  <c r="AH55" i="1"/>
  <c r="AD55" i="1"/>
  <c r="AJ55" i="1"/>
  <c r="AI55" i="1"/>
  <c r="AF55" i="1"/>
  <c r="AE55" i="1"/>
  <c r="AI57" i="1"/>
  <c r="AE57" i="1"/>
  <c r="AJ57" i="1"/>
  <c r="AF57" i="1"/>
  <c r="AG57" i="1"/>
  <c r="AL57" i="1"/>
  <c r="AD57" i="1"/>
  <c r="AK57" i="1"/>
  <c r="AC57" i="1"/>
  <c r="AH57" i="1"/>
  <c r="AL62" i="1"/>
  <c r="AH62" i="1"/>
  <c r="AD62" i="1"/>
  <c r="AI62" i="1"/>
  <c r="AE62" i="1"/>
  <c r="AC62" i="1"/>
  <c r="AJ62" i="1"/>
  <c r="AG62" i="1"/>
  <c r="AF62" i="1"/>
  <c r="AK62" i="1"/>
  <c r="AK71" i="1"/>
  <c r="AG71" i="1"/>
  <c r="AC71" i="1"/>
  <c r="AL71" i="1"/>
  <c r="AH71" i="1"/>
  <c r="AD71" i="1"/>
  <c r="AE71" i="1"/>
  <c r="AJ71" i="1"/>
  <c r="AI71" i="1"/>
  <c r="AF71" i="1"/>
  <c r="AL78" i="1"/>
  <c r="AH78" i="1"/>
  <c r="AD78" i="1"/>
  <c r="AK78" i="1"/>
  <c r="AG78" i="1"/>
  <c r="AI78" i="1"/>
  <c r="AE78" i="1"/>
  <c r="AC78" i="1"/>
  <c r="AJ78" i="1"/>
  <c r="AF78" i="1"/>
  <c r="AL16" i="1"/>
  <c r="AD16" i="1"/>
  <c r="AK16" i="1"/>
  <c r="AJ16" i="1"/>
  <c r="AF16" i="1"/>
  <c r="AI16" i="1"/>
  <c r="AE16" i="1"/>
  <c r="AH16" i="1"/>
  <c r="AG16" i="1"/>
  <c r="AC16" i="1"/>
  <c r="AK21" i="1"/>
  <c r="AC21" i="1"/>
  <c r="AJ21" i="1"/>
  <c r="AI21" i="1"/>
  <c r="AE21" i="1"/>
  <c r="AL21" i="1"/>
  <c r="AH21" i="1"/>
  <c r="AD21" i="1"/>
  <c r="AG21" i="1"/>
  <c r="AF21" i="1"/>
  <c r="AK28" i="1"/>
  <c r="AG28" i="1"/>
  <c r="AC28" i="1"/>
  <c r="AE28" i="1"/>
  <c r="AD28" i="1"/>
  <c r="AI28" i="1"/>
  <c r="AH28" i="1"/>
  <c r="AL28" i="1"/>
  <c r="AF28" i="1"/>
  <c r="AJ28" i="1"/>
  <c r="AL35" i="1"/>
  <c r="AH35" i="1"/>
  <c r="AD35" i="1"/>
  <c r="AK35" i="1"/>
  <c r="AF35" i="1"/>
  <c r="AC35" i="1"/>
  <c r="AJ35" i="1"/>
  <c r="AE35" i="1"/>
  <c r="AI35" i="1"/>
  <c r="AG35" i="1"/>
  <c r="AI53" i="1"/>
  <c r="AE53" i="1"/>
  <c r="AJ53" i="1"/>
  <c r="AF53" i="1"/>
  <c r="AG53" i="1"/>
  <c r="AL53" i="1"/>
  <c r="AD53" i="1"/>
  <c r="AK53" i="1"/>
  <c r="AC53" i="1"/>
  <c r="AH53" i="1"/>
  <c r="AL58" i="1"/>
  <c r="AH58" i="1"/>
  <c r="AD58" i="1"/>
  <c r="AI58" i="1"/>
  <c r="AE58" i="1"/>
  <c r="AK58" i="1"/>
  <c r="AJ58" i="1"/>
  <c r="AG58" i="1"/>
  <c r="AF58" i="1"/>
  <c r="AC58" i="1"/>
  <c r="AK67" i="1"/>
  <c r="AG67" i="1"/>
  <c r="AC67" i="1"/>
  <c r="AL67" i="1"/>
  <c r="AH67" i="1"/>
  <c r="AD67" i="1"/>
  <c r="AE67" i="1"/>
  <c r="AJ67" i="1"/>
  <c r="AI67" i="1"/>
  <c r="AF67" i="1"/>
  <c r="AI69" i="1"/>
  <c r="AE69" i="1"/>
  <c r="AJ69" i="1"/>
  <c r="AF69" i="1"/>
  <c r="AH69" i="1"/>
  <c r="AG69" i="1"/>
  <c r="AL69" i="1"/>
  <c r="AD69" i="1"/>
  <c r="AK69" i="1"/>
  <c r="AC69" i="1"/>
  <c r="AJ29" i="1"/>
  <c r="AF29" i="1"/>
  <c r="AE29" i="1"/>
  <c r="AI29" i="1"/>
  <c r="AD29" i="1"/>
  <c r="AC29" i="1"/>
  <c r="AH29" i="1"/>
  <c r="AL29" i="1"/>
  <c r="AG29" i="1"/>
  <c r="AK29" i="1"/>
  <c r="AJ45" i="1"/>
  <c r="AF45" i="1"/>
  <c r="AH45" i="1"/>
  <c r="AL45" i="1"/>
  <c r="AG45" i="1"/>
  <c r="AK45" i="1"/>
  <c r="AE45" i="1"/>
  <c r="AI45" i="1"/>
  <c r="AD45" i="1"/>
  <c r="AC45" i="1"/>
  <c r="AJ49" i="1"/>
  <c r="AF49" i="1"/>
  <c r="AL49" i="1"/>
  <c r="AG49" i="1"/>
  <c r="AK49" i="1"/>
  <c r="AE49" i="1"/>
  <c r="AI49" i="1"/>
  <c r="AD49" i="1"/>
  <c r="AH49" i="1"/>
  <c r="AC49" i="1"/>
  <c r="AL51" i="1"/>
  <c r="AH51" i="1"/>
  <c r="AD51" i="1"/>
  <c r="AG51" i="1"/>
  <c r="AK51" i="1"/>
  <c r="AF51" i="1"/>
  <c r="AJ51" i="1"/>
  <c r="AE51" i="1"/>
  <c r="AI51" i="1"/>
  <c r="AC51" i="1"/>
  <c r="AL54" i="1"/>
  <c r="AH54" i="1"/>
  <c r="AD54" i="1"/>
  <c r="AI54" i="1"/>
  <c r="AE54" i="1"/>
  <c r="AK54" i="1"/>
  <c r="AJ54" i="1"/>
  <c r="AG54" i="1"/>
  <c r="AF54" i="1"/>
  <c r="AC54" i="1"/>
  <c r="AK63" i="1"/>
  <c r="AG63" i="1"/>
  <c r="AC63" i="1"/>
  <c r="AL63" i="1"/>
  <c r="AH63" i="1"/>
  <c r="AD63" i="1"/>
  <c r="AE63" i="1"/>
  <c r="AJ63" i="1"/>
  <c r="AI63" i="1"/>
  <c r="AF63" i="1"/>
  <c r="AI65" i="1"/>
  <c r="AE65" i="1"/>
  <c r="AJ65" i="1"/>
  <c r="AF65" i="1"/>
  <c r="AG65" i="1"/>
  <c r="AL65" i="1"/>
  <c r="AD65" i="1"/>
  <c r="AK65" i="1"/>
  <c r="AC65" i="1"/>
  <c r="AH65" i="1"/>
  <c r="AL70" i="1"/>
  <c r="AH70" i="1"/>
  <c r="AD70" i="1"/>
  <c r="AI70" i="1"/>
  <c r="AE70" i="1"/>
  <c r="AK70" i="1"/>
  <c r="AJ70" i="1"/>
  <c r="AG70" i="1"/>
  <c r="AF70" i="1"/>
  <c r="AC70" i="1"/>
  <c r="AL82" i="1"/>
  <c r="AH82" i="1"/>
  <c r="AD82" i="1"/>
  <c r="AK82" i="1"/>
  <c r="AG82" i="1"/>
  <c r="AC82" i="1"/>
  <c r="AI82" i="1"/>
  <c r="AE82" i="1"/>
  <c r="AJ82" i="1"/>
  <c r="AF82" i="1"/>
  <c r="AI19" i="1"/>
  <c r="AD19" i="1"/>
  <c r="AC19" i="1"/>
  <c r="AL19" i="1"/>
  <c r="AK19" i="1"/>
  <c r="AJ19" i="1"/>
  <c r="AF19" i="1"/>
  <c r="AE19" i="1"/>
  <c r="AH19" i="1"/>
  <c r="AG19" i="1"/>
  <c r="AL27" i="1"/>
  <c r="AH27" i="1"/>
  <c r="AD27" i="1"/>
  <c r="AK27" i="1"/>
  <c r="AE27" i="1"/>
  <c r="AC27" i="1"/>
  <c r="AI27" i="1"/>
  <c r="AG27" i="1"/>
  <c r="AF27" i="1"/>
  <c r="AJ27" i="1"/>
  <c r="AJ41" i="1"/>
  <c r="AF41" i="1"/>
  <c r="AL41" i="1"/>
  <c r="AG41" i="1"/>
  <c r="AK41" i="1"/>
  <c r="AE41" i="1"/>
  <c r="AI41" i="1"/>
  <c r="AD41" i="1"/>
  <c r="AH41" i="1"/>
  <c r="AC41" i="1"/>
  <c r="AK17" i="1"/>
  <c r="AC17" i="1"/>
  <c r="AJ17" i="1"/>
  <c r="AE17" i="1"/>
  <c r="AL17" i="1"/>
  <c r="AH17" i="1"/>
  <c r="AD17" i="1"/>
  <c r="AG17" i="1"/>
  <c r="AF17" i="1"/>
  <c r="AI17" i="1"/>
  <c r="AF22" i="1"/>
  <c r="AI22" i="1"/>
  <c r="AD22" i="1"/>
  <c r="AE22" i="1"/>
  <c r="AH22" i="1"/>
  <c r="AK22" i="1"/>
  <c r="AG22" i="1"/>
  <c r="AC22" i="1"/>
  <c r="AJ22" i="1"/>
  <c r="AL22" i="1"/>
  <c r="AK59" i="1"/>
  <c r="AG59" i="1"/>
  <c r="AC59" i="1"/>
  <c r="AL59" i="1"/>
  <c r="AH59" i="1"/>
  <c r="AD59" i="1"/>
  <c r="AE59" i="1"/>
  <c r="AJ59" i="1"/>
  <c r="AI59" i="1"/>
  <c r="AF59" i="1"/>
  <c r="AN1239" i="1"/>
  <c r="AN630" i="1"/>
  <c r="AN626" i="1"/>
  <c r="AN622" i="1"/>
  <c r="AN618" i="1"/>
  <c r="AN629" i="1"/>
  <c r="AN625" i="1"/>
  <c r="AN621" i="1"/>
  <c r="AN617" i="1"/>
  <c r="AN613" i="1"/>
  <c r="AN631" i="1"/>
  <c r="AN627" i="1"/>
  <c r="AN623" i="1"/>
  <c r="AN619" i="1"/>
  <c r="AN615" i="1"/>
  <c r="AN611" i="1"/>
  <c r="AN607" i="1"/>
  <c r="AN603" i="1"/>
  <c r="AN596" i="1"/>
  <c r="AN589" i="1"/>
  <c r="AN579" i="1"/>
  <c r="AN575" i="1"/>
  <c r="AN571" i="1"/>
  <c r="AN624" i="1"/>
  <c r="AN612" i="1"/>
  <c r="AN609" i="1"/>
  <c r="AN608" i="1"/>
  <c r="AN605" i="1"/>
  <c r="AN604" i="1"/>
  <c r="AN564" i="1"/>
  <c r="AN560" i="1"/>
  <c r="AN548" i="1"/>
  <c r="AN544" i="1"/>
  <c r="AN540" i="1"/>
  <c r="AN532" i="1"/>
  <c r="AN528" i="1"/>
  <c r="AN620" i="1"/>
  <c r="AN614" i="1"/>
  <c r="AN578" i="1"/>
  <c r="AN574" i="1"/>
  <c r="AN567" i="1"/>
  <c r="AN563" i="1"/>
  <c r="AN559" i="1"/>
  <c r="AN547" i="1"/>
  <c r="AN543" i="1"/>
  <c r="AN539" i="1"/>
  <c r="AN531" i="1"/>
  <c r="AN527" i="1"/>
  <c r="AN599" i="1"/>
  <c r="AN595" i="1"/>
  <c r="AN588" i="1"/>
  <c r="AN577" i="1"/>
  <c r="AN576" i="1"/>
  <c r="AN573" i="1"/>
  <c r="AN572" i="1"/>
  <c r="AN566" i="1"/>
  <c r="AN562" i="1"/>
  <c r="AN558" i="1"/>
  <c r="AN628" i="1"/>
  <c r="AN616" i="1"/>
  <c r="AN610" i="1"/>
  <c r="AN606" i="1"/>
  <c r="AN598" i="1"/>
  <c r="AN597" i="1"/>
  <c r="AN594" i="1"/>
  <c r="AN590" i="1"/>
  <c r="AN587" i="1"/>
  <c r="AN565" i="1"/>
  <c r="AN561" i="1"/>
  <c r="AN557" i="1"/>
  <c r="AN549" i="1"/>
  <c r="AN545" i="1"/>
  <c r="AN541" i="1"/>
  <c r="AN533" i="1"/>
  <c r="AN529" i="1"/>
  <c r="AN525" i="1"/>
  <c r="AN521" i="1"/>
  <c r="AN517" i="1"/>
  <c r="AN513" i="1"/>
  <c r="AN505" i="1"/>
  <c r="AN497" i="1"/>
  <c r="AN493" i="1"/>
  <c r="AN489" i="1"/>
  <c r="AN481" i="1"/>
  <c r="AN523" i="1"/>
  <c r="AN522" i="1"/>
  <c r="AN519" i="1"/>
  <c r="AN518" i="1"/>
  <c r="AN515" i="1"/>
  <c r="AN514" i="1"/>
  <c r="AN511" i="1"/>
  <c r="AN498" i="1"/>
  <c r="AN495" i="1"/>
  <c r="AN494" i="1"/>
  <c r="AN491" i="1"/>
  <c r="AN490" i="1"/>
  <c r="AN475" i="1"/>
  <c r="AN471" i="1"/>
  <c r="AN467" i="1"/>
  <c r="AN463" i="1"/>
  <c r="AN453" i="1"/>
  <c r="AN449" i="1"/>
  <c r="AN445" i="1"/>
  <c r="AN441" i="1"/>
  <c r="AN437" i="1"/>
  <c r="AN433" i="1"/>
  <c r="AN429" i="1"/>
  <c r="AN534" i="1"/>
  <c r="AN530" i="1"/>
  <c r="AN504" i="1"/>
  <c r="AN484" i="1"/>
  <c r="AN480" i="1"/>
  <c r="AN474" i="1"/>
  <c r="AN470" i="1"/>
  <c r="AN466" i="1"/>
  <c r="AN462" i="1"/>
  <c r="AN452" i="1"/>
  <c r="AN448" i="1"/>
  <c r="AN444" i="1"/>
  <c r="AN440" i="1"/>
  <c r="AN526" i="1"/>
  <c r="AN507" i="1"/>
  <c r="AN506" i="1"/>
  <c r="AN503" i="1"/>
  <c r="AN502" i="1"/>
  <c r="AN483" i="1"/>
  <c r="AN482" i="1"/>
  <c r="AN479" i="1"/>
  <c r="AN473" i="1"/>
  <c r="AN469" i="1"/>
  <c r="AN465" i="1"/>
  <c r="AN461" i="1"/>
  <c r="AN546" i="1"/>
  <c r="AN542" i="1"/>
  <c r="AN538" i="1"/>
  <c r="AN524" i="1"/>
  <c r="AN520" i="1"/>
  <c r="AN516" i="1"/>
  <c r="AN512" i="1"/>
  <c r="AN496" i="1"/>
  <c r="AN492" i="1"/>
  <c r="AN488" i="1"/>
  <c r="AN472" i="1"/>
  <c r="AN468" i="1"/>
  <c r="AN464" i="1"/>
  <c r="AN450" i="1"/>
  <c r="AN446" i="1"/>
  <c r="AN442" i="1"/>
  <c r="AN438" i="1"/>
  <c r="AN434" i="1"/>
  <c r="AN426" i="1"/>
  <c r="AN422" i="1"/>
  <c r="AN413" i="1"/>
  <c r="AN409" i="1"/>
  <c r="AN405" i="1"/>
  <c r="AN399" i="1"/>
  <c r="AN393" i="1"/>
  <c r="AN389" i="1"/>
  <c r="AN385" i="1"/>
  <c r="AN425" i="1"/>
  <c r="AN421" i="1"/>
  <c r="AN411" i="1"/>
  <c r="AN410" i="1"/>
  <c r="AN407" i="1"/>
  <c r="AN406" i="1"/>
  <c r="AN401" i="1"/>
  <c r="AN400" i="1"/>
  <c r="AN394" i="1"/>
  <c r="AN391" i="1"/>
  <c r="AN390" i="1"/>
  <c r="AN387" i="1"/>
  <c r="AN386" i="1"/>
  <c r="AN381" i="1"/>
  <c r="AN377" i="1"/>
  <c r="AN373" i="1"/>
  <c r="AN369" i="1"/>
  <c r="AN365" i="1"/>
  <c r="AN361" i="1"/>
  <c r="AN357" i="1"/>
  <c r="AN353" i="1"/>
  <c r="AN349" i="1"/>
  <c r="AN345" i="1"/>
  <c r="AN341" i="1"/>
  <c r="AN337" i="1"/>
  <c r="AN333" i="1"/>
  <c r="AN329" i="1"/>
  <c r="AN325" i="1"/>
  <c r="AN321" i="1"/>
  <c r="AN317" i="1"/>
  <c r="AN424" i="1"/>
  <c r="AN423" i="1"/>
  <c r="AN420" i="1"/>
  <c r="AN380" i="1"/>
  <c r="AN376" i="1"/>
  <c r="AN372" i="1"/>
  <c r="AN368" i="1"/>
  <c r="AN364" i="1"/>
  <c r="AN356" i="1"/>
  <c r="AN348" i="1"/>
  <c r="AN344" i="1"/>
  <c r="AN340" i="1"/>
  <c r="AN336" i="1"/>
  <c r="AN332" i="1"/>
  <c r="AN328" i="1"/>
  <c r="AN324" i="1"/>
  <c r="AN320" i="1"/>
  <c r="AN383" i="1"/>
  <c r="AN379" i="1"/>
  <c r="AN375" i="1"/>
  <c r="AN371" i="1"/>
  <c r="AN367" i="1"/>
  <c r="AN363" i="1"/>
  <c r="AN355" i="1"/>
  <c r="AN451" i="1"/>
  <c r="AN447" i="1"/>
  <c r="AN443" i="1"/>
  <c r="AN439" i="1"/>
  <c r="AN436" i="1"/>
  <c r="AN435" i="1"/>
  <c r="AN428" i="1"/>
  <c r="AN427" i="1"/>
  <c r="AN412" i="1"/>
  <c r="AN408" i="1"/>
  <c r="AN398" i="1"/>
  <c r="AN392" i="1"/>
  <c r="AN388" i="1"/>
  <c r="AN384" i="1"/>
  <c r="AN382" i="1"/>
  <c r="AN378" i="1"/>
  <c r="AN374" i="1"/>
  <c r="AN370" i="1"/>
  <c r="AN366" i="1"/>
  <c r="AN362" i="1"/>
  <c r="AN354" i="1"/>
  <c r="AN346" i="1"/>
  <c r="AN342" i="1"/>
  <c r="AN338" i="1"/>
  <c r="AN334" i="1"/>
  <c r="AN330" i="1"/>
  <c r="AN326" i="1"/>
  <c r="AN322" i="1"/>
  <c r="AN318" i="1"/>
  <c r="AN310" i="1"/>
  <c r="AN306" i="1"/>
  <c r="AN302" i="1"/>
  <c r="AN298" i="1"/>
  <c r="AN294" i="1"/>
  <c r="AN290" i="1"/>
  <c r="AN286" i="1"/>
  <c r="AN282" i="1"/>
  <c r="AN278" i="1"/>
  <c r="AN270" i="1"/>
  <c r="AN311" i="1"/>
  <c r="AN308" i="1"/>
  <c r="AN307" i="1"/>
  <c r="AN304" i="1"/>
  <c r="AN303" i="1"/>
  <c r="AN300" i="1"/>
  <c r="AN299" i="1"/>
  <c r="AN296" i="1"/>
  <c r="AN295" i="1"/>
  <c r="AN292" i="1"/>
  <c r="AN291" i="1"/>
  <c r="AN288" i="1"/>
  <c r="AN287" i="1"/>
  <c r="AN271" i="1"/>
  <c r="AN266" i="1"/>
  <c r="AN256" i="1"/>
  <c r="AN252" i="1"/>
  <c r="AN248" i="1"/>
  <c r="AN240" i="1"/>
  <c r="AN236" i="1"/>
  <c r="AN232" i="1"/>
  <c r="AN226" i="1"/>
  <c r="AN222" i="1"/>
  <c r="AN218" i="1"/>
  <c r="AN281" i="1"/>
  <c r="AN277" i="1"/>
  <c r="AN269" i="1"/>
  <c r="AN255" i="1"/>
  <c r="AN251" i="1"/>
  <c r="AN247" i="1"/>
  <c r="AN239" i="1"/>
  <c r="AN235" i="1"/>
  <c r="AN231" i="1"/>
  <c r="AN225" i="1"/>
  <c r="AN221" i="1"/>
  <c r="AN217" i="1"/>
  <c r="AN347" i="1"/>
  <c r="AN343" i="1"/>
  <c r="AN339" i="1"/>
  <c r="AN335" i="1"/>
  <c r="AN331" i="1"/>
  <c r="AN327" i="1"/>
  <c r="AN323" i="1"/>
  <c r="AN319" i="1"/>
  <c r="AN316" i="1"/>
  <c r="AN315" i="1"/>
  <c r="AN280" i="1"/>
  <c r="AN279" i="1"/>
  <c r="AN276" i="1"/>
  <c r="AN275" i="1"/>
  <c r="AN268" i="1"/>
  <c r="AN258" i="1"/>
  <c r="AN254" i="1"/>
  <c r="AN250" i="1"/>
  <c r="AN246" i="1"/>
  <c r="AN242" i="1"/>
  <c r="AN238" i="1"/>
  <c r="AN234" i="1"/>
  <c r="AN309" i="1"/>
  <c r="AN305" i="1"/>
  <c r="AN301" i="1"/>
  <c r="AN297" i="1"/>
  <c r="AN293" i="1"/>
  <c r="AN289" i="1"/>
  <c r="AN267" i="1"/>
  <c r="AN257" i="1"/>
  <c r="AN253" i="1"/>
  <c r="AN249" i="1"/>
  <c r="AN241" i="1"/>
  <c r="AN237" i="1"/>
  <c r="AN233" i="1"/>
  <c r="AN227" i="1"/>
  <c r="AN223" i="1"/>
  <c r="AN219" i="1"/>
  <c r="AN215" i="1"/>
  <c r="AN210" i="1"/>
  <c r="AN206" i="1"/>
  <c r="AN202" i="1"/>
  <c r="AN198" i="1"/>
  <c r="AN189" i="1"/>
  <c r="AN185" i="1"/>
  <c r="AN181" i="1"/>
  <c r="AN177" i="1"/>
  <c r="AN173" i="1"/>
  <c r="AN169" i="1"/>
  <c r="AN161" i="1"/>
  <c r="AN171" i="1"/>
  <c r="AN170" i="1"/>
  <c r="AN167" i="1"/>
  <c r="AN157" i="1"/>
  <c r="AN153" i="1"/>
  <c r="AN149" i="1"/>
  <c r="AN145" i="1"/>
  <c r="AN141" i="1"/>
  <c r="AN137" i="1"/>
  <c r="AN129" i="1"/>
  <c r="AN125" i="1"/>
  <c r="AN118" i="1"/>
  <c r="AN108" i="1"/>
  <c r="AN104" i="1"/>
  <c r="AN100" i="1"/>
  <c r="AN92" i="1"/>
  <c r="AN88" i="1"/>
  <c r="AN84" i="1"/>
  <c r="AN80" i="1"/>
  <c r="AN76" i="1"/>
  <c r="AN68" i="1"/>
  <c r="AN64" i="1"/>
  <c r="AN60" i="1"/>
  <c r="AN56" i="1"/>
  <c r="AN52" i="1"/>
  <c r="AN224" i="1"/>
  <c r="AN216" i="1"/>
  <c r="AN188" i="1"/>
  <c r="AN184" i="1"/>
  <c r="AN180" i="1"/>
  <c r="AN160" i="1"/>
  <c r="AN156" i="1"/>
  <c r="AN152" i="1"/>
  <c r="AN144" i="1"/>
  <c r="AN140" i="1"/>
  <c r="AN136" i="1"/>
  <c r="AN132" i="1"/>
  <c r="AN128" i="1"/>
  <c r="AN124" i="1"/>
  <c r="AN117" i="1"/>
  <c r="AN115" i="1"/>
  <c r="AN113" i="1"/>
  <c r="AN107" i="1"/>
  <c r="AN103" i="1"/>
  <c r="AN99" i="1"/>
  <c r="AN91" i="1"/>
  <c r="AN87" i="1"/>
  <c r="AN83" i="1"/>
  <c r="AN79" i="1"/>
  <c r="AN220" i="1"/>
  <c r="AN209" i="1"/>
  <c r="AN205" i="1"/>
  <c r="AN201" i="1"/>
  <c r="AN197" i="1"/>
  <c r="AN190" i="1"/>
  <c r="AN187" i="1"/>
  <c r="AN186" i="1"/>
  <c r="AN183" i="1"/>
  <c r="AN182" i="1"/>
  <c r="AN179" i="1"/>
  <c r="AN178" i="1"/>
  <c r="AN163" i="1"/>
  <c r="AN162" i="1"/>
  <c r="AN159" i="1"/>
  <c r="AN155" i="1"/>
  <c r="AN151" i="1"/>
  <c r="AN143" i="1"/>
  <c r="AN139" i="1"/>
  <c r="AN131" i="1"/>
  <c r="AN127" i="1"/>
  <c r="AN123" i="1"/>
  <c r="AN106" i="1"/>
  <c r="AN102" i="1"/>
  <c r="AN98" i="1"/>
  <c r="AN90" i="1"/>
  <c r="AN86" i="1"/>
  <c r="AN214" i="1"/>
  <c r="AN208" i="1"/>
  <c r="AN207" i="1"/>
  <c r="AN204" i="1"/>
  <c r="AN203" i="1"/>
  <c r="AN200" i="1"/>
  <c r="AN199" i="1"/>
  <c r="AN172" i="1"/>
  <c r="AN168" i="1"/>
  <c r="AN158" i="1"/>
  <c r="AN154" i="1"/>
  <c r="AN150" i="1"/>
  <c r="AN142" i="1"/>
  <c r="AN138" i="1"/>
  <c r="AN130" i="1"/>
  <c r="AN126" i="1"/>
  <c r="AN122" i="1"/>
  <c r="AN116" i="1"/>
  <c r="AN114" i="1"/>
  <c r="AN112" i="1"/>
  <c r="AN105" i="1"/>
  <c r="AN101" i="1"/>
  <c r="AN97" i="1"/>
  <c r="AN93" i="1"/>
  <c r="AN89" i="1"/>
  <c r="AN85" i="1"/>
  <c r="AN81" i="1"/>
  <c r="AN77" i="1"/>
  <c r="AN69" i="1"/>
  <c r="AN65" i="1"/>
  <c r="AN61" i="1"/>
  <c r="AN57" i="1"/>
  <c r="AN53" i="1"/>
  <c r="AN49" i="1"/>
  <c r="AN45" i="1"/>
  <c r="AN41" i="1"/>
  <c r="AN33" i="1"/>
  <c r="AN29" i="1"/>
  <c r="AN25" i="1"/>
  <c r="AN39" i="1"/>
  <c r="AN42" i="1"/>
  <c r="AN43" i="1"/>
  <c r="AN47" i="1"/>
  <c r="AN50" i="1"/>
  <c r="AE56" i="1"/>
  <c r="AE64" i="1"/>
  <c r="AE68" i="1"/>
  <c r="R13" i="1"/>
  <c r="AN15" i="1"/>
  <c r="AN19" i="1"/>
  <c r="AN23" i="1"/>
  <c r="AN40" i="1"/>
  <c r="AN44" i="1"/>
  <c r="AN48" i="1"/>
  <c r="AN54" i="1"/>
  <c r="AN55" i="1"/>
  <c r="AN58" i="1"/>
  <c r="AN59" i="1"/>
  <c r="AN62" i="1"/>
  <c r="AN63" i="1"/>
  <c r="AN66" i="1"/>
  <c r="AN67" i="1"/>
  <c r="AN70" i="1"/>
  <c r="AN71" i="1"/>
  <c r="Q72" i="1"/>
  <c r="Q94" i="1"/>
  <c r="AN75" i="1"/>
  <c r="AC77" i="1"/>
  <c r="AK77" i="1"/>
  <c r="AD80" i="1"/>
  <c r="AI81" i="1"/>
  <c r="AE81" i="1"/>
  <c r="AL81" i="1"/>
  <c r="AH81" i="1"/>
  <c r="AD81" i="1"/>
  <c r="AJ81" i="1"/>
  <c r="AF81" i="1"/>
  <c r="AD84" i="1"/>
  <c r="AI85" i="1"/>
  <c r="AE85" i="1"/>
  <c r="AL85" i="1"/>
  <c r="AH85" i="1"/>
  <c r="AD85" i="1"/>
  <c r="AK85" i="1"/>
  <c r="AJ85" i="1"/>
  <c r="AF85" i="1"/>
  <c r="AK87" i="1"/>
  <c r="AG87" i="1"/>
  <c r="AC87" i="1"/>
  <c r="AJ87" i="1"/>
  <c r="AF87" i="1"/>
  <c r="AI87" i="1"/>
  <c r="AE87" i="1"/>
  <c r="AL87" i="1"/>
  <c r="AH87" i="1"/>
  <c r="AD87" i="1"/>
  <c r="AL90" i="1"/>
  <c r="AH90" i="1"/>
  <c r="AD90" i="1"/>
  <c r="AK90" i="1"/>
  <c r="AG90" i="1"/>
  <c r="AC90" i="1"/>
  <c r="AJ90" i="1"/>
  <c r="AF90" i="1"/>
  <c r="AI90" i="1"/>
  <c r="AE90" i="1"/>
  <c r="AI93" i="1"/>
  <c r="AE93" i="1"/>
  <c r="AL93" i="1"/>
  <c r="AH93" i="1"/>
  <c r="AD93" i="1"/>
  <c r="AK93" i="1"/>
  <c r="AG93" i="1"/>
  <c r="AC93" i="1"/>
  <c r="AJ93" i="1"/>
  <c r="AF93" i="1"/>
  <c r="AJ100" i="1"/>
  <c r="AF100" i="1"/>
  <c r="AI100" i="1"/>
  <c r="AE100" i="1"/>
  <c r="AL100" i="1"/>
  <c r="AH100" i="1"/>
  <c r="AD100" i="1"/>
  <c r="AK100" i="1"/>
  <c r="AG100" i="1"/>
  <c r="AC100" i="1"/>
  <c r="AK107" i="1"/>
  <c r="AG107" i="1"/>
  <c r="AC107" i="1"/>
  <c r="AJ107" i="1"/>
  <c r="AF107" i="1"/>
  <c r="AI107" i="1"/>
  <c r="AE107" i="1"/>
  <c r="AL107" i="1"/>
  <c r="AH107" i="1"/>
  <c r="AD107" i="1"/>
  <c r="AK117" i="1"/>
  <c r="AF117" i="1"/>
  <c r="AI117" i="1"/>
  <c r="AH117" i="1"/>
  <c r="AK128" i="1"/>
  <c r="AG128" i="1"/>
  <c r="AC128" i="1"/>
  <c r="AJ128" i="1"/>
  <c r="AF128" i="1"/>
  <c r="AI128" i="1"/>
  <c r="AE128" i="1"/>
  <c r="AL128" i="1"/>
  <c r="AH128" i="1"/>
  <c r="AD128" i="1"/>
  <c r="AL131" i="1"/>
  <c r="AH131" i="1"/>
  <c r="AD131" i="1"/>
  <c r="AK131" i="1"/>
  <c r="AG131" i="1"/>
  <c r="AC131" i="1"/>
  <c r="AJ131" i="1"/>
  <c r="AF131" i="1"/>
  <c r="AI131" i="1"/>
  <c r="AE131" i="1"/>
  <c r="AJ137" i="1"/>
  <c r="AF137" i="1"/>
  <c r="AI137" i="1"/>
  <c r="AE137" i="1"/>
  <c r="AL137" i="1"/>
  <c r="AH137" i="1"/>
  <c r="AD137" i="1"/>
  <c r="AK137" i="1"/>
  <c r="AG137" i="1"/>
  <c r="AC137" i="1"/>
  <c r="AK140" i="1"/>
  <c r="AG140" i="1"/>
  <c r="AC140" i="1"/>
  <c r="AJ140" i="1"/>
  <c r="AF140" i="1"/>
  <c r="AI140" i="1"/>
  <c r="AE140" i="1"/>
  <c r="AL140" i="1"/>
  <c r="AH140" i="1"/>
  <c r="AD140" i="1"/>
  <c r="T164" i="1"/>
  <c r="AJ149" i="1"/>
  <c r="AF149" i="1"/>
  <c r="AI149" i="1"/>
  <c r="AE149" i="1"/>
  <c r="AL149" i="1"/>
  <c r="AH149" i="1"/>
  <c r="AD149" i="1"/>
  <c r="AK149" i="1"/>
  <c r="AG149" i="1"/>
  <c r="AC149" i="1"/>
  <c r="AK152" i="1"/>
  <c r="AG152" i="1"/>
  <c r="AC152" i="1"/>
  <c r="AJ152" i="1"/>
  <c r="AF152" i="1"/>
  <c r="AI152" i="1"/>
  <c r="AE152" i="1"/>
  <c r="AL152" i="1"/>
  <c r="AH152" i="1"/>
  <c r="AD152" i="1"/>
  <c r="AI158" i="1"/>
  <c r="AE158" i="1"/>
  <c r="AL158" i="1"/>
  <c r="AH158" i="1"/>
  <c r="AD158" i="1"/>
  <c r="AK158" i="1"/>
  <c r="AG158" i="1"/>
  <c r="AC158" i="1"/>
  <c r="AJ158" i="1"/>
  <c r="AF158" i="1"/>
  <c r="AK168" i="1"/>
  <c r="AG168" i="1"/>
  <c r="AC168" i="1"/>
  <c r="AH168" i="1"/>
  <c r="AL168" i="1"/>
  <c r="AF168" i="1"/>
  <c r="AJ168" i="1"/>
  <c r="AE168" i="1"/>
  <c r="AI168" i="1"/>
  <c r="AD168" i="1"/>
  <c r="AK172" i="1"/>
  <c r="AG172" i="1"/>
  <c r="AC172" i="1"/>
  <c r="AH172" i="1"/>
  <c r="AL172" i="1"/>
  <c r="AF172" i="1"/>
  <c r="AJ172" i="1"/>
  <c r="AE172" i="1"/>
  <c r="AI172" i="1"/>
  <c r="AD172" i="1"/>
  <c r="AK180" i="1"/>
  <c r="AG180" i="1"/>
  <c r="AC180" i="1"/>
  <c r="AJ180" i="1"/>
  <c r="AE180" i="1"/>
  <c r="AI180" i="1"/>
  <c r="AD180" i="1"/>
  <c r="AH180" i="1"/>
  <c r="AL180" i="1"/>
  <c r="AF180" i="1"/>
  <c r="AL187" i="1"/>
  <c r="AH187" i="1"/>
  <c r="AD187" i="1"/>
  <c r="AK187" i="1"/>
  <c r="AF187" i="1"/>
  <c r="AJ187" i="1"/>
  <c r="AE187" i="1"/>
  <c r="AI187" i="1"/>
  <c r="AC187" i="1"/>
  <c r="AG187" i="1"/>
  <c r="AI190" i="1"/>
  <c r="AE190" i="1"/>
  <c r="AK190" i="1"/>
  <c r="AF190" i="1"/>
  <c r="AJ190" i="1"/>
  <c r="AD190" i="1"/>
  <c r="AH190" i="1"/>
  <c r="AC190" i="1"/>
  <c r="AL190" i="1"/>
  <c r="AG190" i="1"/>
  <c r="AL215" i="1"/>
  <c r="AH215" i="1"/>
  <c r="AD215" i="1"/>
  <c r="AJ215" i="1"/>
  <c r="AF215" i="1"/>
  <c r="AI215" i="1"/>
  <c r="AG215" i="1"/>
  <c r="AE215" i="1"/>
  <c r="AK215" i="1"/>
  <c r="AC215" i="1"/>
  <c r="AL218" i="1"/>
  <c r="S72" i="1"/>
  <c r="AJ56" i="1"/>
  <c r="AF56" i="1"/>
  <c r="AK56" i="1"/>
  <c r="AG56" i="1"/>
  <c r="AC56" i="1"/>
  <c r="AI56" i="1"/>
  <c r="AJ60" i="1"/>
  <c r="AF60" i="1"/>
  <c r="AK60" i="1"/>
  <c r="AG60" i="1"/>
  <c r="AC60" i="1"/>
  <c r="AI60" i="1"/>
  <c r="AJ64" i="1"/>
  <c r="AF64" i="1"/>
  <c r="AK64" i="1"/>
  <c r="AG64" i="1"/>
  <c r="AC64" i="1"/>
  <c r="AI64" i="1"/>
  <c r="AJ68" i="1"/>
  <c r="AF68" i="1"/>
  <c r="AK68" i="1"/>
  <c r="AG68" i="1"/>
  <c r="AC68" i="1"/>
  <c r="AI68" i="1"/>
  <c r="R72" i="1"/>
  <c r="AJ76" i="1"/>
  <c r="AF76" i="1"/>
  <c r="AK76" i="1"/>
  <c r="AG76" i="1"/>
  <c r="AC76" i="1"/>
  <c r="AI76" i="1"/>
  <c r="AK79" i="1"/>
  <c r="AG79" i="1"/>
  <c r="AC79" i="1"/>
  <c r="AJ79" i="1"/>
  <c r="AF79" i="1"/>
  <c r="AL79" i="1"/>
  <c r="AH79" i="1"/>
  <c r="AD79" i="1"/>
  <c r="AK83" i="1"/>
  <c r="AG83" i="1"/>
  <c r="AC83" i="1"/>
  <c r="AJ83" i="1"/>
  <c r="AF83" i="1"/>
  <c r="AL83" i="1"/>
  <c r="AH83" i="1"/>
  <c r="AD83" i="1"/>
  <c r="AK91" i="1"/>
  <c r="AG91" i="1"/>
  <c r="AC91" i="1"/>
  <c r="AJ91" i="1"/>
  <c r="AF91" i="1"/>
  <c r="AI91" i="1"/>
  <c r="AE91" i="1"/>
  <c r="AL91" i="1"/>
  <c r="AH91" i="1"/>
  <c r="AD91" i="1"/>
  <c r="AL98" i="1"/>
  <c r="AH98" i="1"/>
  <c r="AD98" i="1"/>
  <c r="AK98" i="1"/>
  <c r="AG98" i="1"/>
  <c r="AC98" i="1"/>
  <c r="AJ98" i="1"/>
  <c r="AF98" i="1"/>
  <c r="AI98" i="1"/>
  <c r="AE98" i="1"/>
  <c r="AI101" i="1"/>
  <c r="AE101" i="1"/>
  <c r="AL101" i="1"/>
  <c r="AH101" i="1"/>
  <c r="AD101" i="1"/>
  <c r="AK101" i="1"/>
  <c r="AG101" i="1"/>
  <c r="AC101" i="1"/>
  <c r="AJ101" i="1"/>
  <c r="AF101" i="1"/>
  <c r="AJ104" i="1"/>
  <c r="AF104" i="1"/>
  <c r="AI104" i="1"/>
  <c r="AE104" i="1"/>
  <c r="AL104" i="1"/>
  <c r="AH104" i="1"/>
  <c r="AD104" i="1"/>
  <c r="AK104" i="1"/>
  <c r="AG104" i="1"/>
  <c r="AC104" i="1"/>
  <c r="T118" i="1"/>
  <c r="S118" i="1"/>
  <c r="S122" i="1"/>
  <c r="R133" i="1"/>
  <c r="AJ125" i="1"/>
  <c r="AF125" i="1"/>
  <c r="AI125" i="1"/>
  <c r="AE125" i="1"/>
  <c r="AL125" i="1"/>
  <c r="AH125" i="1"/>
  <c r="AD125" i="1"/>
  <c r="AK125" i="1"/>
  <c r="AG125" i="1"/>
  <c r="AC125" i="1"/>
  <c r="AK132" i="1"/>
  <c r="AG132" i="1"/>
  <c r="AC132" i="1"/>
  <c r="AJ132" i="1"/>
  <c r="AF132" i="1"/>
  <c r="AI132" i="1"/>
  <c r="AE132" i="1"/>
  <c r="AL132" i="1"/>
  <c r="AH132" i="1"/>
  <c r="AD132" i="1"/>
  <c r="S136" i="1"/>
  <c r="AI142" i="1"/>
  <c r="AE142" i="1"/>
  <c r="AL142" i="1"/>
  <c r="AH142" i="1"/>
  <c r="AD142" i="1"/>
  <c r="AK142" i="1"/>
  <c r="AG142" i="1"/>
  <c r="AC142" i="1"/>
  <c r="AJ142" i="1"/>
  <c r="AF142" i="1"/>
  <c r="AI154" i="1"/>
  <c r="AE154" i="1"/>
  <c r="AL154" i="1"/>
  <c r="AH154" i="1"/>
  <c r="AD154" i="1"/>
  <c r="AK154" i="1"/>
  <c r="AG154" i="1"/>
  <c r="AC154" i="1"/>
  <c r="AJ154" i="1"/>
  <c r="AF154" i="1"/>
  <c r="AL159" i="1"/>
  <c r="AH159" i="1"/>
  <c r="AD159" i="1"/>
  <c r="AK159" i="1"/>
  <c r="AG159" i="1"/>
  <c r="AC159" i="1"/>
  <c r="AJ159" i="1"/>
  <c r="AF159" i="1"/>
  <c r="AI159" i="1"/>
  <c r="AE159" i="1"/>
  <c r="AJ161" i="1"/>
  <c r="AK161" i="1"/>
  <c r="AF161" i="1"/>
  <c r="AI161" i="1"/>
  <c r="AE161" i="1"/>
  <c r="AH161" i="1"/>
  <c r="AD161" i="1"/>
  <c r="AL161" i="1"/>
  <c r="AG161" i="1"/>
  <c r="AC161" i="1"/>
  <c r="AI178" i="1"/>
  <c r="AE178" i="1"/>
  <c r="AK178" i="1"/>
  <c r="AF178" i="1"/>
  <c r="AJ178" i="1"/>
  <c r="AD178" i="1"/>
  <c r="AH178" i="1"/>
  <c r="AC178" i="1"/>
  <c r="AL178" i="1"/>
  <c r="AG178" i="1"/>
  <c r="AJ181" i="1"/>
  <c r="AF181" i="1"/>
  <c r="AK181" i="1"/>
  <c r="AE181" i="1"/>
  <c r="AI181" i="1"/>
  <c r="AD181" i="1"/>
  <c r="AH181" i="1"/>
  <c r="AC181" i="1"/>
  <c r="AL181" i="1"/>
  <c r="AG181" i="1"/>
  <c r="AK184" i="1"/>
  <c r="AG184" i="1"/>
  <c r="AC184" i="1"/>
  <c r="AJ184" i="1"/>
  <c r="AE184" i="1"/>
  <c r="AI184" i="1"/>
  <c r="AD184" i="1"/>
  <c r="AH184" i="1"/>
  <c r="AL184" i="1"/>
  <c r="AF184" i="1"/>
  <c r="S211" i="1"/>
  <c r="T197" i="1"/>
  <c r="AI199" i="1"/>
  <c r="AE199" i="1"/>
  <c r="AL199" i="1"/>
  <c r="AG199" i="1"/>
  <c r="AK199" i="1"/>
  <c r="AF199" i="1"/>
  <c r="AJ199" i="1"/>
  <c r="AD199" i="1"/>
  <c r="AH199" i="1"/>
  <c r="AC199" i="1"/>
  <c r="AK201" i="1"/>
  <c r="AG201" i="1"/>
  <c r="AC201" i="1"/>
  <c r="AL201" i="1"/>
  <c r="AF201" i="1"/>
  <c r="AJ201" i="1"/>
  <c r="AE201" i="1"/>
  <c r="AI201" i="1"/>
  <c r="AD201" i="1"/>
  <c r="AH201" i="1"/>
  <c r="AI203" i="1"/>
  <c r="AE203" i="1"/>
  <c r="AL203" i="1"/>
  <c r="AG203" i="1"/>
  <c r="AK203" i="1"/>
  <c r="AF203" i="1"/>
  <c r="AJ203" i="1"/>
  <c r="AD203" i="1"/>
  <c r="AH203" i="1"/>
  <c r="AC203" i="1"/>
  <c r="AK205" i="1"/>
  <c r="AG205" i="1"/>
  <c r="AC205" i="1"/>
  <c r="AL205" i="1"/>
  <c r="AF205" i="1"/>
  <c r="AJ205" i="1"/>
  <c r="AE205" i="1"/>
  <c r="AI205" i="1"/>
  <c r="AD205" i="1"/>
  <c r="AH205" i="1"/>
  <c r="AI207" i="1"/>
  <c r="AE207" i="1"/>
  <c r="AL207" i="1"/>
  <c r="AG207" i="1"/>
  <c r="AK207" i="1"/>
  <c r="AF207" i="1"/>
  <c r="AJ207" i="1"/>
  <c r="AD207" i="1"/>
  <c r="AH207" i="1"/>
  <c r="AC207" i="1"/>
  <c r="AK209" i="1"/>
  <c r="AG209" i="1"/>
  <c r="AC209" i="1"/>
  <c r="AL209" i="1"/>
  <c r="AF209" i="1"/>
  <c r="AJ209" i="1"/>
  <c r="AE209" i="1"/>
  <c r="AI209" i="1"/>
  <c r="AD209" i="1"/>
  <c r="AH209" i="1"/>
  <c r="AK216" i="1"/>
  <c r="AG216" i="1"/>
  <c r="AC216" i="1"/>
  <c r="AI216" i="1"/>
  <c r="AE216" i="1"/>
  <c r="AH216" i="1"/>
  <c r="AF216" i="1"/>
  <c r="AL216" i="1"/>
  <c r="AD216" i="1"/>
  <c r="AJ216" i="1"/>
  <c r="AI219" i="1"/>
  <c r="AE219" i="1"/>
  <c r="AL219" i="1"/>
  <c r="AH219" i="1"/>
  <c r="AD219" i="1"/>
  <c r="AJ219" i="1"/>
  <c r="AF219" i="1"/>
  <c r="AK219" i="1"/>
  <c r="AG219" i="1"/>
  <c r="AC219" i="1"/>
  <c r="AC221" i="1"/>
  <c r="AJ221" i="1"/>
  <c r="AH221" i="1"/>
  <c r="AD221" i="1"/>
  <c r="AI223" i="1"/>
  <c r="AE223" i="1"/>
  <c r="AL223" i="1"/>
  <c r="AH223" i="1"/>
  <c r="AD223" i="1"/>
  <c r="AJ223" i="1"/>
  <c r="AF223" i="1"/>
  <c r="AK223" i="1"/>
  <c r="AG223" i="1"/>
  <c r="AC223" i="1"/>
  <c r="AN30" i="1"/>
  <c r="AN35" i="1"/>
  <c r="AN13" i="1"/>
  <c r="AN17" i="1"/>
  <c r="AN21" i="1"/>
  <c r="AN24" i="1"/>
  <c r="AN28" i="1"/>
  <c r="AN32" i="1"/>
  <c r="T39" i="1"/>
  <c r="AD56" i="1"/>
  <c r="AL56" i="1"/>
  <c r="AD60" i="1"/>
  <c r="AL60" i="1"/>
  <c r="AD64" i="1"/>
  <c r="AL64" i="1"/>
  <c r="AD68" i="1"/>
  <c r="AL68" i="1"/>
  <c r="AD76" i="1"/>
  <c r="AL76" i="1"/>
  <c r="AN78" i="1"/>
  <c r="AE79" i="1"/>
  <c r="AN82" i="1"/>
  <c r="AE83" i="1"/>
  <c r="AJ88" i="1"/>
  <c r="AF88" i="1"/>
  <c r="AI88" i="1"/>
  <c r="AE88" i="1"/>
  <c r="AL88" i="1"/>
  <c r="AH88" i="1"/>
  <c r="AD88" i="1"/>
  <c r="AK88" i="1"/>
  <c r="AG88" i="1"/>
  <c r="AC88" i="1"/>
  <c r="AK99" i="1"/>
  <c r="AG99" i="1"/>
  <c r="AC99" i="1"/>
  <c r="AJ99" i="1"/>
  <c r="AF99" i="1"/>
  <c r="AI99" i="1"/>
  <c r="AE99" i="1"/>
  <c r="AL99" i="1"/>
  <c r="AH99" i="1"/>
  <c r="AD99" i="1"/>
  <c r="AL102" i="1"/>
  <c r="AH102" i="1"/>
  <c r="AD102" i="1"/>
  <c r="AK102" i="1"/>
  <c r="AG102" i="1"/>
  <c r="AC102" i="1"/>
  <c r="AJ102" i="1"/>
  <c r="AF102" i="1"/>
  <c r="AI102" i="1"/>
  <c r="AE102" i="1"/>
  <c r="AI105" i="1"/>
  <c r="AE105" i="1"/>
  <c r="AL105" i="1"/>
  <c r="AH105" i="1"/>
  <c r="AD105" i="1"/>
  <c r="AK105" i="1"/>
  <c r="AG105" i="1"/>
  <c r="AC105" i="1"/>
  <c r="AJ105" i="1"/>
  <c r="AF105" i="1"/>
  <c r="AJ108" i="1"/>
  <c r="AF108" i="1"/>
  <c r="AI108" i="1"/>
  <c r="AE108" i="1"/>
  <c r="AL108" i="1"/>
  <c r="AH108" i="1"/>
  <c r="AD108" i="1"/>
  <c r="AK108" i="1"/>
  <c r="AG108" i="1"/>
  <c r="AC108" i="1"/>
  <c r="AK113" i="1"/>
  <c r="AG113" i="1"/>
  <c r="AC113" i="1"/>
  <c r="AJ113" i="1"/>
  <c r="AF113" i="1"/>
  <c r="AI113" i="1"/>
  <c r="AE113" i="1"/>
  <c r="AL113" i="1"/>
  <c r="AH113" i="1"/>
  <c r="AD113" i="1"/>
  <c r="AL123" i="1"/>
  <c r="AH123" i="1"/>
  <c r="AD123" i="1"/>
  <c r="AK123" i="1"/>
  <c r="AG123" i="1"/>
  <c r="AC123" i="1"/>
  <c r="AJ123" i="1"/>
  <c r="AF123" i="1"/>
  <c r="AI123" i="1"/>
  <c r="AE123" i="1"/>
  <c r="AI126" i="1"/>
  <c r="AE126" i="1"/>
  <c r="AL126" i="1"/>
  <c r="AH126" i="1"/>
  <c r="AD126" i="1"/>
  <c r="AK126" i="1"/>
  <c r="AG126" i="1"/>
  <c r="AC126" i="1"/>
  <c r="AJ126" i="1"/>
  <c r="AF126" i="1"/>
  <c r="AJ129" i="1"/>
  <c r="AF129" i="1"/>
  <c r="AI129" i="1"/>
  <c r="AE129" i="1"/>
  <c r="AL129" i="1"/>
  <c r="AH129" i="1"/>
  <c r="AD129" i="1"/>
  <c r="AK129" i="1"/>
  <c r="AG129" i="1"/>
  <c r="AC129" i="1"/>
  <c r="AF138" i="1"/>
  <c r="AL143" i="1"/>
  <c r="AH143" i="1"/>
  <c r="AD143" i="1"/>
  <c r="AK143" i="1"/>
  <c r="AG143" i="1"/>
  <c r="AC143" i="1"/>
  <c r="AJ143" i="1"/>
  <c r="AF143" i="1"/>
  <c r="AI143" i="1"/>
  <c r="AE143" i="1"/>
  <c r="AJ145" i="1"/>
  <c r="AF145" i="1"/>
  <c r="AI145" i="1"/>
  <c r="AE145" i="1"/>
  <c r="AL145" i="1"/>
  <c r="AH145" i="1"/>
  <c r="AD145" i="1"/>
  <c r="AK145" i="1"/>
  <c r="AG145" i="1"/>
  <c r="AC145" i="1"/>
  <c r="AI150" i="1"/>
  <c r="AE150" i="1"/>
  <c r="AL150" i="1"/>
  <c r="AH150" i="1"/>
  <c r="AD150" i="1"/>
  <c r="AK150" i="1"/>
  <c r="AG150" i="1"/>
  <c r="AC150" i="1"/>
  <c r="AJ150" i="1"/>
  <c r="AF150" i="1"/>
  <c r="AL155" i="1"/>
  <c r="AH155" i="1"/>
  <c r="AD155" i="1"/>
  <c r="AK155" i="1"/>
  <c r="AG155" i="1"/>
  <c r="AC155" i="1"/>
  <c r="AJ155" i="1"/>
  <c r="AF155" i="1"/>
  <c r="AI155" i="1"/>
  <c r="AE155" i="1"/>
  <c r="AJ157" i="1"/>
  <c r="AF157" i="1"/>
  <c r="AI157" i="1"/>
  <c r="AE157" i="1"/>
  <c r="AL157" i="1"/>
  <c r="AH157" i="1"/>
  <c r="AD157" i="1"/>
  <c r="AK157" i="1"/>
  <c r="AG157" i="1"/>
  <c r="AC157" i="1"/>
  <c r="AK160" i="1"/>
  <c r="AG160" i="1"/>
  <c r="AC160" i="1"/>
  <c r="AJ160" i="1"/>
  <c r="AF160" i="1"/>
  <c r="AI160" i="1"/>
  <c r="AE160" i="1"/>
  <c r="AL160" i="1"/>
  <c r="AH160" i="1"/>
  <c r="AD160" i="1"/>
  <c r="AI162" i="1"/>
  <c r="AE162" i="1"/>
  <c r="AK162" i="1"/>
  <c r="AF162" i="1"/>
  <c r="AJ162" i="1"/>
  <c r="AD162" i="1"/>
  <c r="AH162" i="1"/>
  <c r="AC162" i="1"/>
  <c r="AL162" i="1"/>
  <c r="AG162" i="1"/>
  <c r="AL179" i="1"/>
  <c r="AH179" i="1"/>
  <c r="AD179" i="1"/>
  <c r="AK179" i="1"/>
  <c r="AF179" i="1"/>
  <c r="AJ179" i="1"/>
  <c r="AE179" i="1"/>
  <c r="AI179" i="1"/>
  <c r="AC179" i="1"/>
  <c r="AG179" i="1"/>
  <c r="AI182" i="1"/>
  <c r="AE182" i="1"/>
  <c r="AK182" i="1"/>
  <c r="AF182" i="1"/>
  <c r="AJ182" i="1"/>
  <c r="AD182" i="1"/>
  <c r="AH182" i="1"/>
  <c r="AC182" i="1"/>
  <c r="AL182" i="1"/>
  <c r="AG182" i="1"/>
  <c r="AJ185" i="1"/>
  <c r="AF185" i="1"/>
  <c r="AK185" i="1"/>
  <c r="AE185" i="1"/>
  <c r="AI185" i="1"/>
  <c r="AD185" i="1"/>
  <c r="AH185" i="1"/>
  <c r="AC185" i="1"/>
  <c r="AL185" i="1"/>
  <c r="AG185" i="1"/>
  <c r="AK188" i="1"/>
  <c r="AG188" i="1"/>
  <c r="AC188" i="1"/>
  <c r="AJ188" i="1"/>
  <c r="AE188" i="1"/>
  <c r="AI188" i="1"/>
  <c r="AD188" i="1"/>
  <c r="AH188" i="1"/>
  <c r="AL188" i="1"/>
  <c r="AF188" i="1"/>
  <c r="AC214" i="1"/>
  <c r="AJ217" i="1"/>
  <c r="AF217" i="1"/>
  <c r="AL217" i="1"/>
  <c r="AH217" i="1"/>
  <c r="AD217" i="1"/>
  <c r="AE217" i="1"/>
  <c r="AK217" i="1"/>
  <c r="AC217" i="1"/>
  <c r="AI217" i="1"/>
  <c r="AG217" i="1"/>
  <c r="AN31" i="1"/>
  <c r="AN34" i="1"/>
  <c r="AN14" i="1"/>
  <c r="AN18" i="1"/>
  <c r="AN22" i="1"/>
  <c r="AN46" i="1"/>
  <c r="AN51" i="1"/>
  <c r="AE60" i="1"/>
  <c r="AE76" i="1"/>
  <c r="AI77" i="1"/>
  <c r="AE77" i="1"/>
  <c r="AM77" i="1" s="1"/>
  <c r="AJ77" i="1"/>
  <c r="AF77" i="1"/>
  <c r="AH77" i="1"/>
  <c r="AI79" i="1"/>
  <c r="AJ80" i="1"/>
  <c r="AF80" i="1"/>
  <c r="AI80" i="1"/>
  <c r="AE80" i="1"/>
  <c r="AK80" i="1"/>
  <c r="AG80" i="1"/>
  <c r="AC80" i="1"/>
  <c r="AI83" i="1"/>
  <c r="AJ84" i="1"/>
  <c r="AF84" i="1"/>
  <c r="AI84" i="1"/>
  <c r="AE84" i="1"/>
  <c r="AK84" i="1"/>
  <c r="AG84" i="1"/>
  <c r="AC84" i="1"/>
  <c r="AL86" i="1"/>
  <c r="AH86" i="1"/>
  <c r="AD86" i="1"/>
  <c r="AK86" i="1"/>
  <c r="AG86" i="1"/>
  <c r="AC86" i="1"/>
  <c r="AJ86" i="1"/>
  <c r="AF86" i="1"/>
  <c r="AI86" i="1"/>
  <c r="AE86" i="1"/>
  <c r="AI89" i="1"/>
  <c r="AE89" i="1"/>
  <c r="AL89" i="1"/>
  <c r="AH89" i="1"/>
  <c r="AD89" i="1"/>
  <c r="AK89" i="1"/>
  <c r="AG89" i="1"/>
  <c r="AC89" i="1"/>
  <c r="AJ89" i="1"/>
  <c r="AF89" i="1"/>
  <c r="AJ92" i="1"/>
  <c r="AF92" i="1"/>
  <c r="AI92" i="1"/>
  <c r="AE92" i="1"/>
  <c r="AL92" i="1"/>
  <c r="AH92" i="1"/>
  <c r="AD92" i="1"/>
  <c r="AK92" i="1"/>
  <c r="AG92" i="1"/>
  <c r="AC92" i="1"/>
  <c r="AK103" i="1"/>
  <c r="AG103" i="1"/>
  <c r="AC103" i="1"/>
  <c r="AJ103" i="1"/>
  <c r="AF103" i="1"/>
  <c r="AI103" i="1"/>
  <c r="AE103" i="1"/>
  <c r="AL103" i="1"/>
  <c r="AH103" i="1"/>
  <c r="AD103" i="1"/>
  <c r="AL106" i="1"/>
  <c r="AH106" i="1"/>
  <c r="AD106" i="1"/>
  <c r="AK106" i="1"/>
  <c r="AG106" i="1"/>
  <c r="AC106" i="1"/>
  <c r="AJ106" i="1"/>
  <c r="AF106" i="1"/>
  <c r="AI106" i="1"/>
  <c r="AE106" i="1"/>
  <c r="AK115" i="1"/>
  <c r="AG115" i="1"/>
  <c r="AC115" i="1"/>
  <c r="AJ115" i="1"/>
  <c r="AF115" i="1"/>
  <c r="AI115" i="1"/>
  <c r="AE115" i="1"/>
  <c r="AL115" i="1"/>
  <c r="AH115" i="1"/>
  <c r="AD115" i="1"/>
  <c r="AK124" i="1"/>
  <c r="AG124" i="1"/>
  <c r="AC124" i="1"/>
  <c r="AJ124" i="1"/>
  <c r="AF124" i="1"/>
  <c r="AI124" i="1"/>
  <c r="AE124" i="1"/>
  <c r="AL124" i="1"/>
  <c r="AH124" i="1"/>
  <c r="AD124" i="1"/>
  <c r="AL127" i="1"/>
  <c r="AH127" i="1"/>
  <c r="AD127" i="1"/>
  <c r="AK127" i="1"/>
  <c r="AG127" i="1"/>
  <c r="AC127" i="1"/>
  <c r="AJ127" i="1"/>
  <c r="AF127" i="1"/>
  <c r="AI127" i="1"/>
  <c r="AE127" i="1"/>
  <c r="AI130" i="1"/>
  <c r="AE130" i="1"/>
  <c r="AL130" i="1"/>
  <c r="AH130" i="1"/>
  <c r="AD130" i="1"/>
  <c r="AK130" i="1"/>
  <c r="AG130" i="1"/>
  <c r="AC130" i="1"/>
  <c r="AJ130" i="1"/>
  <c r="AF130" i="1"/>
  <c r="AL139" i="1"/>
  <c r="AH139" i="1"/>
  <c r="AD139" i="1"/>
  <c r="AK139" i="1"/>
  <c r="AG139" i="1"/>
  <c r="AC139" i="1"/>
  <c r="AJ139" i="1"/>
  <c r="AF139" i="1"/>
  <c r="AI139" i="1"/>
  <c r="AE139" i="1"/>
  <c r="AJ141" i="1"/>
  <c r="AF141" i="1"/>
  <c r="AI141" i="1"/>
  <c r="AE141" i="1"/>
  <c r="AL141" i="1"/>
  <c r="AH141" i="1"/>
  <c r="AD141" i="1"/>
  <c r="AK141" i="1"/>
  <c r="AG141" i="1"/>
  <c r="AC141" i="1"/>
  <c r="AK144" i="1"/>
  <c r="AG144" i="1"/>
  <c r="AC144" i="1"/>
  <c r="AJ144" i="1"/>
  <c r="AF144" i="1"/>
  <c r="AI144" i="1"/>
  <c r="AE144" i="1"/>
  <c r="AL144" i="1"/>
  <c r="AH144" i="1"/>
  <c r="AD144" i="1"/>
  <c r="R164" i="1"/>
  <c r="AL151" i="1"/>
  <c r="AH151" i="1"/>
  <c r="AD151" i="1"/>
  <c r="AK151" i="1"/>
  <c r="AG151" i="1"/>
  <c r="AC151" i="1"/>
  <c r="AJ151" i="1"/>
  <c r="AF151" i="1"/>
  <c r="AI151" i="1"/>
  <c r="AE151" i="1"/>
  <c r="AJ153" i="1"/>
  <c r="AF153" i="1"/>
  <c r="AI153" i="1"/>
  <c r="AE153" i="1"/>
  <c r="AL153" i="1"/>
  <c r="AH153" i="1"/>
  <c r="AD153" i="1"/>
  <c r="AK153" i="1"/>
  <c r="AG153" i="1"/>
  <c r="AC153" i="1"/>
  <c r="AK156" i="1"/>
  <c r="AG156" i="1"/>
  <c r="AC156" i="1"/>
  <c r="AJ156" i="1"/>
  <c r="AF156" i="1"/>
  <c r="AI156" i="1"/>
  <c r="AE156" i="1"/>
  <c r="AL156" i="1"/>
  <c r="AH156" i="1"/>
  <c r="AD156" i="1"/>
  <c r="AL163" i="1"/>
  <c r="AH163" i="1"/>
  <c r="AD163" i="1"/>
  <c r="AK163" i="1"/>
  <c r="AF163" i="1"/>
  <c r="AJ163" i="1"/>
  <c r="AE163" i="1"/>
  <c r="AI163" i="1"/>
  <c r="AC163" i="1"/>
  <c r="AG163" i="1"/>
  <c r="AL183" i="1"/>
  <c r="AH183" i="1"/>
  <c r="AD183" i="1"/>
  <c r="AK183" i="1"/>
  <c r="AF183" i="1"/>
  <c r="AJ183" i="1"/>
  <c r="AE183" i="1"/>
  <c r="AI183" i="1"/>
  <c r="AC183" i="1"/>
  <c r="AG183" i="1"/>
  <c r="AI186" i="1"/>
  <c r="AE186" i="1"/>
  <c r="AK186" i="1"/>
  <c r="AF186" i="1"/>
  <c r="AJ186" i="1"/>
  <c r="AD186" i="1"/>
  <c r="AH186" i="1"/>
  <c r="AC186" i="1"/>
  <c r="AL186" i="1"/>
  <c r="AG186" i="1"/>
  <c r="AJ189" i="1"/>
  <c r="AF189" i="1"/>
  <c r="AK189" i="1"/>
  <c r="AE189" i="1"/>
  <c r="AI189" i="1"/>
  <c r="AD189" i="1"/>
  <c r="AH189" i="1"/>
  <c r="AC189" i="1"/>
  <c r="AL189" i="1"/>
  <c r="AG189" i="1"/>
  <c r="AJ198" i="1"/>
  <c r="AF198" i="1"/>
  <c r="AL198" i="1"/>
  <c r="AG198" i="1"/>
  <c r="AK198" i="1"/>
  <c r="AE198" i="1"/>
  <c r="AI198" i="1"/>
  <c r="AD198" i="1"/>
  <c r="AH198" i="1"/>
  <c r="AC198" i="1"/>
  <c r="AL200" i="1"/>
  <c r="AH200" i="1"/>
  <c r="AD200" i="1"/>
  <c r="AG200" i="1"/>
  <c r="AK200" i="1"/>
  <c r="AF200" i="1"/>
  <c r="AJ200" i="1"/>
  <c r="AE200" i="1"/>
  <c r="AI200" i="1"/>
  <c r="AC200" i="1"/>
  <c r="AJ202" i="1"/>
  <c r="AF202" i="1"/>
  <c r="AL202" i="1"/>
  <c r="AG202" i="1"/>
  <c r="AK202" i="1"/>
  <c r="AE202" i="1"/>
  <c r="AI202" i="1"/>
  <c r="AD202" i="1"/>
  <c r="AH202" i="1"/>
  <c r="AC202" i="1"/>
  <c r="AL204" i="1"/>
  <c r="AH204" i="1"/>
  <c r="AD204" i="1"/>
  <c r="AG204" i="1"/>
  <c r="AK204" i="1"/>
  <c r="AF204" i="1"/>
  <c r="AJ204" i="1"/>
  <c r="AE204" i="1"/>
  <c r="AI204" i="1"/>
  <c r="AC204" i="1"/>
  <c r="AJ206" i="1"/>
  <c r="AF206" i="1"/>
  <c r="AL206" i="1"/>
  <c r="AG206" i="1"/>
  <c r="AK206" i="1"/>
  <c r="AE206" i="1"/>
  <c r="AI206" i="1"/>
  <c r="AD206" i="1"/>
  <c r="AH206" i="1"/>
  <c r="AC206" i="1"/>
  <c r="AL208" i="1"/>
  <c r="AH208" i="1"/>
  <c r="AD208" i="1"/>
  <c r="AG208" i="1"/>
  <c r="AK208" i="1"/>
  <c r="AF208" i="1"/>
  <c r="AJ208" i="1"/>
  <c r="AE208" i="1"/>
  <c r="AI208" i="1"/>
  <c r="AC208" i="1"/>
  <c r="AJ210" i="1"/>
  <c r="AF210" i="1"/>
  <c r="AL210" i="1"/>
  <c r="AG210" i="1"/>
  <c r="AK210" i="1"/>
  <c r="AE210" i="1"/>
  <c r="AI210" i="1"/>
  <c r="AD210" i="1"/>
  <c r="AH210" i="1"/>
  <c r="AC210" i="1"/>
  <c r="AJ222" i="1"/>
  <c r="AF222" i="1"/>
  <c r="AI222" i="1"/>
  <c r="AE222" i="1"/>
  <c r="AK222" i="1"/>
  <c r="AG222" i="1"/>
  <c r="AC222" i="1"/>
  <c r="AL222" i="1"/>
  <c r="AH222" i="1"/>
  <c r="AD222" i="1"/>
  <c r="AG224" i="1"/>
  <c r="R75" i="1"/>
  <c r="M112" i="1"/>
  <c r="Q112" i="1" s="1"/>
  <c r="M114" i="1"/>
  <c r="Q114" i="1" s="1"/>
  <c r="R114" i="1" s="1"/>
  <c r="S114" i="1" s="1"/>
  <c r="T114" i="1" s="1"/>
  <c r="M116" i="1"/>
  <c r="Q116" i="1" s="1"/>
  <c r="R116" i="1" s="1"/>
  <c r="S116" i="1" s="1"/>
  <c r="T116" i="1" s="1"/>
  <c r="R174" i="1"/>
  <c r="AD169" i="1"/>
  <c r="AI169" i="1"/>
  <c r="AD170" i="1"/>
  <c r="AJ170" i="1"/>
  <c r="AE171" i="1"/>
  <c r="AJ171" i="1"/>
  <c r="AD173" i="1"/>
  <c r="AI173" i="1"/>
  <c r="AK225" i="1"/>
  <c r="AG225" i="1"/>
  <c r="AC225" i="1"/>
  <c r="AJ225" i="1"/>
  <c r="AF225" i="1"/>
  <c r="AI225" i="1"/>
  <c r="AE225" i="1"/>
  <c r="AL225" i="1"/>
  <c r="AH225" i="1"/>
  <c r="AD225" i="1"/>
  <c r="AJ232" i="1"/>
  <c r="AF232" i="1"/>
  <c r="AI232" i="1"/>
  <c r="AE232" i="1"/>
  <c r="AL232" i="1"/>
  <c r="AH232" i="1"/>
  <c r="AD232" i="1"/>
  <c r="AK232" i="1"/>
  <c r="AG232" i="1"/>
  <c r="AC232" i="1"/>
  <c r="AK235" i="1"/>
  <c r="AG235" i="1"/>
  <c r="AC235" i="1"/>
  <c r="AJ235" i="1"/>
  <c r="AF235" i="1"/>
  <c r="AI235" i="1"/>
  <c r="AE235" i="1"/>
  <c r="AL235" i="1"/>
  <c r="AH235" i="1"/>
  <c r="AD235" i="1"/>
  <c r="AJ240" i="1"/>
  <c r="AF240" i="1"/>
  <c r="AI240" i="1"/>
  <c r="AE240" i="1"/>
  <c r="AL240" i="1"/>
  <c r="AH240" i="1"/>
  <c r="AD240" i="1"/>
  <c r="AK240" i="1"/>
  <c r="AG240" i="1"/>
  <c r="AC240" i="1"/>
  <c r="AK251" i="1"/>
  <c r="AG251" i="1"/>
  <c r="AC251" i="1"/>
  <c r="AJ251" i="1"/>
  <c r="AF251" i="1"/>
  <c r="AI251" i="1"/>
  <c r="AE251" i="1"/>
  <c r="AL251" i="1"/>
  <c r="AH251" i="1"/>
  <c r="AD251" i="1"/>
  <c r="AL254" i="1"/>
  <c r="AH254" i="1"/>
  <c r="AD254" i="1"/>
  <c r="AK254" i="1"/>
  <c r="AG254" i="1"/>
  <c r="AC254" i="1"/>
  <c r="AJ254" i="1"/>
  <c r="AF254" i="1"/>
  <c r="AI254" i="1"/>
  <c r="AE254" i="1"/>
  <c r="AI257" i="1"/>
  <c r="AE257" i="1"/>
  <c r="AL257" i="1"/>
  <c r="AH257" i="1"/>
  <c r="AD257" i="1"/>
  <c r="AK257" i="1"/>
  <c r="AG257" i="1"/>
  <c r="AC257" i="1"/>
  <c r="AJ257" i="1"/>
  <c r="AF257" i="1"/>
  <c r="AL268" i="1"/>
  <c r="AH268" i="1"/>
  <c r="AD268" i="1"/>
  <c r="AK268" i="1"/>
  <c r="AG268" i="1"/>
  <c r="AC268" i="1"/>
  <c r="AJ268" i="1"/>
  <c r="AF268" i="1"/>
  <c r="AI268" i="1"/>
  <c r="AE268" i="1"/>
  <c r="AK277" i="1"/>
  <c r="AG277" i="1"/>
  <c r="AC277" i="1"/>
  <c r="AJ277" i="1"/>
  <c r="AE277" i="1"/>
  <c r="AI277" i="1"/>
  <c r="AD277" i="1"/>
  <c r="AH277" i="1"/>
  <c r="AL277" i="1"/>
  <c r="AF277" i="1"/>
  <c r="S312" i="1"/>
  <c r="AL288" i="1"/>
  <c r="AH288" i="1"/>
  <c r="AD288" i="1"/>
  <c r="AI288" i="1"/>
  <c r="AC288" i="1"/>
  <c r="AG288" i="1"/>
  <c r="AK288" i="1"/>
  <c r="AF288" i="1"/>
  <c r="AJ288" i="1"/>
  <c r="AE288" i="1"/>
  <c r="AJ290" i="1"/>
  <c r="AF290" i="1"/>
  <c r="AH290" i="1"/>
  <c r="AC290" i="1"/>
  <c r="AL290" i="1"/>
  <c r="AG290" i="1"/>
  <c r="AK290" i="1"/>
  <c r="AE290" i="1"/>
  <c r="AI290" i="1"/>
  <c r="AD290" i="1"/>
  <c r="AL292" i="1"/>
  <c r="AH292" i="1"/>
  <c r="AD292" i="1"/>
  <c r="AI292" i="1"/>
  <c r="AC292" i="1"/>
  <c r="AG292" i="1"/>
  <c r="AK292" i="1"/>
  <c r="AF292" i="1"/>
  <c r="AJ292" i="1"/>
  <c r="AE292" i="1"/>
  <c r="AJ294" i="1"/>
  <c r="AF294" i="1"/>
  <c r="AH294" i="1"/>
  <c r="AC294" i="1"/>
  <c r="AL294" i="1"/>
  <c r="AG294" i="1"/>
  <c r="AK294" i="1"/>
  <c r="AE294" i="1"/>
  <c r="AI294" i="1"/>
  <c r="AD294" i="1"/>
  <c r="AL296" i="1"/>
  <c r="AH296" i="1"/>
  <c r="AD296" i="1"/>
  <c r="AI296" i="1"/>
  <c r="AC296" i="1"/>
  <c r="AG296" i="1"/>
  <c r="AK296" i="1"/>
  <c r="AF296" i="1"/>
  <c r="AJ296" i="1"/>
  <c r="AE296" i="1"/>
  <c r="AJ298" i="1"/>
  <c r="AF298" i="1"/>
  <c r="AH298" i="1"/>
  <c r="AC298" i="1"/>
  <c r="AL298" i="1"/>
  <c r="AG298" i="1"/>
  <c r="AK298" i="1"/>
  <c r="AE298" i="1"/>
  <c r="AI298" i="1"/>
  <c r="AD298" i="1"/>
  <c r="AL300" i="1"/>
  <c r="AH300" i="1"/>
  <c r="AD300" i="1"/>
  <c r="AI300" i="1"/>
  <c r="AC300" i="1"/>
  <c r="AG300" i="1"/>
  <c r="AK300" i="1"/>
  <c r="AF300" i="1"/>
  <c r="AJ300" i="1"/>
  <c r="AE300" i="1"/>
  <c r="AJ302" i="1"/>
  <c r="AF302" i="1"/>
  <c r="AH302" i="1"/>
  <c r="AC302" i="1"/>
  <c r="AL302" i="1"/>
  <c r="AG302" i="1"/>
  <c r="AK302" i="1"/>
  <c r="AE302" i="1"/>
  <c r="AI302" i="1"/>
  <c r="AD302" i="1"/>
  <c r="AK320" i="1"/>
  <c r="AG320" i="1"/>
  <c r="AC320" i="1"/>
  <c r="AJ320" i="1"/>
  <c r="AF320" i="1"/>
  <c r="AL320" i="1"/>
  <c r="AH320" i="1"/>
  <c r="AD320" i="1"/>
  <c r="AI320" i="1"/>
  <c r="AE320" i="1"/>
  <c r="AL331" i="1"/>
  <c r="AH331" i="1"/>
  <c r="AD331" i="1"/>
  <c r="AK331" i="1"/>
  <c r="AG331" i="1"/>
  <c r="AC331" i="1"/>
  <c r="AI331" i="1"/>
  <c r="AE331" i="1"/>
  <c r="AF331" i="1"/>
  <c r="AJ331" i="1"/>
  <c r="AK336" i="1"/>
  <c r="AG336" i="1"/>
  <c r="AC336" i="1"/>
  <c r="AJ336" i="1"/>
  <c r="AF336" i="1"/>
  <c r="AL336" i="1"/>
  <c r="AH336" i="1"/>
  <c r="AD336" i="1"/>
  <c r="AI336" i="1"/>
  <c r="AE336" i="1"/>
  <c r="Q133" i="1"/>
  <c r="S164" i="1"/>
  <c r="AE169" i="1"/>
  <c r="AF170" i="1"/>
  <c r="AF171" i="1"/>
  <c r="AE173" i="1"/>
  <c r="AI233" i="1"/>
  <c r="AE233" i="1"/>
  <c r="AL233" i="1"/>
  <c r="AH233" i="1"/>
  <c r="AD233" i="1"/>
  <c r="AK233" i="1"/>
  <c r="AG233" i="1"/>
  <c r="AC233" i="1"/>
  <c r="AJ233" i="1"/>
  <c r="AF233" i="1"/>
  <c r="AL238" i="1"/>
  <c r="AH238" i="1"/>
  <c r="AD238" i="1"/>
  <c r="AK238" i="1"/>
  <c r="AG238" i="1"/>
  <c r="AC238" i="1"/>
  <c r="AJ238" i="1"/>
  <c r="AF238" i="1"/>
  <c r="AI238" i="1"/>
  <c r="AE238" i="1"/>
  <c r="AI241" i="1"/>
  <c r="AE241" i="1"/>
  <c r="AL241" i="1"/>
  <c r="AH241" i="1"/>
  <c r="AD241" i="1"/>
  <c r="AK241" i="1"/>
  <c r="AG241" i="1"/>
  <c r="AC241" i="1"/>
  <c r="AJ241" i="1"/>
  <c r="AF241" i="1"/>
  <c r="AJ248" i="1"/>
  <c r="AF248" i="1"/>
  <c r="AI248" i="1"/>
  <c r="AE248" i="1"/>
  <c r="AL248" i="1"/>
  <c r="AH248" i="1"/>
  <c r="AD248" i="1"/>
  <c r="AK248" i="1"/>
  <c r="AG248" i="1"/>
  <c r="AC248" i="1"/>
  <c r="AK255" i="1"/>
  <c r="AG255" i="1"/>
  <c r="AC255" i="1"/>
  <c r="AJ255" i="1"/>
  <c r="AF255" i="1"/>
  <c r="AI255" i="1"/>
  <c r="AE255" i="1"/>
  <c r="AL255" i="1"/>
  <c r="AH255" i="1"/>
  <c r="AD255" i="1"/>
  <c r="AL258" i="1"/>
  <c r="AH258" i="1"/>
  <c r="AD258" i="1"/>
  <c r="AK258" i="1"/>
  <c r="AG258" i="1"/>
  <c r="AC258" i="1"/>
  <c r="AJ258" i="1"/>
  <c r="AF258" i="1"/>
  <c r="AI258" i="1"/>
  <c r="AE258" i="1"/>
  <c r="AK269" i="1"/>
  <c r="AG269" i="1"/>
  <c r="AC269" i="1"/>
  <c r="AJ269" i="1"/>
  <c r="AF269" i="1"/>
  <c r="AI269" i="1"/>
  <c r="AE269" i="1"/>
  <c r="AL269" i="1"/>
  <c r="AH269" i="1"/>
  <c r="AD269" i="1"/>
  <c r="AI271" i="1"/>
  <c r="AE271" i="1"/>
  <c r="AH271" i="1"/>
  <c r="AC271" i="1"/>
  <c r="AL271" i="1"/>
  <c r="AG271" i="1"/>
  <c r="AK271" i="1"/>
  <c r="AF271" i="1"/>
  <c r="AJ271" i="1"/>
  <c r="AD271" i="1"/>
  <c r="AJ278" i="1"/>
  <c r="AF278" i="1"/>
  <c r="AK278" i="1"/>
  <c r="AE278" i="1"/>
  <c r="AI278" i="1"/>
  <c r="AD278" i="1"/>
  <c r="AH278" i="1"/>
  <c r="AC278" i="1"/>
  <c r="AL278" i="1"/>
  <c r="AG278" i="1"/>
  <c r="AK281" i="1"/>
  <c r="AG281" i="1"/>
  <c r="AC281" i="1"/>
  <c r="AJ281" i="1"/>
  <c r="AE281" i="1"/>
  <c r="AI281" i="1"/>
  <c r="AD281" i="1"/>
  <c r="AH281" i="1"/>
  <c r="AL281" i="1"/>
  <c r="AF281" i="1"/>
  <c r="AJ317" i="1"/>
  <c r="AF317" i="1"/>
  <c r="AK317" i="1"/>
  <c r="AG317" i="1"/>
  <c r="AC317" i="1"/>
  <c r="AL317" i="1"/>
  <c r="AD317" i="1"/>
  <c r="AI317" i="1"/>
  <c r="AH317" i="1"/>
  <c r="AE317" i="1"/>
  <c r="AL327" i="1"/>
  <c r="AH327" i="1"/>
  <c r="AD327" i="1"/>
  <c r="AK327" i="1"/>
  <c r="AG327" i="1"/>
  <c r="AC327" i="1"/>
  <c r="AI327" i="1"/>
  <c r="AE327" i="1"/>
  <c r="AF327" i="1"/>
  <c r="AJ327" i="1"/>
  <c r="AK332" i="1"/>
  <c r="AG332" i="1"/>
  <c r="AC332" i="1"/>
  <c r="AJ332" i="1"/>
  <c r="AF332" i="1"/>
  <c r="AL332" i="1"/>
  <c r="AH332" i="1"/>
  <c r="AD332" i="1"/>
  <c r="AI332" i="1"/>
  <c r="AE332" i="1"/>
  <c r="AL347" i="1"/>
  <c r="AH347" i="1"/>
  <c r="AD347" i="1"/>
  <c r="AK347" i="1"/>
  <c r="AG347" i="1"/>
  <c r="AC347" i="1"/>
  <c r="AI347" i="1"/>
  <c r="AE347" i="1"/>
  <c r="AF347" i="1"/>
  <c r="AJ347" i="1"/>
  <c r="R97" i="1"/>
  <c r="AD167" i="1"/>
  <c r="AJ169" i="1"/>
  <c r="AF169" i="1"/>
  <c r="AG169" i="1"/>
  <c r="AL169" i="1"/>
  <c r="AI170" i="1"/>
  <c r="AE170" i="1"/>
  <c r="AG170" i="1"/>
  <c r="AL170" i="1"/>
  <c r="AL171" i="1"/>
  <c r="AH171" i="1"/>
  <c r="AD171" i="1"/>
  <c r="AG171" i="1"/>
  <c r="AJ173" i="1"/>
  <c r="AF173" i="1"/>
  <c r="AG173" i="1"/>
  <c r="AL173" i="1"/>
  <c r="R211" i="1"/>
  <c r="AL220" i="1"/>
  <c r="AH220" i="1"/>
  <c r="AD220" i="1"/>
  <c r="AK220" i="1"/>
  <c r="AG220" i="1"/>
  <c r="AC220" i="1"/>
  <c r="AI220" i="1"/>
  <c r="AE220" i="1"/>
  <c r="AJ226" i="1"/>
  <c r="AF226" i="1"/>
  <c r="AI226" i="1"/>
  <c r="AE226" i="1"/>
  <c r="AL226" i="1"/>
  <c r="AH226" i="1"/>
  <c r="AD226" i="1"/>
  <c r="AK226" i="1"/>
  <c r="AG226" i="1"/>
  <c r="AC226" i="1"/>
  <c r="AJ236" i="1"/>
  <c r="AF236" i="1"/>
  <c r="AI236" i="1"/>
  <c r="AE236" i="1"/>
  <c r="AL236" i="1"/>
  <c r="AH236" i="1"/>
  <c r="AD236" i="1"/>
  <c r="AK236" i="1"/>
  <c r="AG236" i="1"/>
  <c r="AC236" i="1"/>
  <c r="AK239" i="1"/>
  <c r="AG239" i="1"/>
  <c r="AC239" i="1"/>
  <c r="AJ239" i="1"/>
  <c r="AF239" i="1"/>
  <c r="AI239" i="1"/>
  <c r="AE239" i="1"/>
  <c r="AL239" i="1"/>
  <c r="AH239" i="1"/>
  <c r="AD239" i="1"/>
  <c r="AL242" i="1"/>
  <c r="AH242" i="1"/>
  <c r="AD242" i="1"/>
  <c r="AK242" i="1"/>
  <c r="AG242" i="1"/>
  <c r="AC242" i="1"/>
  <c r="AJ242" i="1"/>
  <c r="AF242" i="1"/>
  <c r="AI242" i="1"/>
  <c r="AE242" i="1"/>
  <c r="R259" i="1"/>
  <c r="S246" i="1"/>
  <c r="AI249" i="1"/>
  <c r="AE249" i="1"/>
  <c r="AL249" i="1"/>
  <c r="AH249" i="1"/>
  <c r="AD249" i="1"/>
  <c r="AK249" i="1"/>
  <c r="AG249" i="1"/>
  <c r="AC249" i="1"/>
  <c r="AJ249" i="1"/>
  <c r="AF249" i="1"/>
  <c r="AJ252" i="1"/>
  <c r="AF252" i="1"/>
  <c r="AI252" i="1"/>
  <c r="AE252" i="1"/>
  <c r="AL252" i="1"/>
  <c r="AH252" i="1"/>
  <c r="AD252" i="1"/>
  <c r="AK252" i="1"/>
  <c r="AG252" i="1"/>
  <c r="AC252" i="1"/>
  <c r="T266" i="1"/>
  <c r="S272" i="1"/>
  <c r="AL276" i="1"/>
  <c r="AH276" i="1"/>
  <c r="AD276" i="1"/>
  <c r="AK276" i="1"/>
  <c r="AF276" i="1"/>
  <c r="AJ276" i="1"/>
  <c r="AE276" i="1"/>
  <c r="AI276" i="1"/>
  <c r="AC276" i="1"/>
  <c r="AG276" i="1"/>
  <c r="AI279" i="1"/>
  <c r="AE279" i="1"/>
  <c r="AK279" i="1"/>
  <c r="AF279" i="1"/>
  <c r="AJ279" i="1"/>
  <c r="AD279" i="1"/>
  <c r="AH279" i="1"/>
  <c r="AC279" i="1"/>
  <c r="AL279" i="1"/>
  <c r="AG279" i="1"/>
  <c r="AI287" i="1"/>
  <c r="AE287" i="1"/>
  <c r="AH287" i="1"/>
  <c r="AC287" i="1"/>
  <c r="AL287" i="1"/>
  <c r="AG287" i="1"/>
  <c r="AK287" i="1"/>
  <c r="AF287" i="1"/>
  <c r="AJ287" i="1"/>
  <c r="AD287" i="1"/>
  <c r="AK289" i="1"/>
  <c r="AG289" i="1"/>
  <c r="AC289" i="1"/>
  <c r="AH289" i="1"/>
  <c r="AL289" i="1"/>
  <c r="AF289" i="1"/>
  <c r="AJ289" i="1"/>
  <c r="AE289" i="1"/>
  <c r="AI289" i="1"/>
  <c r="AD289" i="1"/>
  <c r="AI291" i="1"/>
  <c r="AE291" i="1"/>
  <c r="AH291" i="1"/>
  <c r="AC291" i="1"/>
  <c r="AL291" i="1"/>
  <c r="AG291" i="1"/>
  <c r="AK291" i="1"/>
  <c r="AF291" i="1"/>
  <c r="AJ291" i="1"/>
  <c r="AD291" i="1"/>
  <c r="AK293" i="1"/>
  <c r="AG293" i="1"/>
  <c r="AC293" i="1"/>
  <c r="AH293" i="1"/>
  <c r="AL293" i="1"/>
  <c r="AF293" i="1"/>
  <c r="AJ293" i="1"/>
  <c r="AE293" i="1"/>
  <c r="AI293" i="1"/>
  <c r="AD293" i="1"/>
  <c r="AI295" i="1"/>
  <c r="AE295" i="1"/>
  <c r="AH295" i="1"/>
  <c r="AC295" i="1"/>
  <c r="AL295" i="1"/>
  <c r="AG295" i="1"/>
  <c r="AK295" i="1"/>
  <c r="AF295" i="1"/>
  <c r="AJ295" i="1"/>
  <c r="AD295" i="1"/>
  <c r="AK297" i="1"/>
  <c r="AG297" i="1"/>
  <c r="AC297" i="1"/>
  <c r="AH297" i="1"/>
  <c r="AL297" i="1"/>
  <c r="AF297" i="1"/>
  <c r="AJ297" i="1"/>
  <c r="AE297" i="1"/>
  <c r="AI297" i="1"/>
  <c r="AD297" i="1"/>
  <c r="AI299" i="1"/>
  <c r="AE299" i="1"/>
  <c r="AH299" i="1"/>
  <c r="AC299" i="1"/>
  <c r="AL299" i="1"/>
  <c r="AG299" i="1"/>
  <c r="AK299" i="1"/>
  <c r="AF299" i="1"/>
  <c r="AJ299" i="1"/>
  <c r="AD299" i="1"/>
  <c r="AK301" i="1"/>
  <c r="AG301" i="1"/>
  <c r="AC301" i="1"/>
  <c r="AH301" i="1"/>
  <c r="AL301" i="1"/>
  <c r="AF301" i="1"/>
  <c r="AJ301" i="1"/>
  <c r="AE301" i="1"/>
  <c r="AI301" i="1"/>
  <c r="AD301" i="1"/>
  <c r="AI303" i="1"/>
  <c r="AE303" i="1"/>
  <c r="AH303" i="1"/>
  <c r="AC303" i="1"/>
  <c r="AL303" i="1"/>
  <c r="AG303" i="1"/>
  <c r="AK303" i="1"/>
  <c r="AF303" i="1"/>
  <c r="AJ303" i="1"/>
  <c r="AD303" i="1"/>
  <c r="AI318" i="1"/>
  <c r="AE318" i="1"/>
  <c r="AJ318" i="1"/>
  <c r="AF318" i="1"/>
  <c r="AG318" i="1"/>
  <c r="AL318" i="1"/>
  <c r="AD318" i="1"/>
  <c r="AK318" i="1"/>
  <c r="AC318" i="1"/>
  <c r="AH318" i="1"/>
  <c r="AL323" i="1"/>
  <c r="AH323" i="1"/>
  <c r="AD323" i="1"/>
  <c r="AK323" i="1"/>
  <c r="AG323" i="1"/>
  <c r="AC323" i="1"/>
  <c r="AI323" i="1"/>
  <c r="AE323" i="1"/>
  <c r="AF323" i="1"/>
  <c r="AJ323" i="1"/>
  <c r="AK328" i="1"/>
  <c r="AG328" i="1"/>
  <c r="AC328" i="1"/>
  <c r="AJ328" i="1"/>
  <c r="AF328" i="1"/>
  <c r="AL328" i="1"/>
  <c r="AH328" i="1"/>
  <c r="AD328" i="1"/>
  <c r="AI328" i="1"/>
  <c r="AE328" i="1"/>
  <c r="AL339" i="1"/>
  <c r="AH339" i="1"/>
  <c r="AD339" i="1"/>
  <c r="AK339" i="1"/>
  <c r="AG339" i="1"/>
  <c r="AC339" i="1"/>
  <c r="AI339" i="1"/>
  <c r="AE339" i="1"/>
  <c r="AF339" i="1"/>
  <c r="AJ339" i="1"/>
  <c r="AL343" i="1"/>
  <c r="AH343" i="1"/>
  <c r="AD343" i="1"/>
  <c r="AK343" i="1"/>
  <c r="AG343" i="1"/>
  <c r="AC343" i="1"/>
  <c r="AI343" i="1"/>
  <c r="AE343" i="1"/>
  <c r="AF343" i="1"/>
  <c r="AJ343" i="1"/>
  <c r="AK348" i="1"/>
  <c r="AG348" i="1"/>
  <c r="AC348" i="1"/>
  <c r="AJ348" i="1"/>
  <c r="AF348" i="1"/>
  <c r="AL348" i="1"/>
  <c r="AH348" i="1"/>
  <c r="AD348" i="1"/>
  <c r="AI348" i="1"/>
  <c r="AE348" i="1"/>
  <c r="AC169" i="1"/>
  <c r="AH169" i="1"/>
  <c r="AC170" i="1"/>
  <c r="AH170" i="1"/>
  <c r="AC171" i="1"/>
  <c r="AI171" i="1"/>
  <c r="AC173" i="1"/>
  <c r="AH173" i="1"/>
  <c r="T174" i="1"/>
  <c r="R177" i="1"/>
  <c r="AF220" i="1"/>
  <c r="AI227" i="1"/>
  <c r="AE227" i="1"/>
  <c r="AL227" i="1"/>
  <c r="AH227" i="1"/>
  <c r="AD227" i="1"/>
  <c r="AK227" i="1"/>
  <c r="AG227" i="1"/>
  <c r="AC227" i="1"/>
  <c r="AJ227" i="1"/>
  <c r="AF227" i="1"/>
  <c r="AL234" i="1"/>
  <c r="AH234" i="1"/>
  <c r="AD234" i="1"/>
  <c r="AK234" i="1"/>
  <c r="AG234" i="1"/>
  <c r="AC234" i="1"/>
  <c r="AJ234" i="1"/>
  <c r="AF234" i="1"/>
  <c r="AI234" i="1"/>
  <c r="AE234" i="1"/>
  <c r="AI237" i="1"/>
  <c r="AE237" i="1"/>
  <c r="AL237" i="1"/>
  <c r="AH237" i="1"/>
  <c r="AD237" i="1"/>
  <c r="AK237" i="1"/>
  <c r="AG237" i="1"/>
  <c r="AC237" i="1"/>
  <c r="AJ237" i="1"/>
  <c r="AF237" i="1"/>
  <c r="AK247" i="1"/>
  <c r="AG247" i="1"/>
  <c r="AC247" i="1"/>
  <c r="AJ247" i="1"/>
  <c r="AF247" i="1"/>
  <c r="AI247" i="1"/>
  <c r="AE247" i="1"/>
  <c r="AL247" i="1"/>
  <c r="AH247" i="1"/>
  <c r="AD247" i="1"/>
  <c r="AL250" i="1"/>
  <c r="AH250" i="1"/>
  <c r="AD250" i="1"/>
  <c r="AK250" i="1"/>
  <c r="AG250" i="1"/>
  <c r="AC250" i="1"/>
  <c r="AJ250" i="1"/>
  <c r="AF250" i="1"/>
  <c r="AI250" i="1"/>
  <c r="AE250" i="1"/>
  <c r="AI253" i="1"/>
  <c r="AE253" i="1"/>
  <c r="AL253" i="1"/>
  <c r="AH253" i="1"/>
  <c r="AD253" i="1"/>
  <c r="AK253" i="1"/>
  <c r="AG253" i="1"/>
  <c r="AC253" i="1"/>
  <c r="AJ253" i="1"/>
  <c r="AF253" i="1"/>
  <c r="AJ256" i="1"/>
  <c r="AF256" i="1"/>
  <c r="AI256" i="1"/>
  <c r="AE256" i="1"/>
  <c r="AL256" i="1"/>
  <c r="AH256" i="1"/>
  <c r="AD256" i="1"/>
  <c r="AK256" i="1"/>
  <c r="AG256" i="1"/>
  <c r="AC256" i="1"/>
  <c r="AI267" i="1"/>
  <c r="AE267" i="1"/>
  <c r="AL267" i="1"/>
  <c r="AH267" i="1"/>
  <c r="AD267" i="1"/>
  <c r="AK267" i="1"/>
  <c r="AG267" i="1"/>
  <c r="AC267" i="1"/>
  <c r="AJ267" i="1"/>
  <c r="AF267" i="1"/>
  <c r="AJ270" i="1"/>
  <c r="AF270" i="1"/>
  <c r="AH270" i="1"/>
  <c r="AC270" i="1"/>
  <c r="AL270" i="1"/>
  <c r="AG270" i="1"/>
  <c r="AK270" i="1"/>
  <c r="AE270" i="1"/>
  <c r="AI270" i="1"/>
  <c r="AD270" i="1"/>
  <c r="AM270" i="1" s="1"/>
  <c r="AL280" i="1"/>
  <c r="AH280" i="1"/>
  <c r="AD280" i="1"/>
  <c r="AK280" i="1"/>
  <c r="AF280" i="1"/>
  <c r="AJ280" i="1"/>
  <c r="AE280" i="1"/>
  <c r="AI280" i="1"/>
  <c r="AC280" i="1"/>
  <c r="AG280" i="1"/>
  <c r="AJ282" i="1"/>
  <c r="AF282" i="1"/>
  <c r="AK282" i="1"/>
  <c r="AE282" i="1"/>
  <c r="AI282" i="1"/>
  <c r="AD282" i="1"/>
  <c r="AH282" i="1"/>
  <c r="AC282" i="1"/>
  <c r="AL282" i="1"/>
  <c r="AG282" i="1"/>
  <c r="AL316" i="1"/>
  <c r="AH316" i="1"/>
  <c r="AD316" i="1"/>
  <c r="AK316" i="1"/>
  <c r="AF316" i="1"/>
  <c r="AJ316" i="1"/>
  <c r="AE316" i="1"/>
  <c r="AI316" i="1"/>
  <c r="AC316" i="1"/>
  <c r="AG316" i="1"/>
  <c r="AL319" i="1"/>
  <c r="AH319" i="1"/>
  <c r="AD319" i="1"/>
  <c r="AK319" i="1"/>
  <c r="AG319" i="1"/>
  <c r="AC319" i="1"/>
  <c r="AI319" i="1"/>
  <c r="AE319" i="1"/>
  <c r="AF319" i="1"/>
  <c r="AJ319" i="1"/>
  <c r="AK324" i="1"/>
  <c r="AG324" i="1"/>
  <c r="AC324" i="1"/>
  <c r="AJ324" i="1"/>
  <c r="AF324" i="1"/>
  <c r="AL324" i="1"/>
  <c r="AH324" i="1"/>
  <c r="AD324" i="1"/>
  <c r="AI324" i="1"/>
  <c r="AE324" i="1"/>
  <c r="AL335" i="1"/>
  <c r="AH335" i="1"/>
  <c r="AD335" i="1"/>
  <c r="AK335" i="1"/>
  <c r="AG335" i="1"/>
  <c r="AC335" i="1"/>
  <c r="AI335" i="1"/>
  <c r="AE335" i="1"/>
  <c r="AF335" i="1"/>
  <c r="AJ335" i="1"/>
  <c r="AK340" i="1"/>
  <c r="AG340" i="1"/>
  <c r="AC340" i="1"/>
  <c r="AJ340" i="1"/>
  <c r="AF340" i="1"/>
  <c r="AL340" i="1"/>
  <c r="AH340" i="1"/>
  <c r="AD340" i="1"/>
  <c r="AI340" i="1"/>
  <c r="AE340" i="1"/>
  <c r="AK344" i="1"/>
  <c r="AG344" i="1"/>
  <c r="AC344" i="1"/>
  <c r="AJ344" i="1"/>
  <c r="AF344" i="1"/>
  <c r="AL344" i="1"/>
  <c r="AH344" i="1"/>
  <c r="AD344" i="1"/>
  <c r="AI344" i="1"/>
  <c r="AE344" i="1"/>
  <c r="N882" i="1"/>
  <c r="M882" i="1" s="1"/>
  <c r="L882" i="1" s="1"/>
  <c r="K882" i="1" s="1"/>
  <c r="Q882" i="1" s="1"/>
  <c r="R882" i="1" s="1"/>
  <c r="S882" i="1" s="1"/>
  <c r="T882" i="1" s="1"/>
  <c r="N880" i="1"/>
  <c r="M880" i="1" s="1"/>
  <c r="L880" i="1" s="1"/>
  <c r="K880" i="1" s="1"/>
  <c r="Q880" i="1" s="1"/>
  <c r="R880" i="1" s="1"/>
  <c r="S880" i="1" s="1"/>
  <c r="T880" i="1" s="1"/>
  <c r="N878" i="1"/>
  <c r="M878" i="1" s="1"/>
  <c r="L878" i="1" s="1"/>
  <c r="K878" i="1" s="1"/>
  <c r="Q878" i="1" s="1"/>
  <c r="R878" i="1" s="1"/>
  <c r="S878" i="1" s="1"/>
  <c r="T878" i="1" s="1"/>
  <c r="N876" i="1"/>
  <c r="M876" i="1" s="1"/>
  <c r="L876" i="1" s="1"/>
  <c r="K876" i="1" s="1"/>
  <c r="Q876" i="1" s="1"/>
  <c r="R876" i="1" s="1"/>
  <c r="S876" i="1" s="1"/>
  <c r="T876" i="1" s="1"/>
  <c r="N874" i="1"/>
  <c r="M874" i="1" s="1"/>
  <c r="L874" i="1" s="1"/>
  <c r="K874" i="1" s="1"/>
  <c r="Q874" i="1" s="1"/>
  <c r="R874" i="1" s="1"/>
  <c r="S874" i="1" s="1"/>
  <c r="T874" i="1" s="1"/>
  <c r="N872" i="1"/>
  <c r="M872" i="1" s="1"/>
  <c r="L872" i="1" s="1"/>
  <c r="K872" i="1" s="1"/>
  <c r="Q872" i="1" s="1"/>
  <c r="R872" i="1" s="1"/>
  <c r="S872" i="1" s="1"/>
  <c r="T872" i="1" s="1"/>
  <c r="N870" i="1"/>
  <c r="M870" i="1" s="1"/>
  <c r="L870" i="1" s="1"/>
  <c r="K870" i="1" s="1"/>
  <c r="Q870" i="1" s="1"/>
  <c r="R870" i="1" s="1"/>
  <c r="S870" i="1" s="1"/>
  <c r="T870" i="1" s="1"/>
  <c r="N883" i="1"/>
  <c r="M883" i="1" s="1"/>
  <c r="L883" i="1" s="1"/>
  <c r="K883" i="1" s="1"/>
  <c r="Q883" i="1" s="1"/>
  <c r="R883" i="1" s="1"/>
  <c r="S883" i="1" s="1"/>
  <c r="T883" i="1" s="1"/>
  <c r="N881" i="1"/>
  <c r="M881" i="1" s="1"/>
  <c r="L881" i="1" s="1"/>
  <c r="K881" i="1" s="1"/>
  <c r="Q881" i="1" s="1"/>
  <c r="R881" i="1" s="1"/>
  <c r="S881" i="1" s="1"/>
  <c r="T881" i="1" s="1"/>
  <c r="N879" i="1"/>
  <c r="M879" i="1" s="1"/>
  <c r="L879" i="1" s="1"/>
  <c r="K879" i="1" s="1"/>
  <c r="Q879" i="1" s="1"/>
  <c r="R879" i="1" s="1"/>
  <c r="S879" i="1" s="1"/>
  <c r="T879" i="1" s="1"/>
  <c r="N877" i="1"/>
  <c r="M877" i="1" s="1"/>
  <c r="L877" i="1" s="1"/>
  <c r="K877" i="1" s="1"/>
  <c r="Q877" i="1" s="1"/>
  <c r="R877" i="1" s="1"/>
  <c r="S877" i="1" s="1"/>
  <c r="T877" i="1" s="1"/>
  <c r="N875" i="1"/>
  <c r="M875" i="1" s="1"/>
  <c r="L875" i="1" s="1"/>
  <c r="K875" i="1" s="1"/>
  <c r="Q875" i="1" s="1"/>
  <c r="R875" i="1" s="1"/>
  <c r="S875" i="1" s="1"/>
  <c r="T875" i="1" s="1"/>
  <c r="N873" i="1"/>
  <c r="M873" i="1" s="1"/>
  <c r="L873" i="1" s="1"/>
  <c r="K873" i="1" s="1"/>
  <c r="Q873" i="1" s="1"/>
  <c r="R873" i="1" s="1"/>
  <c r="S873" i="1" s="1"/>
  <c r="T873" i="1" s="1"/>
  <c r="N871" i="1"/>
  <c r="M871" i="1" s="1"/>
  <c r="L871" i="1" s="1"/>
  <c r="K871" i="1" s="1"/>
  <c r="Q871" i="1" s="1"/>
  <c r="R871" i="1" s="1"/>
  <c r="S871" i="1" s="1"/>
  <c r="T871" i="1" s="1"/>
  <c r="R231" i="1"/>
  <c r="Q259" i="1"/>
  <c r="Q272" i="1"/>
  <c r="D416" i="1"/>
  <c r="H416" i="1"/>
  <c r="H636" i="1" s="1"/>
  <c r="L416" i="1"/>
  <c r="L636" i="1" s="1"/>
  <c r="P416" i="1"/>
  <c r="AV416" i="1"/>
  <c r="AE304" i="1"/>
  <c r="AJ304" i="1"/>
  <c r="AD305" i="1"/>
  <c r="AI305" i="1"/>
  <c r="AD306" i="1"/>
  <c r="AI306" i="1"/>
  <c r="AD307" i="1"/>
  <c r="AJ307" i="1"/>
  <c r="AE308" i="1"/>
  <c r="AJ308" i="1"/>
  <c r="AD309" i="1"/>
  <c r="AI309" i="1"/>
  <c r="AD310" i="1"/>
  <c r="AI310" i="1"/>
  <c r="AD311" i="1"/>
  <c r="AJ311" i="1"/>
  <c r="AC322" i="1"/>
  <c r="AC326" i="1"/>
  <c r="AC330" i="1"/>
  <c r="AC334" i="1"/>
  <c r="AC338" i="1"/>
  <c r="AC342" i="1"/>
  <c r="AC346" i="1"/>
  <c r="AL355" i="1"/>
  <c r="AH355" i="1"/>
  <c r="AD355" i="1"/>
  <c r="AK355" i="1"/>
  <c r="AG355" i="1"/>
  <c r="AC355" i="1"/>
  <c r="AJ355" i="1"/>
  <c r="AF355" i="1"/>
  <c r="AI355" i="1"/>
  <c r="AE355" i="1"/>
  <c r="T361" i="1"/>
  <c r="AK364" i="1"/>
  <c r="AG364" i="1"/>
  <c r="AC364" i="1"/>
  <c r="AJ364" i="1"/>
  <c r="AF364" i="1"/>
  <c r="AI364" i="1"/>
  <c r="AE364" i="1"/>
  <c r="AL364" i="1"/>
  <c r="AH364" i="1"/>
  <c r="AD364" i="1"/>
  <c r="AJ369" i="1"/>
  <c r="AF369" i="1"/>
  <c r="AI369" i="1"/>
  <c r="AE369" i="1"/>
  <c r="AL369" i="1"/>
  <c r="AH369" i="1"/>
  <c r="AD369" i="1"/>
  <c r="AK369" i="1"/>
  <c r="AG369" i="1"/>
  <c r="AC369" i="1"/>
  <c r="AK372" i="1"/>
  <c r="AG372" i="1"/>
  <c r="AC372" i="1"/>
  <c r="AJ372" i="1"/>
  <c r="AF372" i="1"/>
  <c r="AI372" i="1"/>
  <c r="AE372" i="1"/>
  <c r="AL372" i="1"/>
  <c r="AH372" i="1"/>
  <c r="AD372" i="1"/>
  <c r="AJ377" i="1"/>
  <c r="AF377" i="1"/>
  <c r="AI377" i="1"/>
  <c r="AE377" i="1"/>
  <c r="AL377" i="1"/>
  <c r="AH377" i="1"/>
  <c r="AD377" i="1"/>
  <c r="AK377" i="1"/>
  <c r="AG377" i="1"/>
  <c r="AC377" i="1"/>
  <c r="AK380" i="1"/>
  <c r="AG380" i="1"/>
  <c r="AC380" i="1"/>
  <c r="AJ380" i="1"/>
  <c r="AF380" i="1"/>
  <c r="AI380" i="1"/>
  <c r="AE380" i="1"/>
  <c r="AL380" i="1"/>
  <c r="AH380" i="1"/>
  <c r="AD380" i="1"/>
  <c r="AJ385" i="1"/>
  <c r="AF385" i="1"/>
  <c r="AH385" i="1"/>
  <c r="AC385" i="1"/>
  <c r="AL385" i="1"/>
  <c r="AG385" i="1"/>
  <c r="AK385" i="1"/>
  <c r="AE385" i="1"/>
  <c r="AI385" i="1"/>
  <c r="AD385" i="1"/>
  <c r="AM385" i="1" s="1"/>
  <c r="AL387" i="1"/>
  <c r="AH387" i="1"/>
  <c r="AD387" i="1"/>
  <c r="AI387" i="1"/>
  <c r="AC387" i="1"/>
  <c r="AG387" i="1"/>
  <c r="AK387" i="1"/>
  <c r="AF387" i="1"/>
  <c r="AJ387" i="1"/>
  <c r="AE387" i="1"/>
  <c r="AJ389" i="1"/>
  <c r="AF389" i="1"/>
  <c r="AH389" i="1"/>
  <c r="AC389" i="1"/>
  <c r="AL389" i="1"/>
  <c r="AG389" i="1"/>
  <c r="AK389" i="1"/>
  <c r="AE389" i="1"/>
  <c r="AI389" i="1"/>
  <c r="AD389" i="1"/>
  <c r="AM389" i="1" s="1"/>
  <c r="AL391" i="1"/>
  <c r="AH391" i="1"/>
  <c r="AD391" i="1"/>
  <c r="AI391" i="1"/>
  <c r="AC391" i="1"/>
  <c r="AG391" i="1"/>
  <c r="AK391" i="1"/>
  <c r="AF391" i="1"/>
  <c r="AJ391" i="1"/>
  <c r="AE391" i="1"/>
  <c r="AJ393" i="1"/>
  <c r="AF393" i="1"/>
  <c r="AH393" i="1"/>
  <c r="AC393" i="1"/>
  <c r="AL393" i="1"/>
  <c r="AG393" i="1"/>
  <c r="AK393" i="1"/>
  <c r="AE393" i="1"/>
  <c r="AI393" i="1"/>
  <c r="AD393" i="1"/>
  <c r="AM393" i="1" s="1"/>
  <c r="S430" i="1"/>
  <c r="T420" i="1"/>
  <c r="AJ422" i="1"/>
  <c r="AF422" i="1"/>
  <c r="AI422" i="1"/>
  <c r="AD422" i="1"/>
  <c r="AH422" i="1"/>
  <c r="AC422" i="1"/>
  <c r="AL422" i="1"/>
  <c r="AG422" i="1"/>
  <c r="AK422" i="1"/>
  <c r="AE422" i="1"/>
  <c r="AL435" i="1"/>
  <c r="AH435" i="1"/>
  <c r="AD435" i="1"/>
  <c r="AI435" i="1"/>
  <c r="AE435" i="1"/>
  <c r="AK435" i="1"/>
  <c r="AC435" i="1"/>
  <c r="AJ435" i="1"/>
  <c r="AG435" i="1"/>
  <c r="AF435" i="1"/>
  <c r="AK440" i="1"/>
  <c r="AG440" i="1"/>
  <c r="AC440" i="1"/>
  <c r="AJ440" i="1"/>
  <c r="AF440" i="1"/>
  <c r="AL440" i="1"/>
  <c r="AH440" i="1"/>
  <c r="AD440" i="1"/>
  <c r="AI440" i="1"/>
  <c r="AE440" i="1"/>
  <c r="Q228" i="1"/>
  <c r="R228" i="1" s="1"/>
  <c r="R272" i="1"/>
  <c r="AF304" i="1"/>
  <c r="AE305" i="1"/>
  <c r="AJ305" i="1"/>
  <c r="AE306" i="1"/>
  <c r="AF307" i="1"/>
  <c r="AF308" i="1"/>
  <c r="AE309" i="1"/>
  <c r="AJ309" i="1"/>
  <c r="AE310" i="1"/>
  <c r="AF311" i="1"/>
  <c r="AG322" i="1"/>
  <c r="AG326" i="1"/>
  <c r="AG330" i="1"/>
  <c r="AG334" i="1"/>
  <c r="AG338" i="1"/>
  <c r="AK356" i="1"/>
  <c r="AG356" i="1"/>
  <c r="AC356" i="1"/>
  <c r="AJ356" i="1"/>
  <c r="AF356" i="1"/>
  <c r="AI356" i="1"/>
  <c r="AE356" i="1"/>
  <c r="AL356" i="1"/>
  <c r="AH356" i="1"/>
  <c r="AD356" i="1"/>
  <c r="AL367" i="1"/>
  <c r="AH367" i="1"/>
  <c r="AD367" i="1"/>
  <c r="AK367" i="1"/>
  <c r="AG367" i="1"/>
  <c r="AC367" i="1"/>
  <c r="AJ367" i="1"/>
  <c r="AF367" i="1"/>
  <c r="AI367" i="1"/>
  <c r="AE367" i="1"/>
  <c r="AI370" i="1"/>
  <c r="AE370" i="1"/>
  <c r="AL370" i="1"/>
  <c r="AH370" i="1"/>
  <c r="AD370" i="1"/>
  <c r="AK370" i="1"/>
  <c r="AG370" i="1"/>
  <c r="AC370" i="1"/>
  <c r="AJ370" i="1"/>
  <c r="AF370" i="1"/>
  <c r="AL375" i="1"/>
  <c r="AH375" i="1"/>
  <c r="AD375" i="1"/>
  <c r="AK375" i="1"/>
  <c r="AG375" i="1"/>
  <c r="AC375" i="1"/>
  <c r="AJ375" i="1"/>
  <c r="AF375" i="1"/>
  <c r="AI375" i="1"/>
  <c r="AE375" i="1"/>
  <c r="AI378" i="1"/>
  <c r="AE378" i="1"/>
  <c r="AL378" i="1"/>
  <c r="AH378" i="1"/>
  <c r="AD378" i="1"/>
  <c r="AK378" i="1"/>
  <c r="AG378" i="1"/>
  <c r="AC378" i="1"/>
  <c r="AJ378" i="1"/>
  <c r="AF378" i="1"/>
  <c r="AL383" i="1"/>
  <c r="AH383" i="1"/>
  <c r="AD383" i="1"/>
  <c r="AK383" i="1"/>
  <c r="AG383" i="1"/>
  <c r="AC383" i="1"/>
  <c r="AJ383" i="1"/>
  <c r="AF383" i="1"/>
  <c r="AI383" i="1"/>
  <c r="AE383" i="1"/>
  <c r="AI400" i="1"/>
  <c r="AE400" i="1"/>
  <c r="AH400" i="1"/>
  <c r="AC400" i="1"/>
  <c r="AL400" i="1"/>
  <c r="AG400" i="1"/>
  <c r="AK400" i="1"/>
  <c r="AF400" i="1"/>
  <c r="AJ400" i="1"/>
  <c r="AD400" i="1"/>
  <c r="AI406" i="1"/>
  <c r="AE406" i="1"/>
  <c r="AH406" i="1"/>
  <c r="AC406" i="1"/>
  <c r="AL406" i="1"/>
  <c r="AG406" i="1"/>
  <c r="AK406" i="1"/>
  <c r="AF406" i="1"/>
  <c r="AJ406" i="1"/>
  <c r="AD406" i="1"/>
  <c r="AK408" i="1"/>
  <c r="AG408" i="1"/>
  <c r="AC408" i="1"/>
  <c r="AH408" i="1"/>
  <c r="AL408" i="1"/>
  <c r="AF408" i="1"/>
  <c r="AJ408" i="1"/>
  <c r="AE408" i="1"/>
  <c r="AI408" i="1"/>
  <c r="AD408" i="1"/>
  <c r="AI410" i="1"/>
  <c r="AE410" i="1"/>
  <c r="AH410" i="1"/>
  <c r="AC410" i="1"/>
  <c r="AL410" i="1"/>
  <c r="AG410" i="1"/>
  <c r="AK410" i="1"/>
  <c r="AF410" i="1"/>
  <c r="AJ410" i="1"/>
  <c r="AD410" i="1"/>
  <c r="AK412" i="1"/>
  <c r="AG412" i="1"/>
  <c r="AC412" i="1"/>
  <c r="AH412" i="1"/>
  <c r="AL412" i="1"/>
  <c r="AF412" i="1"/>
  <c r="AJ412" i="1"/>
  <c r="AE412" i="1"/>
  <c r="AI412" i="1"/>
  <c r="AD412" i="1"/>
  <c r="AI423" i="1"/>
  <c r="AE423" i="1"/>
  <c r="AJ423" i="1"/>
  <c r="AD423" i="1"/>
  <c r="AH423" i="1"/>
  <c r="AC423" i="1"/>
  <c r="AL423" i="1"/>
  <c r="AG423" i="1"/>
  <c r="AK423" i="1"/>
  <c r="AF423" i="1"/>
  <c r="AK425" i="1"/>
  <c r="AG425" i="1"/>
  <c r="AC425" i="1"/>
  <c r="AI425" i="1"/>
  <c r="AD425" i="1"/>
  <c r="AH425" i="1"/>
  <c r="AL425" i="1"/>
  <c r="AF425" i="1"/>
  <c r="AJ425" i="1"/>
  <c r="AE425" i="1"/>
  <c r="AK428" i="1"/>
  <c r="AG428" i="1"/>
  <c r="AC428" i="1"/>
  <c r="AL428" i="1"/>
  <c r="AH428" i="1"/>
  <c r="AD428" i="1"/>
  <c r="AE428" i="1"/>
  <c r="AJ428" i="1"/>
  <c r="AI428" i="1"/>
  <c r="AF428" i="1"/>
  <c r="AL304" i="1"/>
  <c r="AH304" i="1"/>
  <c r="AD304" i="1"/>
  <c r="AG304" i="1"/>
  <c r="AF305" i="1"/>
  <c r="AJ306" i="1"/>
  <c r="AF306" i="1"/>
  <c r="AG306" i="1"/>
  <c r="AL306" i="1"/>
  <c r="AI307" i="1"/>
  <c r="AE307" i="1"/>
  <c r="AG307" i="1"/>
  <c r="AL307" i="1"/>
  <c r="AL308" i="1"/>
  <c r="AH308" i="1"/>
  <c r="AD308" i="1"/>
  <c r="AG308" i="1"/>
  <c r="AF309" i="1"/>
  <c r="AJ310" i="1"/>
  <c r="AF310" i="1"/>
  <c r="AG310" i="1"/>
  <c r="AL310" i="1"/>
  <c r="AI311" i="1"/>
  <c r="AE311" i="1"/>
  <c r="AG311" i="1"/>
  <c r="AL311" i="1"/>
  <c r="Q350" i="1"/>
  <c r="AJ321" i="1"/>
  <c r="AF321" i="1"/>
  <c r="AI321" i="1"/>
  <c r="AE321" i="1"/>
  <c r="AK321" i="1"/>
  <c r="AG321" i="1"/>
  <c r="AC321" i="1"/>
  <c r="AJ325" i="1"/>
  <c r="AF325" i="1"/>
  <c r="AI325" i="1"/>
  <c r="AE325" i="1"/>
  <c r="AK325" i="1"/>
  <c r="AG325" i="1"/>
  <c r="AC325" i="1"/>
  <c r="AJ329" i="1"/>
  <c r="AF329" i="1"/>
  <c r="AI329" i="1"/>
  <c r="AE329" i="1"/>
  <c r="AK329" i="1"/>
  <c r="AG329" i="1"/>
  <c r="AC329" i="1"/>
  <c r="AJ333" i="1"/>
  <c r="AF333" i="1"/>
  <c r="AI333" i="1"/>
  <c r="AE333" i="1"/>
  <c r="AK333" i="1"/>
  <c r="AG333" i="1"/>
  <c r="AC333" i="1"/>
  <c r="AJ337" i="1"/>
  <c r="AF337" i="1"/>
  <c r="AI337" i="1"/>
  <c r="AE337" i="1"/>
  <c r="AK337" i="1"/>
  <c r="AG337" i="1"/>
  <c r="AC337" i="1"/>
  <c r="AJ341" i="1"/>
  <c r="AF341" i="1"/>
  <c r="AI341" i="1"/>
  <c r="AE341" i="1"/>
  <c r="AK341" i="1"/>
  <c r="AG341" i="1"/>
  <c r="AC341" i="1"/>
  <c r="AJ345" i="1"/>
  <c r="AF345" i="1"/>
  <c r="AI345" i="1"/>
  <c r="AE345" i="1"/>
  <c r="AK345" i="1"/>
  <c r="AG345" i="1"/>
  <c r="AC345" i="1"/>
  <c r="AJ349" i="1"/>
  <c r="AF349" i="1"/>
  <c r="AI349" i="1"/>
  <c r="AE349" i="1"/>
  <c r="AK349" i="1"/>
  <c r="AG349" i="1"/>
  <c r="AC349" i="1"/>
  <c r="AJ365" i="1"/>
  <c r="AF365" i="1"/>
  <c r="AI365" i="1"/>
  <c r="AE365" i="1"/>
  <c r="AL365" i="1"/>
  <c r="AH365" i="1"/>
  <c r="AD365" i="1"/>
  <c r="AK365" i="1"/>
  <c r="AG365" i="1"/>
  <c r="AC365" i="1"/>
  <c r="AK368" i="1"/>
  <c r="AG368" i="1"/>
  <c r="AC368" i="1"/>
  <c r="AJ368" i="1"/>
  <c r="AF368" i="1"/>
  <c r="AI368" i="1"/>
  <c r="AE368" i="1"/>
  <c r="AL368" i="1"/>
  <c r="AH368" i="1"/>
  <c r="AD368" i="1"/>
  <c r="AJ373" i="1"/>
  <c r="AF373" i="1"/>
  <c r="AI373" i="1"/>
  <c r="AE373" i="1"/>
  <c r="AL373" i="1"/>
  <c r="AH373" i="1"/>
  <c r="AD373" i="1"/>
  <c r="AK373" i="1"/>
  <c r="AG373" i="1"/>
  <c r="AC373" i="1"/>
  <c r="AK376" i="1"/>
  <c r="AG376" i="1"/>
  <c r="AC376" i="1"/>
  <c r="AJ376" i="1"/>
  <c r="AF376" i="1"/>
  <c r="AI376" i="1"/>
  <c r="AE376" i="1"/>
  <c r="AL376" i="1"/>
  <c r="AH376" i="1"/>
  <c r="AD376" i="1"/>
  <c r="AJ381" i="1"/>
  <c r="AF381" i="1"/>
  <c r="AI381" i="1"/>
  <c r="AE381" i="1"/>
  <c r="AL381" i="1"/>
  <c r="AH381" i="1"/>
  <c r="AD381" i="1"/>
  <c r="AK381" i="1"/>
  <c r="AG381" i="1"/>
  <c r="AC381" i="1"/>
  <c r="AK384" i="1"/>
  <c r="AG384" i="1"/>
  <c r="AH384" i="1"/>
  <c r="AC384" i="1"/>
  <c r="AL384" i="1"/>
  <c r="AF384" i="1"/>
  <c r="AJ384" i="1"/>
  <c r="AE384" i="1"/>
  <c r="AI384" i="1"/>
  <c r="AD384" i="1"/>
  <c r="AI386" i="1"/>
  <c r="AE386" i="1"/>
  <c r="AH386" i="1"/>
  <c r="AC386" i="1"/>
  <c r="AL386" i="1"/>
  <c r="AG386" i="1"/>
  <c r="AK386" i="1"/>
  <c r="AF386" i="1"/>
  <c r="AJ386" i="1"/>
  <c r="AD386" i="1"/>
  <c r="AK388" i="1"/>
  <c r="AG388" i="1"/>
  <c r="AC388" i="1"/>
  <c r="AH388" i="1"/>
  <c r="AL388" i="1"/>
  <c r="AF388" i="1"/>
  <c r="AJ388" i="1"/>
  <c r="AE388" i="1"/>
  <c r="AI388" i="1"/>
  <c r="AD388" i="1"/>
  <c r="AI390" i="1"/>
  <c r="AE390" i="1"/>
  <c r="AH390" i="1"/>
  <c r="AC390" i="1"/>
  <c r="AL390" i="1"/>
  <c r="AG390" i="1"/>
  <c r="AK390" i="1"/>
  <c r="AF390" i="1"/>
  <c r="AJ390" i="1"/>
  <c r="AD390" i="1"/>
  <c r="AK392" i="1"/>
  <c r="AG392" i="1"/>
  <c r="AC392" i="1"/>
  <c r="AH392" i="1"/>
  <c r="AL392" i="1"/>
  <c r="AF392" i="1"/>
  <c r="AJ392" i="1"/>
  <c r="AE392" i="1"/>
  <c r="AI392" i="1"/>
  <c r="AD392" i="1"/>
  <c r="AI394" i="1"/>
  <c r="AE394" i="1"/>
  <c r="AH394" i="1"/>
  <c r="AC394" i="1"/>
  <c r="AL394" i="1"/>
  <c r="AG394" i="1"/>
  <c r="AK394" i="1"/>
  <c r="AF394" i="1"/>
  <c r="AJ394" i="1"/>
  <c r="AD394" i="1"/>
  <c r="AL424" i="1"/>
  <c r="AH424" i="1"/>
  <c r="AD424" i="1"/>
  <c r="AJ424" i="1"/>
  <c r="AE424" i="1"/>
  <c r="AI424" i="1"/>
  <c r="AC424" i="1"/>
  <c r="AG424" i="1"/>
  <c r="AK424" i="1"/>
  <c r="AF424" i="1"/>
  <c r="AJ426" i="1"/>
  <c r="AF426" i="1"/>
  <c r="AI426" i="1"/>
  <c r="AD426" i="1"/>
  <c r="AH426" i="1"/>
  <c r="AC426" i="1"/>
  <c r="AL426" i="1"/>
  <c r="AG426" i="1"/>
  <c r="AK426" i="1"/>
  <c r="AE426" i="1"/>
  <c r="AK436" i="1"/>
  <c r="AG436" i="1"/>
  <c r="AC436" i="1"/>
  <c r="AL436" i="1"/>
  <c r="AH436" i="1"/>
  <c r="AD436" i="1"/>
  <c r="AE436" i="1"/>
  <c r="AJ436" i="1"/>
  <c r="AI436" i="1"/>
  <c r="AF436" i="1"/>
  <c r="AI438" i="1"/>
  <c r="AE438" i="1"/>
  <c r="AJ438" i="1"/>
  <c r="AF438" i="1"/>
  <c r="AH438" i="1"/>
  <c r="AG438" i="1"/>
  <c r="AL438" i="1"/>
  <c r="AD438" i="1"/>
  <c r="AM438" i="1" s="1"/>
  <c r="AK438" i="1"/>
  <c r="AC438" i="1"/>
  <c r="R275" i="1"/>
  <c r="AK305" i="1"/>
  <c r="AG305" i="1"/>
  <c r="AC305" i="1"/>
  <c r="AH305" i="1"/>
  <c r="AK309" i="1"/>
  <c r="AG309" i="1"/>
  <c r="AC309" i="1"/>
  <c r="AH309" i="1"/>
  <c r="R350" i="1"/>
  <c r="S315" i="1"/>
  <c r="AI322" i="1"/>
  <c r="AE322" i="1"/>
  <c r="AL322" i="1"/>
  <c r="AH322" i="1"/>
  <c r="AD322" i="1"/>
  <c r="AJ322" i="1"/>
  <c r="AF322" i="1"/>
  <c r="AI326" i="1"/>
  <c r="AE326" i="1"/>
  <c r="AL326" i="1"/>
  <c r="AH326" i="1"/>
  <c r="AD326" i="1"/>
  <c r="AJ326" i="1"/>
  <c r="AF326" i="1"/>
  <c r="AI330" i="1"/>
  <c r="AE330" i="1"/>
  <c r="AL330" i="1"/>
  <c r="AH330" i="1"/>
  <c r="AD330" i="1"/>
  <c r="AJ330" i="1"/>
  <c r="AF330" i="1"/>
  <c r="AI334" i="1"/>
  <c r="AE334" i="1"/>
  <c r="AL334" i="1"/>
  <c r="AH334" i="1"/>
  <c r="AD334" i="1"/>
  <c r="AJ334" i="1"/>
  <c r="AF334" i="1"/>
  <c r="AI338" i="1"/>
  <c r="AE338" i="1"/>
  <c r="AL338" i="1"/>
  <c r="AH338" i="1"/>
  <c r="AD338" i="1"/>
  <c r="AJ338" i="1"/>
  <c r="AF338" i="1"/>
  <c r="AI342" i="1"/>
  <c r="AE342" i="1"/>
  <c r="AL342" i="1"/>
  <c r="AH342" i="1"/>
  <c r="AD342" i="1"/>
  <c r="AJ342" i="1"/>
  <c r="AF342" i="1"/>
  <c r="AD345" i="1"/>
  <c r="AI346" i="1"/>
  <c r="AE346" i="1"/>
  <c r="AL346" i="1"/>
  <c r="AH346" i="1"/>
  <c r="AD346" i="1"/>
  <c r="AJ346" i="1"/>
  <c r="AF346" i="1"/>
  <c r="AD349" i="1"/>
  <c r="AJ357" i="1"/>
  <c r="AF357" i="1"/>
  <c r="AI357" i="1"/>
  <c r="AE357" i="1"/>
  <c r="AL357" i="1"/>
  <c r="AH357" i="1"/>
  <c r="AD357" i="1"/>
  <c r="AK357" i="1"/>
  <c r="AG357" i="1"/>
  <c r="AC357" i="1"/>
  <c r="AL363" i="1"/>
  <c r="AH363" i="1"/>
  <c r="AD363" i="1"/>
  <c r="AK363" i="1"/>
  <c r="AG363" i="1"/>
  <c r="AC363" i="1"/>
  <c r="AJ363" i="1"/>
  <c r="AF363" i="1"/>
  <c r="AI363" i="1"/>
  <c r="AE363" i="1"/>
  <c r="AI366" i="1"/>
  <c r="AE366" i="1"/>
  <c r="AL366" i="1"/>
  <c r="AH366" i="1"/>
  <c r="AD366" i="1"/>
  <c r="AK366" i="1"/>
  <c r="AG366" i="1"/>
  <c r="AC366" i="1"/>
  <c r="AJ366" i="1"/>
  <c r="AF366" i="1"/>
  <c r="AL371" i="1"/>
  <c r="AH371" i="1"/>
  <c r="AD371" i="1"/>
  <c r="AK371" i="1"/>
  <c r="AG371" i="1"/>
  <c r="AC371" i="1"/>
  <c r="AJ371" i="1"/>
  <c r="AF371" i="1"/>
  <c r="AI371" i="1"/>
  <c r="AE371" i="1"/>
  <c r="AI374" i="1"/>
  <c r="AE374" i="1"/>
  <c r="AL374" i="1"/>
  <c r="AH374" i="1"/>
  <c r="AD374" i="1"/>
  <c r="AK374" i="1"/>
  <c r="AG374" i="1"/>
  <c r="AC374" i="1"/>
  <c r="AJ374" i="1"/>
  <c r="AF374" i="1"/>
  <c r="AL379" i="1"/>
  <c r="AH379" i="1"/>
  <c r="AD379" i="1"/>
  <c r="AK379" i="1"/>
  <c r="AG379" i="1"/>
  <c r="AC379" i="1"/>
  <c r="AJ379" i="1"/>
  <c r="AF379" i="1"/>
  <c r="AI379" i="1"/>
  <c r="AE379" i="1"/>
  <c r="AI382" i="1"/>
  <c r="AE382" i="1"/>
  <c r="AL382" i="1"/>
  <c r="AH382" i="1"/>
  <c r="AD382" i="1"/>
  <c r="AK382" i="1"/>
  <c r="AG382" i="1"/>
  <c r="AC382" i="1"/>
  <c r="AJ382" i="1"/>
  <c r="AF382" i="1"/>
  <c r="AJ399" i="1"/>
  <c r="AF399" i="1"/>
  <c r="AH399" i="1"/>
  <c r="AC399" i="1"/>
  <c r="AL399" i="1"/>
  <c r="AG399" i="1"/>
  <c r="AK399" i="1"/>
  <c r="AE399" i="1"/>
  <c r="AI399" i="1"/>
  <c r="AD399" i="1"/>
  <c r="AL401" i="1"/>
  <c r="AH401" i="1"/>
  <c r="AD401" i="1"/>
  <c r="AI401" i="1"/>
  <c r="AC401" i="1"/>
  <c r="AG401" i="1"/>
  <c r="AK401" i="1"/>
  <c r="AF401" i="1"/>
  <c r="AJ401" i="1"/>
  <c r="AE401" i="1"/>
  <c r="AL407" i="1"/>
  <c r="AH407" i="1"/>
  <c r="AD407" i="1"/>
  <c r="AI407" i="1"/>
  <c r="AC407" i="1"/>
  <c r="AG407" i="1"/>
  <c r="AK407" i="1"/>
  <c r="AF407" i="1"/>
  <c r="AJ407" i="1"/>
  <c r="AE407" i="1"/>
  <c r="AJ409" i="1"/>
  <c r="AF409" i="1"/>
  <c r="AH409" i="1"/>
  <c r="AC409" i="1"/>
  <c r="AL409" i="1"/>
  <c r="AG409" i="1"/>
  <c r="AK409" i="1"/>
  <c r="AE409" i="1"/>
  <c r="AI409" i="1"/>
  <c r="AD409" i="1"/>
  <c r="AL411" i="1"/>
  <c r="AH411" i="1"/>
  <c r="AD411" i="1"/>
  <c r="AI411" i="1"/>
  <c r="AC411" i="1"/>
  <c r="AG411" i="1"/>
  <c r="AK411" i="1"/>
  <c r="AF411" i="1"/>
  <c r="AJ411" i="1"/>
  <c r="AE411" i="1"/>
  <c r="AJ413" i="1"/>
  <c r="AF413" i="1"/>
  <c r="AH413" i="1"/>
  <c r="AC413" i="1"/>
  <c r="AL413" i="1"/>
  <c r="AG413" i="1"/>
  <c r="AK413" i="1"/>
  <c r="AE413" i="1"/>
  <c r="AI413" i="1"/>
  <c r="AD413" i="1"/>
  <c r="AK421" i="1"/>
  <c r="AG421" i="1"/>
  <c r="AC421" i="1"/>
  <c r="AI421" i="1"/>
  <c r="AD421" i="1"/>
  <c r="AH421" i="1"/>
  <c r="AL421" i="1"/>
  <c r="AF421" i="1"/>
  <c r="AJ421" i="1"/>
  <c r="AE421" i="1"/>
  <c r="AL427" i="1"/>
  <c r="AH427" i="1"/>
  <c r="AI427" i="1"/>
  <c r="AE427" i="1"/>
  <c r="AK427" i="1"/>
  <c r="AD427" i="1"/>
  <c r="AJ427" i="1"/>
  <c r="AC427" i="1"/>
  <c r="AG427" i="1"/>
  <c r="AF427" i="1"/>
  <c r="AL439" i="1"/>
  <c r="AH439" i="1"/>
  <c r="AD439" i="1"/>
  <c r="AI439" i="1"/>
  <c r="AE439" i="1"/>
  <c r="AK439" i="1"/>
  <c r="AC439" i="1"/>
  <c r="AJ439" i="1"/>
  <c r="AG439" i="1"/>
  <c r="AF439" i="1"/>
  <c r="AJ463" i="1"/>
  <c r="AF463" i="1"/>
  <c r="AI463" i="1"/>
  <c r="AE463" i="1"/>
  <c r="AL463" i="1"/>
  <c r="AH463" i="1"/>
  <c r="AD463" i="1"/>
  <c r="AK463" i="1"/>
  <c r="AG463" i="1"/>
  <c r="AC463" i="1"/>
  <c r="AK470" i="1"/>
  <c r="AG470" i="1"/>
  <c r="AC470" i="1"/>
  <c r="AJ470" i="1"/>
  <c r="AF470" i="1"/>
  <c r="AI470" i="1"/>
  <c r="AE470" i="1"/>
  <c r="AL470" i="1"/>
  <c r="AH470" i="1"/>
  <c r="AD470" i="1"/>
  <c r="AL473" i="1"/>
  <c r="AH473" i="1"/>
  <c r="AD473" i="1"/>
  <c r="AK473" i="1"/>
  <c r="AG473" i="1"/>
  <c r="AC473" i="1"/>
  <c r="AJ473" i="1"/>
  <c r="AF473" i="1"/>
  <c r="AI473" i="1"/>
  <c r="AE473" i="1"/>
  <c r="AL483" i="1"/>
  <c r="AH483" i="1"/>
  <c r="AD483" i="1"/>
  <c r="AK483" i="1"/>
  <c r="AF483" i="1"/>
  <c r="AJ483" i="1"/>
  <c r="AE483" i="1"/>
  <c r="AI483" i="1"/>
  <c r="AC483" i="1"/>
  <c r="AG483" i="1"/>
  <c r="AL503" i="1"/>
  <c r="AH503" i="1"/>
  <c r="AD503" i="1"/>
  <c r="AK503" i="1"/>
  <c r="AF503" i="1"/>
  <c r="AJ503" i="1"/>
  <c r="AE503" i="1"/>
  <c r="AI503" i="1"/>
  <c r="AC503" i="1"/>
  <c r="AG503" i="1"/>
  <c r="AI506" i="1"/>
  <c r="AE506" i="1"/>
  <c r="AK506" i="1"/>
  <c r="AF506" i="1"/>
  <c r="AJ506" i="1"/>
  <c r="AD506" i="1"/>
  <c r="AH506" i="1"/>
  <c r="AC506" i="1"/>
  <c r="AL506" i="1"/>
  <c r="AG506" i="1"/>
  <c r="AL534" i="1"/>
  <c r="AH534" i="1"/>
  <c r="AD534" i="1"/>
  <c r="AK534" i="1"/>
  <c r="AG534" i="1"/>
  <c r="AC534" i="1"/>
  <c r="AI534" i="1"/>
  <c r="AE534" i="1"/>
  <c r="AJ534" i="1"/>
  <c r="AF534" i="1"/>
  <c r="AK543" i="1"/>
  <c r="AG543" i="1"/>
  <c r="AC543" i="1"/>
  <c r="AJ543" i="1"/>
  <c r="AF543" i="1"/>
  <c r="AL543" i="1"/>
  <c r="AH543" i="1"/>
  <c r="AD543" i="1"/>
  <c r="AI543" i="1"/>
  <c r="AE543" i="1"/>
  <c r="AJ429" i="1"/>
  <c r="AF429" i="1"/>
  <c r="AK429" i="1"/>
  <c r="AG429" i="1"/>
  <c r="AC429" i="1"/>
  <c r="AI429" i="1"/>
  <c r="T433" i="1"/>
  <c r="AJ437" i="1"/>
  <c r="AF437" i="1"/>
  <c r="AK437" i="1"/>
  <c r="AG437" i="1"/>
  <c r="AC437" i="1"/>
  <c r="AI437" i="1"/>
  <c r="AJ441" i="1"/>
  <c r="AF441" i="1"/>
  <c r="AI441" i="1"/>
  <c r="AE441" i="1"/>
  <c r="AK441" i="1"/>
  <c r="AG441" i="1"/>
  <c r="AC441" i="1"/>
  <c r="AL443" i="1"/>
  <c r="AH443" i="1"/>
  <c r="AD443" i="1"/>
  <c r="AK443" i="1"/>
  <c r="AG443" i="1"/>
  <c r="AC443" i="1"/>
  <c r="AI443" i="1"/>
  <c r="AE443" i="1"/>
  <c r="AJ445" i="1"/>
  <c r="AF445" i="1"/>
  <c r="AI445" i="1"/>
  <c r="AE445" i="1"/>
  <c r="AK445" i="1"/>
  <c r="AG445" i="1"/>
  <c r="AC445" i="1"/>
  <c r="AL447" i="1"/>
  <c r="AH447" i="1"/>
  <c r="AD447" i="1"/>
  <c r="AK447" i="1"/>
  <c r="AG447" i="1"/>
  <c r="AC447" i="1"/>
  <c r="AI447" i="1"/>
  <c r="AE447" i="1"/>
  <c r="AJ449" i="1"/>
  <c r="AF449" i="1"/>
  <c r="AI449" i="1"/>
  <c r="AE449" i="1"/>
  <c r="AK449" i="1"/>
  <c r="AG449" i="1"/>
  <c r="AC449" i="1"/>
  <c r="AL451" i="1"/>
  <c r="AH451" i="1"/>
  <c r="AD451" i="1"/>
  <c r="AK451" i="1"/>
  <c r="AG451" i="1"/>
  <c r="AC451" i="1"/>
  <c r="AI451" i="1"/>
  <c r="AE451" i="1"/>
  <c r="AJ453" i="1"/>
  <c r="AF453" i="1"/>
  <c r="AI453" i="1"/>
  <c r="AE453" i="1"/>
  <c r="AK453" i="1"/>
  <c r="AG453" i="1"/>
  <c r="AC453" i="1"/>
  <c r="S476" i="1"/>
  <c r="T461" i="1"/>
  <c r="AI464" i="1"/>
  <c r="AE464" i="1"/>
  <c r="AL464" i="1"/>
  <c r="AH464" i="1"/>
  <c r="AD464" i="1"/>
  <c r="AK464" i="1"/>
  <c r="AG464" i="1"/>
  <c r="AC464" i="1"/>
  <c r="AJ464" i="1"/>
  <c r="AF464" i="1"/>
  <c r="AJ467" i="1"/>
  <c r="AF467" i="1"/>
  <c r="AI467" i="1"/>
  <c r="AE467" i="1"/>
  <c r="AL467" i="1"/>
  <c r="AH467" i="1"/>
  <c r="AD467" i="1"/>
  <c r="AK467" i="1"/>
  <c r="AG467" i="1"/>
  <c r="AC467" i="1"/>
  <c r="AK474" i="1"/>
  <c r="AG474" i="1"/>
  <c r="AC474" i="1"/>
  <c r="AJ474" i="1"/>
  <c r="AF474" i="1"/>
  <c r="AI474" i="1"/>
  <c r="AE474" i="1"/>
  <c r="AL474" i="1"/>
  <c r="AH474" i="1"/>
  <c r="AD474" i="1"/>
  <c r="AK480" i="1"/>
  <c r="AG480" i="1"/>
  <c r="AC480" i="1"/>
  <c r="AJ480" i="1"/>
  <c r="AE480" i="1"/>
  <c r="AI480" i="1"/>
  <c r="AD480" i="1"/>
  <c r="AH480" i="1"/>
  <c r="AL480" i="1"/>
  <c r="AF480" i="1"/>
  <c r="AJ489" i="1"/>
  <c r="AF489" i="1"/>
  <c r="AH489" i="1"/>
  <c r="AC489" i="1"/>
  <c r="AL489" i="1"/>
  <c r="AG489" i="1"/>
  <c r="AK489" i="1"/>
  <c r="AE489" i="1"/>
  <c r="AI489" i="1"/>
  <c r="AD489" i="1"/>
  <c r="AL491" i="1"/>
  <c r="AH491" i="1"/>
  <c r="AD491" i="1"/>
  <c r="AI491" i="1"/>
  <c r="AC491" i="1"/>
  <c r="AG491" i="1"/>
  <c r="AK491" i="1"/>
  <c r="AF491" i="1"/>
  <c r="AJ491" i="1"/>
  <c r="AE491" i="1"/>
  <c r="AJ493" i="1"/>
  <c r="AF493" i="1"/>
  <c r="AH493" i="1"/>
  <c r="AC493" i="1"/>
  <c r="AL493" i="1"/>
  <c r="AG493" i="1"/>
  <c r="AK493" i="1"/>
  <c r="AE493" i="1"/>
  <c r="AI493" i="1"/>
  <c r="AD493" i="1"/>
  <c r="AL495" i="1"/>
  <c r="AH495" i="1"/>
  <c r="AD495" i="1"/>
  <c r="AI495" i="1"/>
  <c r="AC495" i="1"/>
  <c r="AG495" i="1"/>
  <c r="AK495" i="1"/>
  <c r="AF495" i="1"/>
  <c r="AJ495" i="1"/>
  <c r="AE495" i="1"/>
  <c r="AJ497" i="1"/>
  <c r="AF497" i="1"/>
  <c r="AH497" i="1"/>
  <c r="AC497" i="1"/>
  <c r="AL497" i="1"/>
  <c r="AG497" i="1"/>
  <c r="AK497" i="1"/>
  <c r="AE497" i="1"/>
  <c r="AI497" i="1"/>
  <c r="AD497" i="1"/>
  <c r="AL507" i="1"/>
  <c r="AH507" i="1"/>
  <c r="AD507" i="1"/>
  <c r="AK507" i="1"/>
  <c r="AF507" i="1"/>
  <c r="AJ507" i="1"/>
  <c r="AE507" i="1"/>
  <c r="AI507" i="1"/>
  <c r="AC507" i="1"/>
  <c r="AG507" i="1"/>
  <c r="AJ513" i="1"/>
  <c r="AF513" i="1"/>
  <c r="AH513" i="1"/>
  <c r="AC513" i="1"/>
  <c r="AL513" i="1"/>
  <c r="AG513" i="1"/>
  <c r="AK513" i="1"/>
  <c r="AE513" i="1"/>
  <c r="AI513" i="1"/>
  <c r="AD513" i="1"/>
  <c r="AL515" i="1"/>
  <c r="AH515" i="1"/>
  <c r="AD515" i="1"/>
  <c r="AI515" i="1"/>
  <c r="AC515" i="1"/>
  <c r="AG515" i="1"/>
  <c r="AK515" i="1"/>
  <c r="AF515" i="1"/>
  <c r="AJ515" i="1"/>
  <c r="AE515" i="1"/>
  <c r="AJ517" i="1"/>
  <c r="AF517" i="1"/>
  <c r="AH517" i="1"/>
  <c r="AC517" i="1"/>
  <c r="AL517" i="1"/>
  <c r="AG517" i="1"/>
  <c r="AK517" i="1"/>
  <c r="AE517" i="1"/>
  <c r="AI517" i="1"/>
  <c r="AD517" i="1"/>
  <c r="AL519" i="1"/>
  <c r="AH519" i="1"/>
  <c r="AD519" i="1"/>
  <c r="AI519" i="1"/>
  <c r="AC519" i="1"/>
  <c r="AG519" i="1"/>
  <c r="AK519" i="1"/>
  <c r="AF519" i="1"/>
  <c r="AJ519" i="1"/>
  <c r="AE519" i="1"/>
  <c r="AJ521" i="1"/>
  <c r="AF521" i="1"/>
  <c r="AH521" i="1"/>
  <c r="AC521" i="1"/>
  <c r="AL521" i="1"/>
  <c r="AG521" i="1"/>
  <c r="AK521" i="1"/>
  <c r="AE521" i="1"/>
  <c r="AI521" i="1"/>
  <c r="AD521" i="1"/>
  <c r="AL523" i="1"/>
  <c r="AH523" i="1"/>
  <c r="AD523" i="1"/>
  <c r="AI523" i="1"/>
  <c r="AC523" i="1"/>
  <c r="AG523" i="1"/>
  <c r="AK523" i="1"/>
  <c r="AF523" i="1"/>
  <c r="AJ523" i="1"/>
  <c r="AE523" i="1"/>
  <c r="AJ525" i="1"/>
  <c r="AF525" i="1"/>
  <c r="AH525" i="1"/>
  <c r="AC525" i="1"/>
  <c r="AL525" i="1"/>
  <c r="AG525" i="1"/>
  <c r="AK525" i="1"/>
  <c r="AE525" i="1"/>
  <c r="AI525" i="1"/>
  <c r="AD525" i="1"/>
  <c r="AL530" i="1"/>
  <c r="AH530" i="1"/>
  <c r="AD530" i="1"/>
  <c r="AK530" i="1"/>
  <c r="AG530" i="1"/>
  <c r="AC530" i="1"/>
  <c r="AI530" i="1"/>
  <c r="AE530" i="1"/>
  <c r="AJ530" i="1"/>
  <c r="AF530" i="1"/>
  <c r="AK539" i="1"/>
  <c r="AG539" i="1"/>
  <c r="AC539" i="1"/>
  <c r="AJ539" i="1"/>
  <c r="AF539" i="1"/>
  <c r="AL539" i="1"/>
  <c r="AH539" i="1"/>
  <c r="AD539" i="1"/>
  <c r="AI539" i="1"/>
  <c r="AE539" i="1"/>
  <c r="S353" i="1"/>
  <c r="R354" i="1"/>
  <c r="S354" i="1" s="1"/>
  <c r="T354" i="1" s="1"/>
  <c r="R362" i="1"/>
  <c r="S362" i="1" s="1"/>
  <c r="T362" i="1" s="1"/>
  <c r="S398" i="1"/>
  <c r="S405" i="1"/>
  <c r="AD429" i="1"/>
  <c r="AL429" i="1"/>
  <c r="Q454" i="1"/>
  <c r="AD437" i="1"/>
  <c r="AL437" i="1"/>
  <c r="AD441" i="1"/>
  <c r="AI442" i="1"/>
  <c r="AE442" i="1"/>
  <c r="AL442" i="1"/>
  <c r="AH442" i="1"/>
  <c r="AD442" i="1"/>
  <c r="AJ442" i="1"/>
  <c r="AF442" i="1"/>
  <c r="AF443" i="1"/>
  <c r="AD445" i="1"/>
  <c r="AI446" i="1"/>
  <c r="AE446" i="1"/>
  <c r="AL446" i="1"/>
  <c r="AH446" i="1"/>
  <c r="AD446" i="1"/>
  <c r="AJ446" i="1"/>
  <c r="AF446" i="1"/>
  <c r="AF447" i="1"/>
  <c r="AD449" i="1"/>
  <c r="AI450" i="1"/>
  <c r="AE450" i="1"/>
  <c r="AL450" i="1"/>
  <c r="AH450" i="1"/>
  <c r="AD450" i="1"/>
  <c r="AJ450" i="1"/>
  <c r="AF450" i="1"/>
  <c r="AF451" i="1"/>
  <c r="AD453" i="1"/>
  <c r="AK462" i="1"/>
  <c r="AG462" i="1"/>
  <c r="AC462" i="1"/>
  <c r="AJ462" i="1"/>
  <c r="AF462" i="1"/>
  <c r="AI462" i="1"/>
  <c r="AE462" i="1"/>
  <c r="AL462" i="1"/>
  <c r="AH462" i="1"/>
  <c r="AD462" i="1"/>
  <c r="AL465" i="1"/>
  <c r="AH465" i="1"/>
  <c r="AD465" i="1"/>
  <c r="AK465" i="1"/>
  <c r="AG465" i="1"/>
  <c r="AC465" i="1"/>
  <c r="AJ465" i="1"/>
  <c r="AF465" i="1"/>
  <c r="AI465" i="1"/>
  <c r="AE465" i="1"/>
  <c r="AI468" i="1"/>
  <c r="AE468" i="1"/>
  <c r="AL468" i="1"/>
  <c r="AH468" i="1"/>
  <c r="AD468" i="1"/>
  <c r="AK468" i="1"/>
  <c r="AG468" i="1"/>
  <c r="AC468" i="1"/>
  <c r="AJ468" i="1"/>
  <c r="AF468" i="1"/>
  <c r="AJ471" i="1"/>
  <c r="AF471" i="1"/>
  <c r="AI471" i="1"/>
  <c r="AE471" i="1"/>
  <c r="AL471" i="1"/>
  <c r="AH471" i="1"/>
  <c r="AD471" i="1"/>
  <c r="AK471" i="1"/>
  <c r="AG471" i="1"/>
  <c r="AC471" i="1"/>
  <c r="AJ481" i="1"/>
  <c r="AF481" i="1"/>
  <c r="AK481" i="1"/>
  <c r="AE481" i="1"/>
  <c r="AI481" i="1"/>
  <c r="AD481" i="1"/>
  <c r="AH481" i="1"/>
  <c r="AC481" i="1"/>
  <c r="AL481" i="1"/>
  <c r="AG481" i="1"/>
  <c r="AK484" i="1"/>
  <c r="AG484" i="1"/>
  <c r="AC484" i="1"/>
  <c r="AJ484" i="1"/>
  <c r="AE484" i="1"/>
  <c r="AI484" i="1"/>
  <c r="AD484" i="1"/>
  <c r="AH484" i="1"/>
  <c r="AL484" i="1"/>
  <c r="AF484" i="1"/>
  <c r="AK504" i="1"/>
  <c r="AG504" i="1"/>
  <c r="AC504" i="1"/>
  <c r="AJ504" i="1"/>
  <c r="AE504" i="1"/>
  <c r="AI504" i="1"/>
  <c r="AD504" i="1"/>
  <c r="AH504" i="1"/>
  <c r="AL504" i="1"/>
  <c r="AF504" i="1"/>
  <c r="AL526" i="1"/>
  <c r="AH526" i="1"/>
  <c r="AD526" i="1"/>
  <c r="AI526" i="1"/>
  <c r="AE526" i="1"/>
  <c r="AJ526" i="1"/>
  <c r="AG526" i="1"/>
  <c r="AF526" i="1"/>
  <c r="AK526" i="1"/>
  <c r="AC526" i="1"/>
  <c r="R430" i="1"/>
  <c r="AE429" i="1"/>
  <c r="Q430" i="1"/>
  <c r="R434" i="1"/>
  <c r="S434" i="1" s="1"/>
  <c r="T434" i="1" s="1"/>
  <c r="AE437" i="1"/>
  <c r="AH441" i="1"/>
  <c r="AJ443" i="1"/>
  <c r="AK444" i="1"/>
  <c r="AG444" i="1"/>
  <c r="AC444" i="1"/>
  <c r="AJ444" i="1"/>
  <c r="AF444" i="1"/>
  <c r="AL444" i="1"/>
  <c r="AH444" i="1"/>
  <c r="AD444" i="1"/>
  <c r="AH445" i="1"/>
  <c r="AJ447" i="1"/>
  <c r="AK448" i="1"/>
  <c r="AG448" i="1"/>
  <c r="AC448" i="1"/>
  <c r="AJ448" i="1"/>
  <c r="AF448" i="1"/>
  <c r="AL448" i="1"/>
  <c r="AH448" i="1"/>
  <c r="AD448" i="1"/>
  <c r="AH449" i="1"/>
  <c r="AJ451" i="1"/>
  <c r="AK452" i="1"/>
  <c r="AG452" i="1"/>
  <c r="AC452" i="1"/>
  <c r="AJ452" i="1"/>
  <c r="AF452" i="1"/>
  <c r="AL452" i="1"/>
  <c r="AH452" i="1"/>
  <c r="AD452" i="1"/>
  <c r="AH453" i="1"/>
  <c r="AK466" i="1"/>
  <c r="AG466" i="1"/>
  <c r="AC466" i="1"/>
  <c r="AJ466" i="1"/>
  <c r="AF466" i="1"/>
  <c r="AI466" i="1"/>
  <c r="AE466" i="1"/>
  <c r="AL466" i="1"/>
  <c r="AH466" i="1"/>
  <c r="AD466" i="1"/>
  <c r="AL469" i="1"/>
  <c r="AH469" i="1"/>
  <c r="AD469" i="1"/>
  <c r="AK469" i="1"/>
  <c r="AG469" i="1"/>
  <c r="AC469" i="1"/>
  <c r="AJ469" i="1"/>
  <c r="AF469" i="1"/>
  <c r="AI469" i="1"/>
  <c r="AE469" i="1"/>
  <c r="AI472" i="1"/>
  <c r="AE472" i="1"/>
  <c r="AL472" i="1"/>
  <c r="AH472" i="1"/>
  <c r="AD472" i="1"/>
  <c r="AK472" i="1"/>
  <c r="AG472" i="1"/>
  <c r="AC472" i="1"/>
  <c r="AJ472" i="1"/>
  <c r="AF472" i="1"/>
  <c r="AJ475" i="1"/>
  <c r="AF475" i="1"/>
  <c r="AI475" i="1"/>
  <c r="AE475" i="1"/>
  <c r="AL475" i="1"/>
  <c r="AH475" i="1"/>
  <c r="AD475" i="1"/>
  <c r="AK475" i="1"/>
  <c r="AG475" i="1"/>
  <c r="AC475" i="1"/>
  <c r="S485" i="1"/>
  <c r="T479" i="1"/>
  <c r="AI482" i="1"/>
  <c r="AE482" i="1"/>
  <c r="AK482" i="1"/>
  <c r="AF482" i="1"/>
  <c r="AJ482" i="1"/>
  <c r="AD482" i="1"/>
  <c r="AH482" i="1"/>
  <c r="AC482" i="1"/>
  <c r="AL482" i="1"/>
  <c r="AG482" i="1"/>
  <c r="AI490" i="1"/>
  <c r="AE490" i="1"/>
  <c r="AH490" i="1"/>
  <c r="AC490" i="1"/>
  <c r="AL490" i="1"/>
  <c r="AG490" i="1"/>
  <c r="AK490" i="1"/>
  <c r="AF490" i="1"/>
  <c r="AJ490" i="1"/>
  <c r="AD490" i="1"/>
  <c r="AK492" i="1"/>
  <c r="AG492" i="1"/>
  <c r="AC492" i="1"/>
  <c r="AH492" i="1"/>
  <c r="AL492" i="1"/>
  <c r="AF492" i="1"/>
  <c r="AJ492" i="1"/>
  <c r="AE492" i="1"/>
  <c r="AI492" i="1"/>
  <c r="AD492" i="1"/>
  <c r="AI494" i="1"/>
  <c r="AE494" i="1"/>
  <c r="AH494" i="1"/>
  <c r="AC494" i="1"/>
  <c r="AL494" i="1"/>
  <c r="AG494" i="1"/>
  <c r="AK494" i="1"/>
  <c r="AF494" i="1"/>
  <c r="AJ494" i="1"/>
  <c r="AD494" i="1"/>
  <c r="AK496" i="1"/>
  <c r="AG496" i="1"/>
  <c r="AC496" i="1"/>
  <c r="AH496" i="1"/>
  <c r="AL496" i="1"/>
  <c r="AF496" i="1"/>
  <c r="AJ496" i="1"/>
  <c r="AE496" i="1"/>
  <c r="AI496" i="1"/>
  <c r="AD496" i="1"/>
  <c r="AI498" i="1"/>
  <c r="AE498" i="1"/>
  <c r="AH498" i="1"/>
  <c r="AC498" i="1"/>
  <c r="AL498" i="1"/>
  <c r="AG498" i="1"/>
  <c r="AK498" i="1"/>
  <c r="AF498" i="1"/>
  <c r="AJ498" i="1"/>
  <c r="AD498" i="1"/>
  <c r="AJ505" i="1"/>
  <c r="AF505" i="1"/>
  <c r="AK505" i="1"/>
  <c r="AE505" i="1"/>
  <c r="AI505" i="1"/>
  <c r="AD505" i="1"/>
  <c r="AH505" i="1"/>
  <c r="AC505" i="1"/>
  <c r="AL505" i="1"/>
  <c r="AG505" i="1"/>
  <c r="AK512" i="1"/>
  <c r="AG512" i="1"/>
  <c r="AC512" i="1"/>
  <c r="AH512" i="1"/>
  <c r="AL512" i="1"/>
  <c r="AF512" i="1"/>
  <c r="AJ512" i="1"/>
  <c r="AE512" i="1"/>
  <c r="AI512" i="1"/>
  <c r="AD512" i="1"/>
  <c r="AI514" i="1"/>
  <c r="AE514" i="1"/>
  <c r="AH514" i="1"/>
  <c r="AC514" i="1"/>
  <c r="AL514" i="1"/>
  <c r="AG514" i="1"/>
  <c r="AK514" i="1"/>
  <c r="AF514" i="1"/>
  <c r="AJ514" i="1"/>
  <c r="AD514" i="1"/>
  <c r="AK516" i="1"/>
  <c r="AG516" i="1"/>
  <c r="AC516" i="1"/>
  <c r="AH516" i="1"/>
  <c r="AL516" i="1"/>
  <c r="AF516" i="1"/>
  <c r="AJ516" i="1"/>
  <c r="AE516" i="1"/>
  <c r="AI516" i="1"/>
  <c r="AD516" i="1"/>
  <c r="AI518" i="1"/>
  <c r="AE518" i="1"/>
  <c r="AH518" i="1"/>
  <c r="AC518" i="1"/>
  <c r="AL518" i="1"/>
  <c r="AG518" i="1"/>
  <c r="AK518" i="1"/>
  <c r="AF518" i="1"/>
  <c r="AJ518" i="1"/>
  <c r="AD518" i="1"/>
  <c r="AK520" i="1"/>
  <c r="AG520" i="1"/>
  <c r="AC520" i="1"/>
  <c r="AH520" i="1"/>
  <c r="AL520" i="1"/>
  <c r="AF520" i="1"/>
  <c r="AJ520" i="1"/>
  <c r="AE520" i="1"/>
  <c r="AI520" i="1"/>
  <c r="AD520" i="1"/>
  <c r="AI522" i="1"/>
  <c r="AE522" i="1"/>
  <c r="AH522" i="1"/>
  <c r="AC522" i="1"/>
  <c r="AL522" i="1"/>
  <c r="AG522" i="1"/>
  <c r="AK522" i="1"/>
  <c r="AF522" i="1"/>
  <c r="AJ522" i="1"/>
  <c r="AD522" i="1"/>
  <c r="AK524" i="1"/>
  <c r="AG524" i="1"/>
  <c r="AC524" i="1"/>
  <c r="AH524" i="1"/>
  <c r="AL524" i="1"/>
  <c r="AF524" i="1"/>
  <c r="AJ524" i="1"/>
  <c r="AE524" i="1"/>
  <c r="AI524" i="1"/>
  <c r="AD524" i="1"/>
  <c r="AK547" i="1"/>
  <c r="AG547" i="1"/>
  <c r="AC547" i="1"/>
  <c r="AJ547" i="1"/>
  <c r="AF547" i="1"/>
  <c r="AL547" i="1"/>
  <c r="AH547" i="1"/>
  <c r="AD547" i="1"/>
  <c r="AI547" i="1"/>
  <c r="AE547" i="1"/>
  <c r="AU636" i="1"/>
  <c r="G552" i="1"/>
  <c r="K552" i="1"/>
  <c r="O552" i="1"/>
  <c r="U552" i="1"/>
  <c r="AV552" i="1"/>
  <c r="R485" i="1"/>
  <c r="Q535" i="1"/>
  <c r="R511" i="1"/>
  <c r="AI529" i="1"/>
  <c r="AE529" i="1"/>
  <c r="AL529" i="1"/>
  <c r="AH529" i="1"/>
  <c r="AD529" i="1"/>
  <c r="AJ529" i="1"/>
  <c r="AF529" i="1"/>
  <c r="AI533" i="1"/>
  <c r="AE533" i="1"/>
  <c r="AL533" i="1"/>
  <c r="AH533" i="1"/>
  <c r="AD533" i="1"/>
  <c r="AJ533" i="1"/>
  <c r="AF533" i="1"/>
  <c r="Q550" i="1"/>
  <c r="S557" i="1"/>
  <c r="R568" i="1"/>
  <c r="AJ560" i="1"/>
  <c r="AF560" i="1"/>
  <c r="AI560" i="1"/>
  <c r="AE560" i="1"/>
  <c r="AL560" i="1"/>
  <c r="AH560" i="1"/>
  <c r="AD560" i="1"/>
  <c r="AK560" i="1"/>
  <c r="AG560" i="1"/>
  <c r="AC560" i="1"/>
  <c r="AK563" i="1"/>
  <c r="AG563" i="1"/>
  <c r="AC563" i="1"/>
  <c r="AJ563" i="1"/>
  <c r="AF563" i="1"/>
  <c r="AI563" i="1"/>
  <c r="AE563" i="1"/>
  <c r="AL563" i="1"/>
  <c r="AH563" i="1"/>
  <c r="AD563" i="1"/>
  <c r="AI572" i="1"/>
  <c r="AE572" i="1"/>
  <c r="AK572" i="1"/>
  <c r="AF572" i="1"/>
  <c r="AJ572" i="1"/>
  <c r="AD572" i="1"/>
  <c r="AH572" i="1"/>
  <c r="AC572" i="1"/>
  <c r="AL572" i="1"/>
  <c r="AG572" i="1"/>
  <c r="AK574" i="1"/>
  <c r="AG574" i="1"/>
  <c r="AC574" i="1"/>
  <c r="AJ574" i="1"/>
  <c r="AE574" i="1"/>
  <c r="AI574" i="1"/>
  <c r="AD574" i="1"/>
  <c r="AH574" i="1"/>
  <c r="AL574" i="1"/>
  <c r="AF574" i="1"/>
  <c r="AI576" i="1"/>
  <c r="AE576" i="1"/>
  <c r="AK576" i="1"/>
  <c r="AF576" i="1"/>
  <c r="AJ576" i="1"/>
  <c r="AD576" i="1"/>
  <c r="AH576" i="1"/>
  <c r="AC576" i="1"/>
  <c r="AL576" i="1"/>
  <c r="AG576" i="1"/>
  <c r="AK578" i="1"/>
  <c r="AG578" i="1"/>
  <c r="AC578" i="1"/>
  <c r="AJ578" i="1"/>
  <c r="AE578" i="1"/>
  <c r="AI578" i="1"/>
  <c r="AD578" i="1"/>
  <c r="AH578" i="1"/>
  <c r="AL578" i="1"/>
  <c r="AF578" i="1"/>
  <c r="AI590" i="1"/>
  <c r="AE590" i="1"/>
  <c r="AL590" i="1"/>
  <c r="AG590" i="1"/>
  <c r="AK590" i="1"/>
  <c r="AF590" i="1"/>
  <c r="AJ590" i="1"/>
  <c r="AD590" i="1"/>
  <c r="AH590" i="1"/>
  <c r="AC590" i="1"/>
  <c r="AL594" i="1"/>
  <c r="AH594" i="1"/>
  <c r="AD594" i="1"/>
  <c r="AG594" i="1"/>
  <c r="AK594" i="1"/>
  <c r="AF594" i="1"/>
  <c r="AJ594" i="1"/>
  <c r="AE594" i="1"/>
  <c r="AI594" i="1"/>
  <c r="AC594" i="1"/>
  <c r="AJ596" i="1"/>
  <c r="AF596" i="1"/>
  <c r="AL596" i="1"/>
  <c r="AG596" i="1"/>
  <c r="AK596" i="1"/>
  <c r="AE596" i="1"/>
  <c r="AI596" i="1"/>
  <c r="AD596" i="1"/>
  <c r="AH596" i="1"/>
  <c r="AC596" i="1"/>
  <c r="AI614" i="1"/>
  <c r="AE614" i="1"/>
  <c r="AK614" i="1"/>
  <c r="AG614" i="1"/>
  <c r="AC614" i="1"/>
  <c r="AH614" i="1"/>
  <c r="AF614" i="1"/>
  <c r="AL614" i="1"/>
  <c r="AD614" i="1"/>
  <c r="AJ614" i="1"/>
  <c r="AK617" i="1"/>
  <c r="AG617" i="1"/>
  <c r="AC617" i="1"/>
  <c r="AJ617" i="1"/>
  <c r="AF617" i="1"/>
  <c r="AL617" i="1"/>
  <c r="AH617" i="1"/>
  <c r="AD617" i="1"/>
  <c r="AI617" i="1"/>
  <c r="AE617" i="1"/>
  <c r="AK527" i="1"/>
  <c r="AG527" i="1"/>
  <c r="AC527" i="1"/>
  <c r="AJ527" i="1"/>
  <c r="AF527" i="1"/>
  <c r="AL527" i="1"/>
  <c r="AH527" i="1"/>
  <c r="AD527" i="1"/>
  <c r="AK531" i="1"/>
  <c r="AG531" i="1"/>
  <c r="AC531" i="1"/>
  <c r="AJ531" i="1"/>
  <c r="AF531" i="1"/>
  <c r="AL531" i="1"/>
  <c r="AH531" i="1"/>
  <c r="AD531" i="1"/>
  <c r="AJ540" i="1"/>
  <c r="AF540" i="1"/>
  <c r="AI540" i="1"/>
  <c r="AE540" i="1"/>
  <c r="AK540" i="1"/>
  <c r="AG540" i="1"/>
  <c r="AC540" i="1"/>
  <c r="AL542" i="1"/>
  <c r="AH542" i="1"/>
  <c r="AD542" i="1"/>
  <c r="AK542" i="1"/>
  <c r="AG542" i="1"/>
  <c r="AC542" i="1"/>
  <c r="AI542" i="1"/>
  <c r="AE542" i="1"/>
  <c r="AJ544" i="1"/>
  <c r="AF544" i="1"/>
  <c r="AI544" i="1"/>
  <c r="AE544" i="1"/>
  <c r="AK544" i="1"/>
  <c r="AG544" i="1"/>
  <c r="AC544" i="1"/>
  <c r="AL546" i="1"/>
  <c r="AH546" i="1"/>
  <c r="AD546" i="1"/>
  <c r="AK546" i="1"/>
  <c r="AG546" i="1"/>
  <c r="AC546" i="1"/>
  <c r="AI546" i="1"/>
  <c r="AE546" i="1"/>
  <c r="AJ548" i="1"/>
  <c r="AF548" i="1"/>
  <c r="AI548" i="1"/>
  <c r="AE548" i="1"/>
  <c r="AK548" i="1"/>
  <c r="AG548" i="1"/>
  <c r="AC548" i="1"/>
  <c r="AL558" i="1"/>
  <c r="AH558" i="1"/>
  <c r="AD558" i="1"/>
  <c r="AK558" i="1"/>
  <c r="AG558" i="1"/>
  <c r="AC558" i="1"/>
  <c r="AJ558" i="1"/>
  <c r="AF558" i="1"/>
  <c r="AI558" i="1"/>
  <c r="AE558" i="1"/>
  <c r="AI561" i="1"/>
  <c r="AE561" i="1"/>
  <c r="AL561" i="1"/>
  <c r="AH561" i="1"/>
  <c r="AD561" i="1"/>
  <c r="AK561" i="1"/>
  <c r="AG561" i="1"/>
  <c r="AC561" i="1"/>
  <c r="AJ561" i="1"/>
  <c r="AF561" i="1"/>
  <c r="AL566" i="1"/>
  <c r="AH566" i="1"/>
  <c r="AD566" i="1"/>
  <c r="AK566" i="1"/>
  <c r="AG566" i="1"/>
  <c r="AC566" i="1"/>
  <c r="AJ566" i="1"/>
  <c r="AF566" i="1"/>
  <c r="AI566" i="1"/>
  <c r="AE566" i="1"/>
  <c r="AL591" i="1"/>
  <c r="AH591" i="1"/>
  <c r="AD591" i="1"/>
  <c r="AG591" i="1"/>
  <c r="AK591" i="1"/>
  <c r="AF591" i="1"/>
  <c r="AJ591" i="1"/>
  <c r="AE591" i="1"/>
  <c r="AI591" i="1"/>
  <c r="AC591" i="1"/>
  <c r="AI597" i="1"/>
  <c r="AE597" i="1"/>
  <c r="AL597" i="1"/>
  <c r="AG597" i="1"/>
  <c r="AK597" i="1"/>
  <c r="AF597" i="1"/>
  <c r="AJ597" i="1"/>
  <c r="AD597" i="1"/>
  <c r="AH597" i="1"/>
  <c r="AC597" i="1"/>
  <c r="AK599" i="1"/>
  <c r="AG599" i="1"/>
  <c r="AC599" i="1"/>
  <c r="AL599" i="1"/>
  <c r="AF599" i="1"/>
  <c r="AJ599" i="1"/>
  <c r="AE599" i="1"/>
  <c r="AI599" i="1"/>
  <c r="AD599" i="1"/>
  <c r="AH599" i="1"/>
  <c r="AI604" i="1"/>
  <c r="AE604" i="1"/>
  <c r="AH604" i="1"/>
  <c r="AC604" i="1"/>
  <c r="AL604" i="1"/>
  <c r="AG604" i="1"/>
  <c r="AK604" i="1"/>
  <c r="AF604" i="1"/>
  <c r="AJ604" i="1"/>
  <c r="AD604" i="1"/>
  <c r="AK606" i="1"/>
  <c r="AG606" i="1"/>
  <c r="AC606" i="1"/>
  <c r="AH606" i="1"/>
  <c r="AL606" i="1"/>
  <c r="AF606" i="1"/>
  <c r="AJ606" i="1"/>
  <c r="AE606" i="1"/>
  <c r="AI606" i="1"/>
  <c r="AD606" i="1"/>
  <c r="AM606" i="1" s="1"/>
  <c r="AI608" i="1"/>
  <c r="AE608" i="1"/>
  <c r="AH608" i="1"/>
  <c r="AC608" i="1"/>
  <c r="AL608" i="1"/>
  <c r="AG608" i="1"/>
  <c r="AK608" i="1"/>
  <c r="AF608" i="1"/>
  <c r="AJ608" i="1"/>
  <c r="AD608" i="1"/>
  <c r="AK610" i="1"/>
  <c r="AG610" i="1"/>
  <c r="AC610" i="1"/>
  <c r="AH610" i="1"/>
  <c r="AL610" i="1"/>
  <c r="AF610" i="1"/>
  <c r="AJ610" i="1"/>
  <c r="AE610" i="1"/>
  <c r="AI610" i="1"/>
  <c r="AD610" i="1"/>
  <c r="AM610" i="1" s="1"/>
  <c r="AI612" i="1"/>
  <c r="AE612" i="1"/>
  <c r="AH612" i="1"/>
  <c r="AC612" i="1"/>
  <c r="AL612" i="1"/>
  <c r="AG612" i="1"/>
  <c r="AK612" i="1"/>
  <c r="AF612" i="1"/>
  <c r="AJ612" i="1"/>
  <c r="AD612" i="1"/>
  <c r="AL615" i="1"/>
  <c r="AH615" i="1"/>
  <c r="AD615" i="1"/>
  <c r="AJ615" i="1"/>
  <c r="AF615" i="1"/>
  <c r="AK615" i="1"/>
  <c r="AC615" i="1"/>
  <c r="AI615" i="1"/>
  <c r="AG615" i="1"/>
  <c r="AE615" i="1"/>
  <c r="AL624" i="1"/>
  <c r="AH624" i="1"/>
  <c r="AD624" i="1"/>
  <c r="AK624" i="1"/>
  <c r="AG624" i="1"/>
  <c r="AC624" i="1"/>
  <c r="AI624" i="1"/>
  <c r="AE624" i="1"/>
  <c r="AJ624" i="1"/>
  <c r="AF624" i="1"/>
  <c r="Q476" i="1"/>
  <c r="AE527" i="1"/>
  <c r="AE531" i="1"/>
  <c r="AD540" i="1"/>
  <c r="AI541" i="1"/>
  <c r="AE541" i="1"/>
  <c r="AL541" i="1"/>
  <c r="AH541" i="1"/>
  <c r="AD541" i="1"/>
  <c r="AJ541" i="1"/>
  <c r="AF541" i="1"/>
  <c r="AF542" i="1"/>
  <c r="AD544" i="1"/>
  <c r="AI545" i="1"/>
  <c r="AE545" i="1"/>
  <c r="AL545" i="1"/>
  <c r="AH545" i="1"/>
  <c r="AD545" i="1"/>
  <c r="AJ545" i="1"/>
  <c r="AF545" i="1"/>
  <c r="AF546" i="1"/>
  <c r="AD548" i="1"/>
  <c r="AI549" i="1"/>
  <c r="AE549" i="1"/>
  <c r="AL549" i="1"/>
  <c r="AH549" i="1"/>
  <c r="AD549" i="1"/>
  <c r="AJ549" i="1"/>
  <c r="AF549" i="1"/>
  <c r="AK559" i="1"/>
  <c r="AG559" i="1"/>
  <c r="AC559" i="1"/>
  <c r="AJ559" i="1"/>
  <c r="AF559" i="1"/>
  <c r="AI559" i="1"/>
  <c r="AE559" i="1"/>
  <c r="AL559" i="1"/>
  <c r="AH559" i="1"/>
  <c r="AD559" i="1"/>
  <c r="AJ564" i="1"/>
  <c r="AF564" i="1"/>
  <c r="AI564" i="1"/>
  <c r="AE564" i="1"/>
  <c r="AL564" i="1"/>
  <c r="AH564" i="1"/>
  <c r="AD564" i="1"/>
  <c r="AK564" i="1"/>
  <c r="AG564" i="1"/>
  <c r="AC564" i="1"/>
  <c r="AK567" i="1"/>
  <c r="AG567" i="1"/>
  <c r="AC567" i="1"/>
  <c r="AJ567" i="1"/>
  <c r="AF567" i="1"/>
  <c r="AI567" i="1"/>
  <c r="AE567" i="1"/>
  <c r="AL567" i="1"/>
  <c r="AH567" i="1"/>
  <c r="AD567" i="1"/>
  <c r="AL573" i="1"/>
  <c r="AH573" i="1"/>
  <c r="AD573" i="1"/>
  <c r="AK573" i="1"/>
  <c r="AF573" i="1"/>
  <c r="AJ573" i="1"/>
  <c r="AE573" i="1"/>
  <c r="AI573" i="1"/>
  <c r="AC573" i="1"/>
  <c r="AG573" i="1"/>
  <c r="AJ575" i="1"/>
  <c r="AF575" i="1"/>
  <c r="AK575" i="1"/>
  <c r="AE575" i="1"/>
  <c r="AI575" i="1"/>
  <c r="AD575" i="1"/>
  <c r="AH575" i="1"/>
  <c r="AC575" i="1"/>
  <c r="AL575" i="1"/>
  <c r="AG575" i="1"/>
  <c r="AL577" i="1"/>
  <c r="AH577" i="1"/>
  <c r="AD577" i="1"/>
  <c r="AK577" i="1"/>
  <c r="AF577" i="1"/>
  <c r="AJ577" i="1"/>
  <c r="AE577" i="1"/>
  <c r="AI577" i="1"/>
  <c r="AC577" i="1"/>
  <c r="AG577" i="1"/>
  <c r="AJ579" i="1"/>
  <c r="AF579" i="1"/>
  <c r="AK579" i="1"/>
  <c r="AE579" i="1"/>
  <c r="AI579" i="1"/>
  <c r="AD579" i="1"/>
  <c r="AH579" i="1"/>
  <c r="AC579" i="1"/>
  <c r="AL579" i="1"/>
  <c r="AG579" i="1"/>
  <c r="AK588" i="1"/>
  <c r="AG588" i="1"/>
  <c r="AC588" i="1"/>
  <c r="AL588" i="1"/>
  <c r="AF588" i="1"/>
  <c r="AJ588" i="1"/>
  <c r="AE588" i="1"/>
  <c r="AI588" i="1"/>
  <c r="AD588" i="1"/>
  <c r="AH588" i="1"/>
  <c r="AL592" i="1"/>
  <c r="AH592" i="1"/>
  <c r="AD592" i="1"/>
  <c r="AG592" i="1"/>
  <c r="AK592" i="1"/>
  <c r="AF592" i="1"/>
  <c r="AJ592" i="1"/>
  <c r="AE592" i="1"/>
  <c r="AI592" i="1"/>
  <c r="AC592" i="1"/>
  <c r="AL598" i="1"/>
  <c r="AH598" i="1"/>
  <c r="AD598" i="1"/>
  <c r="AG598" i="1"/>
  <c r="AK598" i="1"/>
  <c r="AF598" i="1"/>
  <c r="AJ598" i="1"/>
  <c r="AE598" i="1"/>
  <c r="AI598" i="1"/>
  <c r="AC598" i="1"/>
  <c r="AJ613" i="1"/>
  <c r="AF613" i="1"/>
  <c r="AL613" i="1"/>
  <c r="AH613" i="1"/>
  <c r="AD613" i="1"/>
  <c r="AG613" i="1"/>
  <c r="AE613" i="1"/>
  <c r="AK613" i="1"/>
  <c r="AC613" i="1"/>
  <c r="AI613" i="1"/>
  <c r="AK625" i="1"/>
  <c r="AG625" i="1"/>
  <c r="AC625" i="1"/>
  <c r="AJ625" i="1"/>
  <c r="AF625" i="1"/>
  <c r="AL625" i="1"/>
  <c r="AH625" i="1"/>
  <c r="AD625" i="1"/>
  <c r="AE625" i="1"/>
  <c r="AI625" i="1"/>
  <c r="Y552" i="1"/>
  <c r="Q485" i="1"/>
  <c r="R502" i="1"/>
  <c r="AI527" i="1"/>
  <c r="AJ528" i="1"/>
  <c r="AF528" i="1"/>
  <c r="AI528" i="1"/>
  <c r="AE528" i="1"/>
  <c r="AK528" i="1"/>
  <c r="AG528" i="1"/>
  <c r="AC528" i="1"/>
  <c r="AI531" i="1"/>
  <c r="AJ532" i="1"/>
  <c r="AF532" i="1"/>
  <c r="AI532" i="1"/>
  <c r="AE532" i="1"/>
  <c r="AK532" i="1"/>
  <c r="AG532" i="1"/>
  <c r="AC532" i="1"/>
  <c r="AH540" i="1"/>
  <c r="AC541" i="1"/>
  <c r="AJ542" i="1"/>
  <c r="AH544" i="1"/>
  <c r="AC545" i="1"/>
  <c r="AJ546" i="1"/>
  <c r="AH548" i="1"/>
  <c r="AC549" i="1"/>
  <c r="AL562" i="1"/>
  <c r="AH562" i="1"/>
  <c r="AD562" i="1"/>
  <c r="AK562" i="1"/>
  <c r="AG562" i="1"/>
  <c r="AC562" i="1"/>
  <c r="AJ562" i="1"/>
  <c r="AF562" i="1"/>
  <c r="AI562" i="1"/>
  <c r="AE562" i="1"/>
  <c r="AI565" i="1"/>
  <c r="AE565" i="1"/>
  <c r="AL565" i="1"/>
  <c r="AH565" i="1"/>
  <c r="AD565" i="1"/>
  <c r="AK565" i="1"/>
  <c r="AG565" i="1"/>
  <c r="AC565" i="1"/>
  <c r="AJ565" i="1"/>
  <c r="AF565" i="1"/>
  <c r="AJ589" i="1"/>
  <c r="AF589" i="1"/>
  <c r="AL589" i="1"/>
  <c r="AG589" i="1"/>
  <c r="AK589" i="1"/>
  <c r="AE589" i="1"/>
  <c r="AI589" i="1"/>
  <c r="AD589" i="1"/>
  <c r="AH589" i="1"/>
  <c r="AC589" i="1"/>
  <c r="AL593" i="1"/>
  <c r="AH593" i="1"/>
  <c r="AD593" i="1"/>
  <c r="AG593" i="1"/>
  <c r="AK593" i="1"/>
  <c r="AF593" i="1"/>
  <c r="AJ593" i="1"/>
  <c r="AE593" i="1"/>
  <c r="AI593" i="1"/>
  <c r="AC593" i="1"/>
  <c r="AK595" i="1"/>
  <c r="AG595" i="1"/>
  <c r="AC595" i="1"/>
  <c r="AL595" i="1"/>
  <c r="AF595" i="1"/>
  <c r="AJ595" i="1"/>
  <c r="AE595" i="1"/>
  <c r="AI595" i="1"/>
  <c r="AD595" i="1"/>
  <c r="AH595" i="1"/>
  <c r="AJ603" i="1"/>
  <c r="AF603" i="1"/>
  <c r="AH603" i="1"/>
  <c r="AC603" i="1"/>
  <c r="AL603" i="1"/>
  <c r="AG603" i="1"/>
  <c r="AK603" i="1"/>
  <c r="AE603" i="1"/>
  <c r="AI603" i="1"/>
  <c r="AD603" i="1"/>
  <c r="AL605" i="1"/>
  <c r="AH605" i="1"/>
  <c r="AD605" i="1"/>
  <c r="AI605" i="1"/>
  <c r="AC605" i="1"/>
  <c r="AG605" i="1"/>
  <c r="AK605" i="1"/>
  <c r="AF605" i="1"/>
  <c r="AJ605" i="1"/>
  <c r="AE605" i="1"/>
  <c r="AJ607" i="1"/>
  <c r="AF607" i="1"/>
  <c r="AH607" i="1"/>
  <c r="AC607" i="1"/>
  <c r="AL607" i="1"/>
  <c r="AG607" i="1"/>
  <c r="AK607" i="1"/>
  <c r="AE607" i="1"/>
  <c r="AI607" i="1"/>
  <c r="AD607" i="1"/>
  <c r="AL609" i="1"/>
  <c r="AH609" i="1"/>
  <c r="AD609" i="1"/>
  <c r="AI609" i="1"/>
  <c r="AC609" i="1"/>
  <c r="AG609" i="1"/>
  <c r="AK609" i="1"/>
  <c r="AF609" i="1"/>
  <c r="AJ609" i="1"/>
  <c r="AE609" i="1"/>
  <c r="AJ611" i="1"/>
  <c r="AF611" i="1"/>
  <c r="AH611" i="1"/>
  <c r="AC611" i="1"/>
  <c r="AL611" i="1"/>
  <c r="AG611" i="1"/>
  <c r="AK611" i="1"/>
  <c r="AE611" i="1"/>
  <c r="AI611" i="1"/>
  <c r="AD611" i="1"/>
  <c r="AK616" i="1"/>
  <c r="AG616" i="1"/>
  <c r="AC616" i="1"/>
  <c r="AI616" i="1"/>
  <c r="AE616" i="1"/>
  <c r="AL616" i="1"/>
  <c r="AD616" i="1"/>
  <c r="AJ616" i="1"/>
  <c r="AH616" i="1"/>
  <c r="AF616" i="1"/>
  <c r="R571" i="1"/>
  <c r="G634" i="1"/>
  <c r="K634" i="1"/>
  <c r="AC619" i="1"/>
  <c r="AD622" i="1"/>
  <c r="AI623" i="1"/>
  <c r="AE623" i="1"/>
  <c r="AL623" i="1"/>
  <c r="AH623" i="1"/>
  <c r="AD623" i="1"/>
  <c r="AJ623" i="1"/>
  <c r="AF623" i="1"/>
  <c r="AJ626" i="1"/>
  <c r="AF626" i="1"/>
  <c r="AI626" i="1"/>
  <c r="AE626" i="1"/>
  <c r="AM626" i="1" s="1"/>
  <c r="AK626" i="1"/>
  <c r="AG626" i="1"/>
  <c r="AC626" i="1"/>
  <c r="Q666" i="1"/>
  <c r="R642" i="1"/>
  <c r="T669" i="1"/>
  <c r="Q568" i="1"/>
  <c r="Q582" i="1" s="1"/>
  <c r="R600" i="1"/>
  <c r="AK621" i="1"/>
  <c r="AG621" i="1"/>
  <c r="AC621" i="1"/>
  <c r="AJ621" i="1"/>
  <c r="AF621" i="1"/>
  <c r="AL621" i="1"/>
  <c r="AH621" i="1"/>
  <c r="AD621" i="1"/>
  <c r="AI627" i="1"/>
  <c r="AE627" i="1"/>
  <c r="AL627" i="1"/>
  <c r="AH627" i="1"/>
  <c r="AD627" i="1"/>
  <c r="AJ627" i="1"/>
  <c r="AF627" i="1"/>
  <c r="AL628" i="1"/>
  <c r="AH628" i="1"/>
  <c r="AD628" i="1"/>
  <c r="AK628" i="1"/>
  <c r="AG628" i="1"/>
  <c r="AC628" i="1"/>
  <c r="AI628" i="1"/>
  <c r="AE628" i="1"/>
  <c r="AJ630" i="1"/>
  <c r="AF630" i="1"/>
  <c r="AI630" i="1"/>
  <c r="AE630" i="1"/>
  <c r="AK630" i="1"/>
  <c r="AG630" i="1"/>
  <c r="AC630" i="1"/>
  <c r="AP642" i="1"/>
  <c r="S587" i="1"/>
  <c r="AJ618" i="1"/>
  <c r="AF618" i="1"/>
  <c r="AI618" i="1"/>
  <c r="AE618" i="1"/>
  <c r="AK618" i="1"/>
  <c r="AG618" i="1"/>
  <c r="AC618" i="1"/>
  <c r="AE621" i="1"/>
  <c r="AC627" i="1"/>
  <c r="AF628" i="1"/>
  <c r="AD630" i="1"/>
  <c r="AI631" i="1"/>
  <c r="AE631" i="1"/>
  <c r="AL631" i="1"/>
  <c r="AH631" i="1"/>
  <c r="AD631" i="1"/>
  <c r="AJ631" i="1"/>
  <c r="AF631" i="1"/>
  <c r="R538" i="1"/>
  <c r="Q600" i="1"/>
  <c r="Q634" i="1" s="1"/>
  <c r="AI619" i="1"/>
  <c r="AE619" i="1"/>
  <c r="AL619" i="1"/>
  <c r="AH619" i="1"/>
  <c r="AD619" i="1"/>
  <c r="AJ619" i="1"/>
  <c r="AF619" i="1"/>
  <c r="AL620" i="1"/>
  <c r="AH620" i="1"/>
  <c r="AD620" i="1"/>
  <c r="AK620" i="1"/>
  <c r="AG620" i="1"/>
  <c r="AC620" i="1"/>
  <c r="AI620" i="1"/>
  <c r="AE620" i="1"/>
  <c r="AI621" i="1"/>
  <c r="AJ622" i="1"/>
  <c r="AF622" i="1"/>
  <c r="AI622" i="1"/>
  <c r="AE622" i="1"/>
  <c r="AK622" i="1"/>
  <c r="AG622" i="1"/>
  <c r="AC622" i="1"/>
  <c r="AG627" i="1"/>
  <c r="AJ628" i="1"/>
  <c r="AK629" i="1"/>
  <c r="AG629" i="1"/>
  <c r="AC629" i="1"/>
  <c r="AJ629" i="1"/>
  <c r="AF629" i="1"/>
  <c r="AL629" i="1"/>
  <c r="AH629" i="1"/>
  <c r="AD629" i="1"/>
  <c r="AH630" i="1"/>
  <c r="R632" i="1"/>
  <c r="AP648" i="1"/>
  <c r="AQ648" i="1" s="1"/>
  <c r="AR648" i="1" s="1"/>
  <c r="AP652" i="1"/>
  <c r="AQ652" i="1" s="1"/>
  <c r="AR652" i="1" s="1"/>
  <c r="AP656" i="1"/>
  <c r="AQ656" i="1" s="1"/>
  <c r="AR656" i="1" s="1"/>
  <c r="AP660" i="1"/>
  <c r="AQ660" i="1" s="1"/>
  <c r="AR660" i="1" s="1"/>
  <c r="AP662" i="1"/>
  <c r="AQ662" i="1" s="1"/>
  <c r="AR662" i="1" s="1"/>
  <c r="T736" i="1"/>
  <c r="T766" i="1"/>
  <c r="R670" i="1"/>
  <c r="S670" i="1" s="1"/>
  <c r="T670" i="1" s="1"/>
  <c r="Q711" i="1"/>
  <c r="S820" i="1"/>
  <c r="R827" i="1"/>
  <c r="AP650" i="1"/>
  <c r="AQ650" i="1" s="1"/>
  <c r="AR650" i="1" s="1"/>
  <c r="AP654" i="1"/>
  <c r="AQ654" i="1" s="1"/>
  <c r="AR654" i="1" s="1"/>
  <c r="AP658" i="1"/>
  <c r="AQ658" i="1" s="1"/>
  <c r="AR658" i="1" s="1"/>
  <c r="AP664" i="1"/>
  <c r="AQ664" i="1" s="1"/>
  <c r="AR664" i="1" s="1"/>
  <c r="R754" i="1"/>
  <c r="S739" i="1"/>
  <c r="S795" i="1"/>
  <c r="T784" i="1"/>
  <c r="T795" i="1" s="1"/>
  <c r="R711" i="1"/>
  <c r="AQ669" i="1"/>
  <c r="R736" i="1"/>
  <c r="AR714" i="1"/>
  <c r="R766" i="1"/>
  <c r="AC661" i="1"/>
  <c r="AC666" i="1" s="1"/>
  <c r="AG661" i="1"/>
  <c r="AG666" i="1" s="1"/>
  <c r="AK661" i="1"/>
  <c r="AK666" i="1" s="1"/>
  <c r="AF677" i="1"/>
  <c r="AJ677" i="1"/>
  <c r="AF681" i="1"/>
  <c r="AF683" i="1"/>
  <c r="AF695" i="1"/>
  <c r="AF701" i="1"/>
  <c r="AM701" i="1" s="1"/>
  <c r="AP701" i="1" s="1"/>
  <c r="AQ701" i="1" s="1"/>
  <c r="AR701" i="1" s="1"/>
  <c r="AV701" i="1" s="1"/>
  <c r="AX701" i="1" s="1"/>
  <c r="T702" i="1"/>
  <c r="AE704" i="1"/>
  <c r="AI704" i="1"/>
  <c r="AF705" i="1"/>
  <c r="AM705" i="1" s="1"/>
  <c r="AP705" i="1" s="1"/>
  <c r="AQ705" i="1" s="1"/>
  <c r="AR705" i="1" s="1"/>
  <c r="AV705" i="1" s="1"/>
  <c r="AE707" i="1"/>
  <c r="AI707" i="1"/>
  <c r="AE709" i="1"/>
  <c r="AI709" i="1"/>
  <c r="AD727" i="1"/>
  <c r="AH727" i="1"/>
  <c r="AH736" i="1" s="1"/>
  <c r="AL727" i="1"/>
  <c r="AL736" i="1" s="1"/>
  <c r="AC733" i="1"/>
  <c r="AG733" i="1"/>
  <c r="AK733" i="1"/>
  <c r="AC735" i="1"/>
  <c r="AG735" i="1"/>
  <c r="AK735" i="1"/>
  <c r="S736" i="1"/>
  <c r="W736" i="1"/>
  <c r="AS848" i="1"/>
  <c r="AP739" i="1"/>
  <c r="AF751" i="1"/>
  <c r="AE753" i="1"/>
  <c r="AE754" i="1" s="1"/>
  <c r="AI753" i="1"/>
  <c r="AI754" i="1" s="1"/>
  <c r="Q754" i="1"/>
  <c r="AP758" i="1"/>
  <c r="AQ758" i="1" s="1"/>
  <c r="AR758" i="1" s="1"/>
  <c r="AF763" i="1"/>
  <c r="AF766" i="1" s="1"/>
  <c r="AF765" i="1"/>
  <c r="AM765" i="1" s="1"/>
  <c r="AP765" i="1" s="1"/>
  <c r="AQ765" i="1" s="1"/>
  <c r="AR765" i="1" s="1"/>
  <c r="AV765" i="1" s="1"/>
  <c r="AP769" i="1"/>
  <c r="AD779" i="1"/>
  <c r="AH779" i="1"/>
  <c r="AH781" i="1" s="1"/>
  <c r="AL779" i="1"/>
  <c r="AL781" i="1" s="1"/>
  <c r="W781" i="1"/>
  <c r="AD794" i="1"/>
  <c r="AJ794" i="1"/>
  <c r="AJ795" i="1" s="1"/>
  <c r="AD810" i="1"/>
  <c r="AJ810" i="1"/>
  <c r="AJ817" i="1" s="1"/>
  <c r="AC843" i="1"/>
  <c r="R885" i="1"/>
  <c r="S885" i="1" s="1"/>
  <c r="AV947" i="1"/>
  <c r="AX947" i="1" s="1"/>
  <c r="AV953" i="1"/>
  <c r="AX953" i="1" s="1"/>
  <c r="AV970" i="1"/>
  <c r="AX970" i="1" s="1"/>
  <c r="AF704" i="1"/>
  <c r="AJ704" i="1"/>
  <c r="AF707" i="1"/>
  <c r="AJ707" i="1"/>
  <c r="AF709" i="1"/>
  <c r="AJ709" i="1"/>
  <c r="AE727" i="1"/>
  <c r="AE736" i="1" s="1"/>
  <c r="AI727" i="1"/>
  <c r="AF753" i="1"/>
  <c r="AJ753" i="1"/>
  <c r="AD766" i="1"/>
  <c r="AE779" i="1"/>
  <c r="AE781" i="1" s="1"/>
  <c r="AI779" i="1"/>
  <c r="AI781" i="1" s="1"/>
  <c r="AF794" i="1"/>
  <c r="AF795" i="1" s="1"/>
  <c r="R795" i="1"/>
  <c r="AF810" i="1"/>
  <c r="AM827" i="1"/>
  <c r="AP820" i="1"/>
  <c r="Q827" i="1"/>
  <c r="AR830" i="1"/>
  <c r="AP831" i="1"/>
  <c r="AQ831" i="1" s="1"/>
  <c r="AR831" i="1" s="1"/>
  <c r="AP835" i="1"/>
  <c r="AQ835" i="1" s="1"/>
  <c r="AR835" i="1" s="1"/>
  <c r="AP839" i="1"/>
  <c r="AQ839" i="1" s="1"/>
  <c r="AR839" i="1" s="1"/>
  <c r="AL845" i="1"/>
  <c r="AH845" i="1"/>
  <c r="AD845" i="1"/>
  <c r="AI845" i="1"/>
  <c r="AE845" i="1"/>
  <c r="AJ845" i="1"/>
  <c r="R852" i="1"/>
  <c r="Q867" i="1"/>
  <c r="R902" i="1"/>
  <c r="AR888" i="1"/>
  <c r="AF727" i="1"/>
  <c r="AJ727" i="1"/>
  <c r="Q736" i="1"/>
  <c r="S766" i="1"/>
  <c r="AF779" i="1"/>
  <c r="AF781" i="1" s="1"/>
  <c r="AJ779" i="1"/>
  <c r="AJ781" i="1" s="1"/>
  <c r="AI794" i="1"/>
  <c r="AI795" i="1" s="1"/>
  <c r="AE794" i="1"/>
  <c r="AE795" i="1" s="1"/>
  <c r="AG794" i="1"/>
  <c r="AG795" i="1" s="1"/>
  <c r="AL794" i="1"/>
  <c r="AL795" i="1" s="1"/>
  <c r="W795" i="1"/>
  <c r="S817" i="1"/>
  <c r="T798" i="1"/>
  <c r="T817" i="1" s="1"/>
  <c r="W817" i="1"/>
  <c r="AI810" i="1"/>
  <c r="AE810" i="1"/>
  <c r="AE817" i="1" s="1"/>
  <c r="AG810" i="1"/>
  <c r="AG817" i="1" s="1"/>
  <c r="AL810" i="1"/>
  <c r="AL817" i="1" s="1"/>
  <c r="AP852" i="1"/>
  <c r="AR870" i="1"/>
  <c r="AV955" i="1"/>
  <c r="AX955" i="1" s="1"/>
  <c r="AV960" i="1"/>
  <c r="AX960" i="1" s="1"/>
  <c r="AV975" i="1"/>
  <c r="AX975" i="1" s="1"/>
  <c r="AF661" i="1"/>
  <c r="AF666" i="1" s="1"/>
  <c r="AJ661" i="1"/>
  <c r="AJ666" i="1" s="1"/>
  <c r="AD704" i="1"/>
  <c r="AH704" i="1"/>
  <c r="AD707" i="1"/>
  <c r="AH707" i="1"/>
  <c r="AD709" i="1"/>
  <c r="AH709" i="1"/>
  <c r="AC727" i="1"/>
  <c r="AG727" i="1"/>
  <c r="AF733" i="1"/>
  <c r="AF735" i="1"/>
  <c r="V848" i="1"/>
  <c r="Z848" i="1"/>
  <c r="AD753" i="1"/>
  <c r="AH753" i="1"/>
  <c r="AH754" i="1" s="1"/>
  <c r="AQ757" i="1"/>
  <c r="R769" i="1"/>
  <c r="AC779" i="1"/>
  <c r="AC781" i="1" s="1"/>
  <c r="AG779" i="1"/>
  <c r="AG781" i="1" s="1"/>
  <c r="AP784" i="1"/>
  <c r="AC794" i="1"/>
  <c r="AC795" i="1" s="1"/>
  <c r="AH794" i="1"/>
  <c r="AH795" i="1" s="1"/>
  <c r="AC810" i="1"/>
  <c r="AC817" i="1" s="1"/>
  <c r="AH810" i="1"/>
  <c r="AH817" i="1" s="1"/>
  <c r="Q846" i="1"/>
  <c r="AL843" i="1"/>
  <c r="AH843" i="1"/>
  <c r="AD843" i="1"/>
  <c r="AI843" i="1"/>
  <c r="AI846" i="1" s="1"/>
  <c r="AE843" i="1"/>
  <c r="AJ843" i="1"/>
  <c r="AF845" i="1"/>
  <c r="AF846" i="1" s="1"/>
  <c r="W846" i="1"/>
  <c r="R919" i="1"/>
  <c r="AV962" i="1"/>
  <c r="AX962" i="1" s="1"/>
  <c r="AF811" i="1"/>
  <c r="R830" i="1"/>
  <c r="AF865" i="1"/>
  <c r="AF867" i="1" s="1"/>
  <c r="AF884" i="1"/>
  <c r="AF898" i="1"/>
  <c r="AF900" i="1"/>
  <c r="S902" i="1"/>
  <c r="AD916" i="1"/>
  <c r="R948" i="1"/>
  <c r="AC940" i="1"/>
  <c r="AD942" i="1"/>
  <c r="AJ942" i="1"/>
  <c r="AK957" i="1"/>
  <c r="AG957" i="1"/>
  <c r="AC957" i="1"/>
  <c r="AL957" i="1"/>
  <c r="AH957" i="1"/>
  <c r="AD957" i="1"/>
  <c r="AJ957" i="1"/>
  <c r="AM964" i="1"/>
  <c r="AP964" i="1" s="1"/>
  <c r="AQ964" i="1" s="1"/>
  <c r="AR964" i="1" s="1"/>
  <c r="AV964" i="1" s="1"/>
  <c r="AX964" i="1" s="1"/>
  <c r="AV1033" i="1"/>
  <c r="AX1033" i="1" s="1"/>
  <c r="S948" i="1"/>
  <c r="AF942" i="1"/>
  <c r="AK986" i="1"/>
  <c r="AG986" i="1"/>
  <c r="AC986" i="1"/>
  <c r="AJ986" i="1"/>
  <c r="AI986" i="1"/>
  <c r="AE986" i="1"/>
  <c r="AE1005" i="1" s="1"/>
  <c r="AL986" i="1"/>
  <c r="AH986" i="1"/>
  <c r="AD986" i="1"/>
  <c r="AM1000" i="1"/>
  <c r="AP1000" i="1" s="1"/>
  <c r="AQ1000" i="1" s="1"/>
  <c r="AR1000" i="1" s="1"/>
  <c r="AV1000" i="1" s="1"/>
  <c r="AP1009" i="1"/>
  <c r="AV1014" i="1"/>
  <c r="AX1014" i="1" s="1"/>
  <c r="AV1019" i="1"/>
  <c r="AX1019" i="1" s="1"/>
  <c r="AV1028" i="1"/>
  <c r="AX1028" i="1" s="1"/>
  <c r="AV1039" i="1"/>
  <c r="AX1039" i="1" s="1"/>
  <c r="AV1066" i="1"/>
  <c r="AX1066" i="1" s="1"/>
  <c r="Q902" i="1"/>
  <c r="S919" i="1"/>
  <c r="Q919" i="1"/>
  <c r="AM935" i="1"/>
  <c r="AI942" i="1"/>
  <c r="AE942" i="1"/>
  <c r="AG942" i="1"/>
  <c r="AL942" i="1"/>
  <c r="Q948" i="1"/>
  <c r="AM982" i="1"/>
  <c r="AP982" i="1" s="1"/>
  <c r="AQ982" i="1" s="1"/>
  <c r="AR982" i="1" s="1"/>
  <c r="AV982" i="1" s="1"/>
  <c r="AX982" i="1" s="1"/>
  <c r="AF986" i="1"/>
  <c r="AV1045" i="1"/>
  <c r="AX1045" i="1" s="1"/>
  <c r="AV1059" i="1"/>
  <c r="AX1059" i="1" s="1"/>
  <c r="T905" i="1"/>
  <c r="T919" i="1" s="1"/>
  <c r="AK916" i="1"/>
  <c r="AK919" i="1" s="1"/>
  <c r="AG916" i="1"/>
  <c r="AG919" i="1" s="1"/>
  <c r="AC916" i="1"/>
  <c r="AC919" i="1" s="1"/>
  <c r="AH916" i="1"/>
  <c r="AH919" i="1" s="1"/>
  <c r="R925" i="1"/>
  <c r="AL940" i="1"/>
  <c r="AH940" i="1"/>
  <c r="AD940" i="1"/>
  <c r="AG940" i="1"/>
  <c r="AC942" i="1"/>
  <c r="AH942" i="1"/>
  <c r="R951" i="1"/>
  <c r="Q1005" i="1"/>
  <c r="AM968" i="1"/>
  <c r="AP968" i="1" s="1"/>
  <c r="AQ968" i="1" s="1"/>
  <c r="AR968" i="1" s="1"/>
  <c r="AV968" i="1" s="1"/>
  <c r="AX968" i="1" s="1"/>
  <c r="AM971" i="1"/>
  <c r="AP971" i="1" s="1"/>
  <c r="AQ971" i="1" s="1"/>
  <c r="AR971" i="1" s="1"/>
  <c r="AV971" i="1" s="1"/>
  <c r="AX971" i="1" s="1"/>
  <c r="AM979" i="1"/>
  <c r="AP979" i="1" s="1"/>
  <c r="AQ979" i="1" s="1"/>
  <c r="AR979" i="1" s="1"/>
  <c r="AV979" i="1" s="1"/>
  <c r="AX979" i="1" s="1"/>
  <c r="E1174" i="1"/>
  <c r="I1174" i="1"/>
  <c r="M1174" i="1"/>
  <c r="AU1174" i="1"/>
  <c r="AC952" i="1"/>
  <c r="AG952" i="1"/>
  <c r="AK952" i="1"/>
  <c r="AC977" i="1"/>
  <c r="AG977" i="1"/>
  <c r="AK977" i="1"/>
  <c r="AF981" i="1"/>
  <c r="AC989" i="1"/>
  <c r="AG989" i="1"/>
  <c r="AK989" i="1"/>
  <c r="AD991" i="1"/>
  <c r="AH991" i="1"/>
  <c r="AL991" i="1"/>
  <c r="AD995" i="1"/>
  <c r="AH995" i="1"/>
  <c r="AL995" i="1"/>
  <c r="AE997" i="1"/>
  <c r="AI997" i="1"/>
  <c r="AF998" i="1"/>
  <c r="AF1000" i="1"/>
  <c r="AE1003" i="1"/>
  <c r="AI1003" i="1"/>
  <c r="AF1011" i="1"/>
  <c r="AD1016" i="1"/>
  <c r="AH1016" i="1"/>
  <c r="AL1016" i="1"/>
  <c r="AF1017" i="1"/>
  <c r="AE1021" i="1"/>
  <c r="AI1021" i="1"/>
  <c r="AF1023" i="1"/>
  <c r="AC1025" i="1"/>
  <c r="AG1025" i="1"/>
  <c r="AK1025" i="1"/>
  <c r="AI1035" i="1"/>
  <c r="AE1035" i="1"/>
  <c r="AG1035" i="1"/>
  <c r="AL1035" i="1"/>
  <c r="AF1041" i="1"/>
  <c r="AI1043" i="1"/>
  <c r="AE1043" i="1"/>
  <c r="AG1043" i="1"/>
  <c r="AL1043" i="1"/>
  <c r="AF1047" i="1"/>
  <c r="AI1049" i="1"/>
  <c r="AE1049" i="1"/>
  <c r="AG1049" i="1"/>
  <c r="AL1049" i="1"/>
  <c r="AC1052" i="1"/>
  <c r="AD1061" i="1"/>
  <c r="AC1068" i="1"/>
  <c r="R1141" i="1"/>
  <c r="AE991" i="1"/>
  <c r="AI991" i="1"/>
  <c r="AE995" i="1"/>
  <c r="AI995" i="1"/>
  <c r="AF997" i="1"/>
  <c r="AJ997" i="1"/>
  <c r="AF1003" i="1"/>
  <c r="AJ1003" i="1"/>
  <c r="Q1071" i="1"/>
  <c r="AE1016" i="1"/>
  <c r="AI1016" i="1"/>
  <c r="AF1021" i="1"/>
  <c r="AJ1021" i="1"/>
  <c r="AL1041" i="1"/>
  <c r="AH1041" i="1"/>
  <c r="AD1041" i="1"/>
  <c r="AG1041" i="1"/>
  <c r="AL1047" i="1"/>
  <c r="AH1047" i="1"/>
  <c r="AD1047" i="1"/>
  <c r="AG1047" i="1"/>
  <c r="W1071" i="1"/>
  <c r="T1085" i="1"/>
  <c r="AV1161" i="1"/>
  <c r="AX1161" i="1" s="1"/>
  <c r="T1180" i="1"/>
  <c r="W1181" i="1"/>
  <c r="AF991" i="1"/>
  <c r="AJ991" i="1"/>
  <c r="AF995" i="1"/>
  <c r="AJ995" i="1"/>
  <c r="R1071" i="1"/>
  <c r="AF1016" i="1"/>
  <c r="AJ1016" i="1"/>
  <c r="W1141" i="1"/>
  <c r="AK1087" i="1"/>
  <c r="AG1087" i="1"/>
  <c r="AC1087" i="1"/>
  <c r="AI1087" i="1"/>
  <c r="AE1087" i="1"/>
  <c r="AL1087" i="1"/>
  <c r="AH1087" i="1"/>
  <c r="AD1087" i="1"/>
  <c r="AK1090" i="1"/>
  <c r="AG1090" i="1"/>
  <c r="AC1090" i="1"/>
  <c r="AI1090" i="1"/>
  <c r="AE1090" i="1"/>
  <c r="AL1090" i="1"/>
  <c r="AH1090" i="1"/>
  <c r="AD1090" i="1"/>
  <c r="S1099" i="1"/>
  <c r="S1141" i="1" s="1"/>
  <c r="T1099" i="1"/>
  <c r="S1172" i="1"/>
  <c r="T1155" i="1"/>
  <c r="T1172" i="1" s="1"/>
  <c r="AV1165" i="1"/>
  <c r="AX1165" i="1" s="1"/>
  <c r="AF952" i="1"/>
  <c r="AJ952" i="1"/>
  <c r="AF977" i="1"/>
  <c r="AF989" i="1"/>
  <c r="AC991" i="1"/>
  <c r="AG991" i="1"/>
  <c r="AC995" i="1"/>
  <c r="AG995" i="1"/>
  <c r="AD997" i="1"/>
  <c r="AH997" i="1"/>
  <c r="AD1003" i="1"/>
  <c r="AH1003" i="1"/>
  <c r="S1008" i="1"/>
  <c r="AC1016" i="1"/>
  <c r="AG1016" i="1"/>
  <c r="AD1021" i="1"/>
  <c r="AH1021" i="1"/>
  <c r="AF1025" i="1"/>
  <c r="AE1041" i="1"/>
  <c r="AJ1041" i="1"/>
  <c r="AE1047" i="1"/>
  <c r="AJ1047" i="1"/>
  <c r="AI1052" i="1"/>
  <c r="AE1052" i="1"/>
  <c r="AG1052" i="1"/>
  <c r="AL1052" i="1"/>
  <c r="AK1061" i="1"/>
  <c r="AG1061" i="1"/>
  <c r="AC1061" i="1"/>
  <c r="AH1061" i="1"/>
  <c r="AL1068" i="1"/>
  <c r="AH1068" i="1"/>
  <c r="AD1068" i="1"/>
  <c r="AI1068" i="1"/>
  <c r="AE1068" i="1"/>
  <c r="AJ1068" i="1"/>
  <c r="Q1141" i="1"/>
  <c r="AF1087" i="1"/>
  <c r="AF1090" i="1"/>
  <c r="AF1031" i="1"/>
  <c r="AF1037" i="1"/>
  <c r="AC1064" i="1"/>
  <c r="AG1064" i="1"/>
  <c r="AK1064" i="1"/>
  <c r="R1074" i="1"/>
  <c r="AF1075" i="1"/>
  <c r="AC1077" i="1"/>
  <c r="AG1077" i="1"/>
  <c r="AK1077" i="1"/>
  <c r="AF1080" i="1"/>
  <c r="AE1096" i="1"/>
  <c r="AI1096" i="1"/>
  <c r="AF1098" i="1"/>
  <c r="AE1103" i="1"/>
  <c r="AI1103" i="1"/>
  <c r="AF1105" i="1"/>
  <c r="AC1107" i="1"/>
  <c r="AG1107" i="1"/>
  <c r="AK1107" i="1"/>
  <c r="AD1109" i="1"/>
  <c r="AH1109" i="1"/>
  <c r="AL1109" i="1"/>
  <c r="AE1111" i="1"/>
  <c r="AI1111" i="1"/>
  <c r="AE1121" i="1"/>
  <c r="AI1121" i="1"/>
  <c r="AE1124" i="1"/>
  <c r="AI1124" i="1"/>
  <c r="AF1126" i="1"/>
  <c r="AC1128" i="1"/>
  <c r="AG1128" i="1"/>
  <c r="AK1128" i="1"/>
  <c r="AF1130" i="1"/>
  <c r="AK1138" i="1"/>
  <c r="AG1138" i="1"/>
  <c r="AC1138" i="1"/>
  <c r="AH1138" i="1"/>
  <c r="AE1140" i="1"/>
  <c r="AJ1140" i="1"/>
  <c r="AE1145" i="1"/>
  <c r="AJ1145" i="1"/>
  <c r="AC1147" i="1"/>
  <c r="AE1151" i="1"/>
  <c r="AJ1151" i="1"/>
  <c r="AM1156" i="1"/>
  <c r="AE1158" i="1"/>
  <c r="AJ1158" i="1"/>
  <c r="AI1163" i="1"/>
  <c r="AE1163" i="1"/>
  <c r="AG1163" i="1"/>
  <c r="AL1163" i="1"/>
  <c r="AF1167" i="1"/>
  <c r="AI1169" i="1"/>
  <c r="AE1169" i="1"/>
  <c r="AG1169" i="1"/>
  <c r="AL1169" i="1"/>
  <c r="AE1240" i="1"/>
  <c r="AF1096" i="1"/>
  <c r="AJ1096" i="1"/>
  <c r="AF1103" i="1"/>
  <c r="AJ1103" i="1"/>
  <c r="AE1109" i="1"/>
  <c r="AI1109" i="1"/>
  <c r="AF1111" i="1"/>
  <c r="AJ1111" i="1"/>
  <c r="AF1121" i="1"/>
  <c r="AJ1121" i="1"/>
  <c r="AF1124" i="1"/>
  <c r="AJ1124" i="1"/>
  <c r="AI1130" i="1"/>
  <c r="AE1130" i="1"/>
  <c r="AG1130" i="1"/>
  <c r="AL1130" i="1"/>
  <c r="AF1140" i="1"/>
  <c r="AF1145" i="1"/>
  <c r="AF1152" i="1" s="1"/>
  <c r="AF1151" i="1"/>
  <c r="Q1172" i="1"/>
  <c r="AF1158" i="1"/>
  <c r="AL1158" i="1"/>
  <c r="AL1167" i="1"/>
  <c r="AH1167" i="1"/>
  <c r="AD1167" i="1"/>
  <c r="AG1167" i="1"/>
  <c r="R1172" i="1"/>
  <c r="AL1188" i="1"/>
  <c r="AH1188" i="1"/>
  <c r="AD1188" i="1"/>
  <c r="AI1188" i="1"/>
  <c r="AE1188" i="1"/>
  <c r="AJ1188" i="1"/>
  <c r="W1215" i="1"/>
  <c r="T1214" i="1"/>
  <c r="AF1109" i="1"/>
  <c r="AJ1109" i="1"/>
  <c r="AK1140" i="1"/>
  <c r="AG1140" i="1"/>
  <c r="AC1140" i="1"/>
  <c r="AH1140" i="1"/>
  <c r="AK1145" i="1"/>
  <c r="AK1152" i="1" s="1"/>
  <c r="AG1145" i="1"/>
  <c r="AC1145" i="1"/>
  <c r="AH1145" i="1"/>
  <c r="AK1151" i="1"/>
  <c r="AG1151" i="1"/>
  <c r="AC1151" i="1"/>
  <c r="AH1151" i="1"/>
  <c r="AK1158" i="1"/>
  <c r="AG1158" i="1"/>
  <c r="AC1158" i="1"/>
  <c r="AC1172" i="1" s="1"/>
  <c r="AH1158" i="1"/>
  <c r="Q1191" i="1"/>
  <c r="Q1218" i="1" s="1"/>
  <c r="R1178" i="1"/>
  <c r="AF1064" i="1"/>
  <c r="AM1064" i="1" s="1"/>
  <c r="AP1064" i="1" s="1"/>
  <c r="AQ1064" i="1" s="1"/>
  <c r="AR1064" i="1" s="1"/>
  <c r="AV1064" i="1" s="1"/>
  <c r="AF1077" i="1"/>
  <c r="AD1096" i="1"/>
  <c r="AH1096" i="1"/>
  <c r="AD1103" i="1"/>
  <c r="AH1103" i="1"/>
  <c r="AF1107" i="1"/>
  <c r="AC1109" i="1"/>
  <c r="AG1109" i="1"/>
  <c r="AD1111" i="1"/>
  <c r="AH1111" i="1"/>
  <c r="AD1121" i="1"/>
  <c r="AH1121" i="1"/>
  <c r="AD1124" i="1"/>
  <c r="AH1124" i="1"/>
  <c r="AF1128" i="1"/>
  <c r="AD1130" i="1"/>
  <c r="AJ1130" i="1"/>
  <c r="AD1140" i="1"/>
  <c r="AI1140" i="1"/>
  <c r="R1144" i="1"/>
  <c r="AD1145" i="1"/>
  <c r="AI1145" i="1"/>
  <c r="AI1152" i="1" s="1"/>
  <c r="AL1147" i="1"/>
  <c r="AL1152" i="1" s="1"/>
  <c r="AH1147" i="1"/>
  <c r="AD1147" i="1"/>
  <c r="AG1147" i="1"/>
  <c r="AD1151" i="1"/>
  <c r="AI1151" i="1"/>
  <c r="W1152" i="1"/>
  <c r="AD1158" i="1"/>
  <c r="AI1158" i="1"/>
  <c r="AE1167" i="1"/>
  <c r="AJ1167" i="1"/>
  <c r="AF1188" i="1"/>
  <c r="AF1136" i="1"/>
  <c r="AF1171" i="1"/>
  <c r="AF1190" i="1"/>
  <c r="AS1218" i="1"/>
  <c r="AW1218" i="1"/>
  <c r="E1319" i="1"/>
  <c r="I1319" i="1"/>
  <c r="M1319" i="1"/>
  <c r="Q1240" i="1"/>
  <c r="X1319" i="1"/>
  <c r="X1404" i="1" s="1"/>
  <c r="AB1319" i="1"/>
  <c r="AB1404" i="1" s="1"/>
  <c r="AD1250" i="1"/>
  <c r="F1218" i="1"/>
  <c r="R1240" i="1"/>
  <c r="S1223" i="1"/>
  <c r="Q1250" i="1"/>
  <c r="R1243" i="1"/>
  <c r="R1273" i="1"/>
  <c r="S1267" i="1"/>
  <c r="AA1218" i="1"/>
  <c r="AA1404" i="1" s="1"/>
  <c r="AK1235" i="1"/>
  <c r="AG1235" i="1"/>
  <c r="AC1235" i="1"/>
  <c r="W1240" i="1"/>
  <c r="AL1235" i="1"/>
  <c r="AL1240" i="1" s="1"/>
  <c r="AH1235" i="1"/>
  <c r="AD1235" i="1"/>
  <c r="AJ1235" i="1"/>
  <c r="AJ1240" i="1" s="1"/>
  <c r="AK1238" i="1"/>
  <c r="AG1238" i="1"/>
  <c r="AC1238" i="1"/>
  <c r="AL1238" i="1"/>
  <c r="AH1238" i="1"/>
  <c r="AD1238" i="1"/>
  <c r="AJ1238" i="1"/>
  <c r="Q1273" i="1"/>
  <c r="AF1249" i="1"/>
  <c r="AF1250" i="1" s="1"/>
  <c r="R1253" i="1"/>
  <c r="S1253" i="1" s="1"/>
  <c r="AE1297" i="1"/>
  <c r="AE1302" i="1" s="1"/>
  <c r="AJ1297" i="1"/>
  <c r="AJ1302" i="1" s="1"/>
  <c r="Q1317" i="1"/>
  <c r="AF1297" i="1"/>
  <c r="AF1302" i="1" s="1"/>
  <c r="AF1319" i="1" s="1"/>
  <c r="AL1297" i="1"/>
  <c r="AL1302" i="1" s="1"/>
  <c r="AH1297" i="1"/>
  <c r="AH1302" i="1" s="1"/>
  <c r="AD1297" i="1"/>
  <c r="AG1297" i="1"/>
  <c r="AG1302" i="1" s="1"/>
  <c r="W1302" i="1"/>
  <c r="T1305" i="1"/>
  <c r="T1317" i="1" s="1"/>
  <c r="V1319" i="1"/>
  <c r="Z1319" i="1"/>
  <c r="AC1297" i="1"/>
  <c r="AC1302" i="1" s="1"/>
  <c r="AI1297" i="1"/>
  <c r="AI1302" i="1" s="1"/>
  <c r="AI1319" i="1" s="1"/>
  <c r="Q1335" i="1"/>
  <c r="Q1347" i="1"/>
  <c r="R1347" i="1" s="1"/>
  <c r="E1349" i="1"/>
  <c r="R1400" i="1"/>
  <c r="R1324" i="1"/>
  <c r="V1349" i="1"/>
  <c r="Z1349" i="1"/>
  <c r="AD1349" i="1"/>
  <c r="AH1349" i="1"/>
  <c r="AL1349" i="1"/>
  <c r="AR1349" i="1"/>
  <c r="AV1349" i="1"/>
  <c r="Q1368" i="1"/>
  <c r="Q1402" i="1" s="1"/>
  <c r="R1354" i="1"/>
  <c r="T1400" i="1"/>
  <c r="AD1368" i="1"/>
  <c r="AD1402" i="1" s="1"/>
  <c r="AF1363" i="1"/>
  <c r="AF1368" i="1" s="1"/>
  <c r="AF1402" i="1" s="1"/>
  <c r="S1400" i="1"/>
  <c r="AH265" i="2" l="1"/>
  <c r="AH271" i="2" s="1"/>
  <c r="AH196" i="2"/>
  <c r="AH210" i="2" s="1"/>
  <c r="AJ196" i="2"/>
  <c r="AJ210" i="2" s="1"/>
  <c r="AF475" i="2"/>
  <c r="AL226" i="2"/>
  <c r="AO226" i="2" s="1"/>
  <c r="AP226" i="2" s="1"/>
  <c r="AQ226" i="2" s="1"/>
  <c r="AR226" i="2" s="1"/>
  <c r="AS226" i="2" s="1"/>
  <c r="AH285" i="2"/>
  <c r="AH311" i="2" s="1"/>
  <c r="AG227" i="2"/>
  <c r="AL214" i="2"/>
  <c r="AO214" i="2" s="1"/>
  <c r="AP214" i="2" s="1"/>
  <c r="AQ214" i="2" s="1"/>
  <c r="AR214" i="2" s="1"/>
  <c r="AS214" i="2" s="1"/>
  <c r="AI265" i="2"/>
  <c r="AI271" i="2" s="1"/>
  <c r="AO213" i="2"/>
  <c r="AP213" i="2" s="1"/>
  <c r="AC265" i="2"/>
  <c r="AC352" i="2"/>
  <c r="AC357" i="2" s="1"/>
  <c r="Q551" i="2"/>
  <c r="AL266" i="2"/>
  <c r="AO266" i="2" s="1"/>
  <c r="AP266" i="2" s="1"/>
  <c r="AQ266" i="2" s="1"/>
  <c r="AR266" i="2" s="1"/>
  <c r="AS266" i="2" s="1"/>
  <c r="AB265" i="2"/>
  <c r="AB271" i="2" s="1"/>
  <c r="AK265" i="2"/>
  <c r="AK271" i="2" s="1"/>
  <c r="AF352" i="2"/>
  <c r="AF357" i="2" s="1"/>
  <c r="AJ475" i="2"/>
  <c r="AC285" i="2"/>
  <c r="AC311" i="2" s="1"/>
  <c r="AE196" i="2"/>
  <c r="AE210" i="2" s="1"/>
  <c r="AE265" i="2"/>
  <c r="AE271" i="2" s="1"/>
  <c r="AF265" i="2"/>
  <c r="AF271" i="2" s="1"/>
  <c r="AI227" i="2"/>
  <c r="AB285" i="2"/>
  <c r="AB311" i="2" s="1"/>
  <c r="AK285" i="2"/>
  <c r="AK311" i="2" s="1"/>
  <c r="AL220" i="2"/>
  <c r="AO220" i="2" s="1"/>
  <c r="AP220" i="2" s="1"/>
  <c r="AQ220" i="2" s="1"/>
  <c r="AR220" i="2" s="1"/>
  <c r="AS220" i="2" s="1"/>
  <c r="AJ265" i="2"/>
  <c r="AJ271" i="2" s="1"/>
  <c r="AD265" i="2"/>
  <c r="AD271" i="2" s="1"/>
  <c r="AG265" i="2"/>
  <c r="AG271" i="2" s="1"/>
  <c r="AI285" i="2"/>
  <c r="AI311" i="2" s="1"/>
  <c r="P635" i="2"/>
  <c r="AO513" i="2"/>
  <c r="AP513" i="2" s="1"/>
  <c r="AQ513" i="2" s="1"/>
  <c r="AR513" i="2" s="1"/>
  <c r="AS513" i="2" s="1"/>
  <c r="AL287" i="2"/>
  <c r="AO287" i="2" s="1"/>
  <c r="AP287" i="2" s="1"/>
  <c r="AQ287" i="2" s="1"/>
  <c r="AR287" i="2" s="1"/>
  <c r="AS287" i="2" s="1"/>
  <c r="AL479" i="2"/>
  <c r="AO479" i="2" s="1"/>
  <c r="AP479" i="2" s="1"/>
  <c r="AQ479" i="2" s="1"/>
  <c r="AR479" i="2" s="1"/>
  <c r="AS479" i="2" s="1"/>
  <c r="AL215" i="2"/>
  <c r="AO215" i="2" s="1"/>
  <c r="AP215" i="2" s="1"/>
  <c r="AQ215" i="2" s="1"/>
  <c r="AR215" i="2" s="1"/>
  <c r="AS215" i="2" s="1"/>
  <c r="AD227" i="2"/>
  <c r="AL39" i="2"/>
  <c r="AO39" i="2" s="1"/>
  <c r="AP39" i="2" s="1"/>
  <c r="AQ39" i="2" s="1"/>
  <c r="AR39" i="2" s="1"/>
  <c r="AS39" i="2" s="1"/>
  <c r="AL224" i="2"/>
  <c r="AO224" i="2" s="1"/>
  <c r="AP224" i="2" s="1"/>
  <c r="AQ224" i="2" s="1"/>
  <c r="AR224" i="2" s="1"/>
  <c r="AS224" i="2" s="1"/>
  <c r="AD196" i="2"/>
  <c r="AD210" i="2" s="1"/>
  <c r="AF196" i="2"/>
  <c r="AF210" i="2" s="1"/>
  <c r="AK196" i="2"/>
  <c r="AK210" i="2" s="1"/>
  <c r="Q415" i="2"/>
  <c r="AL216" i="2"/>
  <c r="AO216" i="2" s="1"/>
  <c r="AP216" i="2" s="1"/>
  <c r="AQ216" i="2" s="1"/>
  <c r="AR216" i="2" s="1"/>
  <c r="AS216" i="2" s="1"/>
  <c r="AI196" i="2"/>
  <c r="AI210" i="2" s="1"/>
  <c r="AC196" i="2"/>
  <c r="AC210" i="2" s="1"/>
  <c r="AL222" i="2"/>
  <c r="AO222" i="2" s="1"/>
  <c r="AP222" i="2" s="1"/>
  <c r="AQ222" i="2" s="1"/>
  <c r="AR222" i="2" s="1"/>
  <c r="AS222" i="2" s="1"/>
  <c r="AF227" i="2"/>
  <c r="AJ227" i="2"/>
  <c r="AB227" i="2"/>
  <c r="R394" i="2"/>
  <c r="S360" i="2"/>
  <c r="S394" i="2" s="1"/>
  <c r="S163" i="2"/>
  <c r="AF148" i="2"/>
  <c r="AF163" i="2" s="1"/>
  <c r="AG148" i="2"/>
  <c r="AG163" i="2" s="1"/>
  <c r="AB148" i="2"/>
  <c r="AB163" i="2" s="1"/>
  <c r="AE148" i="2"/>
  <c r="AE163" i="2" s="1"/>
  <c r="AI148" i="2"/>
  <c r="AI163" i="2" s="1"/>
  <c r="AH148" i="2"/>
  <c r="AH163" i="2" s="1"/>
  <c r="AK148" i="2"/>
  <c r="AK163" i="2" s="1"/>
  <c r="AJ148" i="2"/>
  <c r="AJ163" i="2" s="1"/>
  <c r="AD148" i="2"/>
  <c r="AD163" i="2" s="1"/>
  <c r="AC148" i="2"/>
  <c r="S12" i="2"/>
  <c r="S35" i="2" s="1"/>
  <c r="R35" i="2"/>
  <c r="S274" i="2"/>
  <c r="S282" i="2" s="1"/>
  <c r="R282" i="2"/>
  <c r="S501" i="2"/>
  <c r="S507" i="2" s="1"/>
  <c r="R507" i="2"/>
  <c r="AH227" i="2"/>
  <c r="AE227" i="2"/>
  <c r="AK227" i="2"/>
  <c r="AE352" i="2"/>
  <c r="AE357" i="2" s="1"/>
  <c r="AI352" i="2"/>
  <c r="AI357" i="2" s="1"/>
  <c r="AH352" i="2"/>
  <c r="AH357" i="2" s="1"/>
  <c r="AE285" i="2"/>
  <c r="AE311" i="2" s="1"/>
  <c r="AF285" i="2"/>
  <c r="AF311" i="2" s="1"/>
  <c r="AL225" i="2"/>
  <c r="AO225" i="2" s="1"/>
  <c r="AP225" i="2" s="1"/>
  <c r="AQ225" i="2" s="1"/>
  <c r="AR225" i="2" s="1"/>
  <c r="AS225" i="2" s="1"/>
  <c r="S487" i="2"/>
  <c r="R498" i="2"/>
  <c r="S314" i="2"/>
  <c r="R349" i="2"/>
  <c r="S556" i="2"/>
  <c r="R567" i="2"/>
  <c r="R581" i="2" s="1"/>
  <c r="S135" i="2"/>
  <c r="S145" i="2" s="1"/>
  <c r="R145" i="2"/>
  <c r="AL218" i="2"/>
  <c r="AO218" i="2" s="1"/>
  <c r="AP218" i="2" s="1"/>
  <c r="AQ218" i="2" s="1"/>
  <c r="AR218" i="2" s="1"/>
  <c r="AS218" i="2" s="1"/>
  <c r="R111" i="2"/>
  <c r="Q118" i="2"/>
  <c r="Q192" i="2" s="1"/>
  <c r="S537" i="2"/>
  <c r="S549" i="2" s="1"/>
  <c r="R549" i="2"/>
  <c r="AJ352" i="2"/>
  <c r="AJ357" i="2" s="1"/>
  <c r="AK352" i="2"/>
  <c r="AK357" i="2" s="1"/>
  <c r="AJ285" i="2"/>
  <c r="AJ311" i="2" s="1"/>
  <c r="AD285" i="2"/>
  <c r="AD311" i="2" s="1"/>
  <c r="AG285" i="2"/>
  <c r="AG311" i="2" s="1"/>
  <c r="S404" i="2"/>
  <c r="R413" i="2"/>
  <c r="S166" i="2"/>
  <c r="R173" i="2"/>
  <c r="S419" i="2"/>
  <c r="S429" i="2" s="1"/>
  <c r="S455" i="2" s="1"/>
  <c r="R429" i="2"/>
  <c r="R455" i="2" s="1"/>
  <c r="S245" i="2"/>
  <c r="S258" i="2" s="1"/>
  <c r="S260" i="2" s="1"/>
  <c r="R258" i="2"/>
  <c r="R260" i="2" s="1"/>
  <c r="R631" i="2"/>
  <c r="S631" i="2" s="1"/>
  <c r="S633" i="2" s="1"/>
  <c r="R93" i="2"/>
  <c r="S74" i="2"/>
  <c r="S93" i="2" s="1"/>
  <c r="AI121" i="2"/>
  <c r="AI132" i="2" s="1"/>
  <c r="AE121" i="2"/>
  <c r="AE132" i="2" s="1"/>
  <c r="AK121" i="2"/>
  <c r="AK132" i="2" s="1"/>
  <c r="AG121" i="2"/>
  <c r="AG132" i="2" s="1"/>
  <c r="AC121" i="2"/>
  <c r="AJ121" i="2"/>
  <c r="AJ132" i="2" s="1"/>
  <c r="AB121" i="2"/>
  <c r="AH121" i="2"/>
  <c r="AH132" i="2" s="1"/>
  <c r="AF121" i="2"/>
  <c r="AF132" i="2" s="1"/>
  <c r="AD121" i="2"/>
  <c r="AD132" i="2" s="1"/>
  <c r="AB12" i="2"/>
  <c r="AJ117" i="2"/>
  <c r="AF117" i="2"/>
  <c r="AB117" i="2"/>
  <c r="AH117" i="2"/>
  <c r="AD117" i="2"/>
  <c r="AK117" i="2"/>
  <c r="AC117" i="2"/>
  <c r="AI117" i="2"/>
  <c r="AG117" i="2"/>
  <c r="AE117" i="2"/>
  <c r="AL631" i="2"/>
  <c r="AL116" i="2"/>
  <c r="AO116" i="2" s="1"/>
  <c r="AP116" i="2" s="1"/>
  <c r="AQ116" i="2" s="1"/>
  <c r="AR116" i="2" s="1"/>
  <c r="AS116" i="2" s="1"/>
  <c r="AC475" i="2"/>
  <c r="AL460" i="2"/>
  <c r="AL475" i="2" s="1"/>
  <c r="AL115" i="2"/>
  <c r="AO115" i="2" s="1"/>
  <c r="AP115" i="2" s="1"/>
  <c r="AQ115" i="2" s="1"/>
  <c r="AR115" i="2" s="1"/>
  <c r="AS115" i="2" s="1"/>
  <c r="AL114" i="2"/>
  <c r="AO114" i="2" s="1"/>
  <c r="AP114" i="2" s="1"/>
  <c r="AQ114" i="2" s="1"/>
  <c r="AR114" i="2" s="1"/>
  <c r="AS114" i="2" s="1"/>
  <c r="AH230" i="2"/>
  <c r="AH242" i="2" s="1"/>
  <c r="AD230" i="2"/>
  <c r="AD242" i="2" s="1"/>
  <c r="AJ230" i="2"/>
  <c r="AJ242" i="2" s="1"/>
  <c r="AF230" i="2"/>
  <c r="AF242" i="2" s="1"/>
  <c r="AB230" i="2"/>
  <c r="AG230" i="2"/>
  <c r="AG242" i="2" s="1"/>
  <c r="AE230" i="2"/>
  <c r="AE242" i="2" s="1"/>
  <c r="AK230" i="2"/>
  <c r="AK242" i="2" s="1"/>
  <c r="AC230" i="2"/>
  <c r="AI230" i="2"/>
  <c r="AI242" i="2" s="1"/>
  <c r="AL265" i="2"/>
  <c r="AL271" i="2" s="1"/>
  <c r="AC271" i="2"/>
  <c r="AB357" i="2"/>
  <c r="AK38" i="2"/>
  <c r="AK71" i="2" s="1"/>
  <c r="AG38" i="2"/>
  <c r="AG71" i="2" s="1"/>
  <c r="AC38" i="2"/>
  <c r="AI38" i="2"/>
  <c r="AI71" i="2" s="1"/>
  <c r="AE38" i="2"/>
  <c r="AE71" i="2" s="1"/>
  <c r="AD38" i="2"/>
  <c r="AD71" i="2" s="1"/>
  <c r="AH38" i="2"/>
  <c r="AH71" i="2" s="1"/>
  <c r="AJ38" i="2"/>
  <c r="AJ71" i="2" s="1"/>
  <c r="AB38" i="2"/>
  <c r="AF38" i="2"/>
  <c r="AF71" i="2" s="1"/>
  <c r="AB210" i="2"/>
  <c r="AL113" i="2"/>
  <c r="AO113" i="2" s="1"/>
  <c r="AP113" i="2" s="1"/>
  <c r="AQ113" i="2" s="1"/>
  <c r="AR113" i="2" s="1"/>
  <c r="AS113" i="2" s="1"/>
  <c r="AL112" i="2"/>
  <c r="AO112" i="2" s="1"/>
  <c r="AP112" i="2" s="1"/>
  <c r="AQ112" i="2" s="1"/>
  <c r="AR112" i="2" s="1"/>
  <c r="AS112" i="2" s="1"/>
  <c r="AL221" i="2"/>
  <c r="AO221" i="2" s="1"/>
  <c r="AP221" i="2" s="1"/>
  <c r="AQ221" i="2" s="1"/>
  <c r="AR221" i="2" s="1"/>
  <c r="AS221" i="2" s="1"/>
  <c r="AP602" i="2"/>
  <c r="AO631" i="2"/>
  <c r="AH510" i="2"/>
  <c r="AH534" i="2" s="1"/>
  <c r="AD510" i="2"/>
  <c r="AD534" i="2" s="1"/>
  <c r="AI510" i="2"/>
  <c r="AI534" i="2" s="1"/>
  <c r="AC510" i="2"/>
  <c r="AF510" i="2"/>
  <c r="AF534" i="2" s="1"/>
  <c r="AK510" i="2"/>
  <c r="AK534" i="2" s="1"/>
  <c r="AE510" i="2"/>
  <c r="AE534" i="2" s="1"/>
  <c r="AJ510" i="2"/>
  <c r="AJ534" i="2" s="1"/>
  <c r="AB510" i="2"/>
  <c r="AG510" i="2"/>
  <c r="AG534" i="2" s="1"/>
  <c r="AL219" i="2"/>
  <c r="AO219" i="2" s="1"/>
  <c r="AP219" i="2" s="1"/>
  <c r="AQ219" i="2" s="1"/>
  <c r="AR219" i="2" s="1"/>
  <c r="AS219" i="2" s="1"/>
  <c r="AJ586" i="2"/>
  <c r="AJ599" i="2" s="1"/>
  <c r="AJ633" i="2" s="1"/>
  <c r="AF586" i="2"/>
  <c r="AF599" i="2" s="1"/>
  <c r="AF633" i="2" s="1"/>
  <c r="AB586" i="2"/>
  <c r="AI586" i="2"/>
  <c r="AI599" i="2" s="1"/>
  <c r="AI633" i="2" s="1"/>
  <c r="AE586" i="2"/>
  <c r="AE599" i="2" s="1"/>
  <c r="AE633" i="2" s="1"/>
  <c r="AD586" i="2"/>
  <c r="AD599" i="2" s="1"/>
  <c r="AD633" i="2" s="1"/>
  <c r="AC586" i="2"/>
  <c r="AK586" i="2"/>
  <c r="AK599" i="2" s="1"/>
  <c r="AK633" i="2" s="1"/>
  <c r="AH586" i="2"/>
  <c r="AH599" i="2" s="1"/>
  <c r="AH633" i="2" s="1"/>
  <c r="AG586" i="2"/>
  <c r="AG599" i="2" s="1"/>
  <c r="AG633" i="2" s="1"/>
  <c r="AL223" i="2"/>
  <c r="AO223" i="2" s="1"/>
  <c r="AP223" i="2" s="1"/>
  <c r="AQ223" i="2" s="1"/>
  <c r="AR223" i="2" s="1"/>
  <c r="AS223" i="2" s="1"/>
  <c r="AL217" i="2"/>
  <c r="AO217" i="2" s="1"/>
  <c r="AP217" i="2" s="1"/>
  <c r="AQ217" i="2" s="1"/>
  <c r="AR217" i="2" s="1"/>
  <c r="AS217" i="2" s="1"/>
  <c r="AC227" i="2"/>
  <c r="AJ176" i="2"/>
  <c r="AJ190" i="2" s="1"/>
  <c r="AF176" i="2"/>
  <c r="AF190" i="2" s="1"/>
  <c r="AB176" i="2"/>
  <c r="AH176" i="2"/>
  <c r="AH190" i="2" s="1"/>
  <c r="AD176" i="2"/>
  <c r="AD190" i="2" s="1"/>
  <c r="AG176" i="2"/>
  <c r="AG190" i="2" s="1"/>
  <c r="AE176" i="2"/>
  <c r="AE190" i="2" s="1"/>
  <c r="AK176" i="2"/>
  <c r="AK190" i="2" s="1"/>
  <c r="AC176" i="2"/>
  <c r="AI176" i="2"/>
  <c r="AI190" i="2" s="1"/>
  <c r="AF360" i="2"/>
  <c r="AF394" i="2" s="1"/>
  <c r="AB475" i="2"/>
  <c r="AL177" i="2"/>
  <c r="AO177" i="2" s="1"/>
  <c r="AP177" i="2" s="1"/>
  <c r="AQ177" i="2" s="1"/>
  <c r="AR177" i="2" s="1"/>
  <c r="AS177" i="2" s="1"/>
  <c r="T1216" i="1"/>
  <c r="AG1082" i="1"/>
  <c r="AM695" i="1"/>
  <c r="AP695" i="1" s="1"/>
  <c r="AQ695" i="1" s="1"/>
  <c r="AR695" i="1" s="1"/>
  <c r="AV695" i="1" s="1"/>
  <c r="AX695" i="1" s="1"/>
  <c r="AF948" i="1"/>
  <c r="S1347" i="1"/>
  <c r="AJ1152" i="1"/>
  <c r="AM1098" i="1"/>
  <c r="AP1098" i="1" s="1"/>
  <c r="AQ1098" i="1" s="1"/>
  <c r="AR1098" i="1" s="1"/>
  <c r="AV1098" i="1" s="1"/>
  <c r="AX1098" i="1" s="1"/>
  <c r="AM1049" i="1"/>
  <c r="AP1049" i="1" s="1"/>
  <c r="AQ1049" i="1" s="1"/>
  <c r="AR1049" i="1" s="1"/>
  <c r="AV1049" i="1" s="1"/>
  <c r="AX1049" i="1" s="1"/>
  <c r="AI736" i="1"/>
  <c r="AH224" i="1"/>
  <c r="AD214" i="1"/>
  <c r="AG214" i="1"/>
  <c r="AG228" i="1" s="1"/>
  <c r="AL138" i="1"/>
  <c r="AM1136" i="1"/>
  <c r="AP1136" i="1" s="1"/>
  <c r="AQ1136" i="1" s="1"/>
  <c r="AR1136" i="1" s="1"/>
  <c r="AV1136" i="1" s="1"/>
  <c r="AX1136" i="1" s="1"/>
  <c r="AM1128" i="1"/>
  <c r="AP1128" i="1" s="1"/>
  <c r="AQ1128" i="1" s="1"/>
  <c r="AR1128" i="1" s="1"/>
  <c r="AV1128" i="1" s="1"/>
  <c r="AX1128" i="1" s="1"/>
  <c r="AE1152" i="1"/>
  <c r="AM1105" i="1"/>
  <c r="AP1105" i="1" s="1"/>
  <c r="AQ1105" i="1" s="1"/>
  <c r="AR1105" i="1" s="1"/>
  <c r="AV1105" i="1" s="1"/>
  <c r="AX1105" i="1" s="1"/>
  <c r="AD1071" i="1"/>
  <c r="AH921" i="1"/>
  <c r="K636" i="1"/>
  <c r="N1404" i="1"/>
  <c r="Y1404" i="1"/>
  <c r="AM1075" i="1"/>
  <c r="AP1075" i="1" s="1"/>
  <c r="Q1349" i="1"/>
  <c r="AM1171" i="1"/>
  <c r="AP1171" i="1" s="1"/>
  <c r="AQ1171" i="1" s="1"/>
  <c r="AR1171" i="1" s="1"/>
  <c r="AV1171" i="1" s="1"/>
  <c r="AC1152" i="1"/>
  <c r="AM1126" i="1"/>
  <c r="AP1126" i="1" s="1"/>
  <c r="AQ1126" i="1" s="1"/>
  <c r="AR1126" i="1" s="1"/>
  <c r="AV1126" i="1" s="1"/>
  <c r="AX1126" i="1" s="1"/>
  <c r="AI1005" i="1"/>
  <c r="AJ736" i="1"/>
  <c r="AM91" i="1"/>
  <c r="AM1052" i="1"/>
  <c r="AP1052" i="1" s="1"/>
  <c r="AQ1052" i="1" s="1"/>
  <c r="AR1052" i="1" s="1"/>
  <c r="AV1052" i="1" s="1"/>
  <c r="AX1052" i="1" s="1"/>
  <c r="AM989" i="1"/>
  <c r="AP989" i="1" s="1"/>
  <c r="AQ989" i="1" s="1"/>
  <c r="AR989" i="1" s="1"/>
  <c r="AV989" i="1" s="1"/>
  <c r="AX989" i="1" s="1"/>
  <c r="D636" i="1"/>
  <c r="AJ214" i="1"/>
  <c r="AD1172" i="1"/>
  <c r="AM1107" i="1"/>
  <c r="AP1107" i="1" s="1"/>
  <c r="AQ1107" i="1" s="1"/>
  <c r="AR1107" i="1" s="1"/>
  <c r="AV1107" i="1" s="1"/>
  <c r="AX1107" i="1" s="1"/>
  <c r="AK1172" i="1"/>
  <c r="AD1082" i="1"/>
  <c r="AC921" i="1"/>
  <c r="AM629" i="1"/>
  <c r="AM619" i="1"/>
  <c r="AM622" i="1"/>
  <c r="AM616" i="1"/>
  <c r="AP616" i="1" s="1"/>
  <c r="AQ616" i="1" s="1"/>
  <c r="AR616" i="1" s="1"/>
  <c r="AS616" i="1" s="1"/>
  <c r="AT616" i="1" s="1"/>
  <c r="AM609" i="1"/>
  <c r="AP609" i="1" s="1"/>
  <c r="AQ609" i="1" s="1"/>
  <c r="AR609" i="1" s="1"/>
  <c r="AS609" i="1" s="1"/>
  <c r="AT609" i="1" s="1"/>
  <c r="AM605" i="1"/>
  <c r="AM565" i="1"/>
  <c r="AM562" i="1"/>
  <c r="G636" i="1"/>
  <c r="AM524" i="1"/>
  <c r="AM520" i="1"/>
  <c r="AM516" i="1"/>
  <c r="AP516" i="1" s="1"/>
  <c r="AQ516" i="1" s="1"/>
  <c r="AR516" i="1" s="1"/>
  <c r="AS516" i="1" s="1"/>
  <c r="AT516" i="1" s="1"/>
  <c r="AM512" i="1"/>
  <c r="AP512" i="1" s="1"/>
  <c r="AQ512" i="1" s="1"/>
  <c r="AR512" i="1" s="1"/>
  <c r="AS512" i="1" s="1"/>
  <c r="AT512" i="1" s="1"/>
  <c r="AM336" i="1"/>
  <c r="AM320" i="1"/>
  <c r="AD117" i="1"/>
  <c r="AM1190" i="1"/>
  <c r="AP1190" i="1" s="1"/>
  <c r="AQ1190" i="1" s="1"/>
  <c r="AR1190" i="1" s="1"/>
  <c r="AV1190" i="1" s="1"/>
  <c r="AX1190" i="1" s="1"/>
  <c r="AD902" i="1"/>
  <c r="E636" i="1"/>
  <c r="AL1082" i="1"/>
  <c r="AJ1082" i="1"/>
  <c r="AM1249" i="1"/>
  <c r="AG1071" i="1"/>
  <c r="AM590" i="1"/>
  <c r="AP590" i="1" s="1"/>
  <c r="AQ590" i="1" s="1"/>
  <c r="AR590" i="1" s="1"/>
  <c r="AS590" i="1" s="1"/>
  <c r="AT590" i="1" s="1"/>
  <c r="AL948" i="1"/>
  <c r="AF885" i="1"/>
  <c r="AM884" i="1"/>
  <c r="AM498" i="1"/>
  <c r="AP498" i="1" s="1"/>
  <c r="AQ498" i="1" s="1"/>
  <c r="AR498" i="1" s="1"/>
  <c r="AS498" i="1" s="1"/>
  <c r="AT498" i="1" s="1"/>
  <c r="AM494" i="1"/>
  <c r="AP494" i="1" s="1"/>
  <c r="AQ494" i="1" s="1"/>
  <c r="AR494" i="1" s="1"/>
  <c r="AS494" i="1" s="1"/>
  <c r="AT494" i="1" s="1"/>
  <c r="AM490" i="1"/>
  <c r="AK218" i="1"/>
  <c r="AD224" i="1"/>
  <c r="AI224" i="1"/>
  <c r="AK224" i="1"/>
  <c r="AE224" i="1"/>
  <c r="AH138" i="1"/>
  <c r="AC138" i="1"/>
  <c r="AI138" i="1"/>
  <c r="AD138" i="1"/>
  <c r="AJ138" i="1"/>
  <c r="AK167" i="1"/>
  <c r="AK174" i="1" s="1"/>
  <c r="AG167" i="1"/>
  <c r="AC167" i="1"/>
  <c r="AE167" i="1"/>
  <c r="AE174" i="1" s="1"/>
  <c r="AL167" i="1"/>
  <c r="AL174" i="1" s="1"/>
  <c r="AI167" i="1"/>
  <c r="AI174" i="1" s="1"/>
  <c r="W1319" i="1"/>
  <c r="S1302" i="1"/>
  <c r="AM1080" i="1"/>
  <c r="AP1080" i="1" s="1"/>
  <c r="AQ1080" i="1" s="1"/>
  <c r="AR1080" i="1" s="1"/>
  <c r="AV1080" i="1" s="1"/>
  <c r="AX1080" i="1" s="1"/>
  <c r="AI1071" i="1"/>
  <c r="AM957" i="1"/>
  <c r="AP957" i="1" s="1"/>
  <c r="AQ957" i="1" s="1"/>
  <c r="AR957" i="1" s="1"/>
  <c r="AV957" i="1" s="1"/>
  <c r="AX957" i="1" s="1"/>
  <c r="AK736" i="1"/>
  <c r="AM621" i="1"/>
  <c r="AP621" i="1" s="1"/>
  <c r="AQ621" i="1" s="1"/>
  <c r="AR621" i="1" s="1"/>
  <c r="AS621" i="1" s="1"/>
  <c r="AT621" i="1" s="1"/>
  <c r="AM597" i="1"/>
  <c r="AP597" i="1" s="1"/>
  <c r="AQ597" i="1" s="1"/>
  <c r="AR597" i="1" s="1"/>
  <c r="AS597" i="1" s="1"/>
  <c r="AT597" i="1" s="1"/>
  <c r="AM318" i="1"/>
  <c r="AP318" i="1" s="1"/>
  <c r="AQ318" i="1" s="1"/>
  <c r="AR318" i="1" s="1"/>
  <c r="AS318" i="1" s="1"/>
  <c r="AT318" i="1" s="1"/>
  <c r="AM268" i="1"/>
  <c r="AP268" i="1" s="1"/>
  <c r="AQ268" i="1" s="1"/>
  <c r="AR268" i="1" s="1"/>
  <c r="AS268" i="1" s="1"/>
  <c r="AT268" i="1" s="1"/>
  <c r="AM257" i="1"/>
  <c r="AP257" i="1" s="1"/>
  <c r="AQ257" i="1" s="1"/>
  <c r="AR257" i="1" s="1"/>
  <c r="AS257" i="1" s="1"/>
  <c r="AT257" i="1" s="1"/>
  <c r="AM254" i="1"/>
  <c r="AM240" i="1"/>
  <c r="AM232" i="1"/>
  <c r="AP232" i="1" s="1"/>
  <c r="AQ232" i="1" s="1"/>
  <c r="AR232" i="1" s="1"/>
  <c r="AS232" i="1" s="1"/>
  <c r="AT232" i="1" s="1"/>
  <c r="AJ224" i="1"/>
  <c r="AJ228" i="1" s="1"/>
  <c r="AL224" i="1"/>
  <c r="AG138" i="1"/>
  <c r="AM209" i="1"/>
  <c r="AM205" i="1"/>
  <c r="AP205" i="1" s="1"/>
  <c r="AQ205" i="1" s="1"/>
  <c r="AR205" i="1" s="1"/>
  <c r="AS205" i="1" s="1"/>
  <c r="AT205" i="1" s="1"/>
  <c r="AM201" i="1"/>
  <c r="AM184" i="1"/>
  <c r="AP184" i="1" s="1"/>
  <c r="AQ184" i="1" s="1"/>
  <c r="AR184" i="1" s="1"/>
  <c r="AS184" i="1" s="1"/>
  <c r="AT184" i="1" s="1"/>
  <c r="R146" i="1"/>
  <c r="AH1082" i="1"/>
  <c r="AL754" i="1"/>
  <c r="AK221" i="1"/>
  <c r="AF221" i="1"/>
  <c r="AI221" i="1"/>
  <c r="AG221" i="1"/>
  <c r="AL221" i="1"/>
  <c r="AE221" i="1"/>
  <c r="AM221" i="1" s="1"/>
  <c r="AP221" i="1" s="1"/>
  <c r="AQ221" i="1" s="1"/>
  <c r="AR221" i="1" s="1"/>
  <c r="AS221" i="1" s="1"/>
  <c r="AT221" i="1" s="1"/>
  <c r="AC117" i="1"/>
  <c r="AE117" i="1"/>
  <c r="AJ117" i="1"/>
  <c r="AL117" i="1"/>
  <c r="AC711" i="1"/>
  <c r="AC848" i="1" s="1"/>
  <c r="S488" i="1"/>
  <c r="R499" i="1"/>
  <c r="AF218" i="1"/>
  <c r="AG218" i="1"/>
  <c r="AD218" i="1"/>
  <c r="AI218" i="1"/>
  <c r="AI228" i="1" s="1"/>
  <c r="AC218" i="1"/>
  <c r="AC228" i="1" s="1"/>
  <c r="AH944" i="1"/>
  <c r="AH948" i="1" s="1"/>
  <c r="AK944" i="1"/>
  <c r="AK948" i="1" s="1"/>
  <c r="AE944" i="1"/>
  <c r="AE948" i="1" s="1"/>
  <c r="AC944" i="1"/>
  <c r="AC948" i="1" s="1"/>
  <c r="AD944" i="1"/>
  <c r="AG944" i="1"/>
  <c r="AG948" i="1" s="1"/>
  <c r="AI944" i="1"/>
  <c r="AI948" i="1" s="1"/>
  <c r="W948" i="1"/>
  <c r="W1174" i="1" s="1"/>
  <c r="AL944" i="1"/>
  <c r="AM977" i="1"/>
  <c r="AP977" i="1" s="1"/>
  <c r="AQ977" i="1" s="1"/>
  <c r="AR977" i="1" s="1"/>
  <c r="AV977" i="1" s="1"/>
  <c r="AX977" i="1" s="1"/>
  <c r="AL1005" i="1"/>
  <c r="Q1174" i="1"/>
  <c r="AM986" i="1"/>
  <c r="AP986" i="1" s="1"/>
  <c r="AQ986" i="1" s="1"/>
  <c r="AR986" i="1" s="1"/>
  <c r="AV986" i="1" s="1"/>
  <c r="AW986" i="1" s="1"/>
  <c r="AM617" i="1"/>
  <c r="AM596" i="1"/>
  <c r="AM563" i="1"/>
  <c r="AP563" i="1" s="1"/>
  <c r="AQ563" i="1" s="1"/>
  <c r="AR563" i="1" s="1"/>
  <c r="AS563" i="1" s="1"/>
  <c r="AT563" i="1" s="1"/>
  <c r="AM529" i="1"/>
  <c r="AP529" i="1" s="1"/>
  <c r="AQ529" i="1" s="1"/>
  <c r="AR529" i="1" s="1"/>
  <c r="AS529" i="1" s="1"/>
  <c r="AT529" i="1" s="1"/>
  <c r="AM547" i="1"/>
  <c r="AP547" i="1" s="1"/>
  <c r="AQ547" i="1" s="1"/>
  <c r="AR547" i="1" s="1"/>
  <c r="AS547" i="1" s="1"/>
  <c r="AT547" i="1" s="1"/>
  <c r="AM1363" i="1"/>
  <c r="R1302" i="1"/>
  <c r="F1404" i="1"/>
  <c r="AE1172" i="1"/>
  <c r="AM1163" i="1"/>
  <c r="AP1163" i="1" s="1"/>
  <c r="AQ1163" i="1" s="1"/>
  <c r="AR1163" i="1" s="1"/>
  <c r="AV1163" i="1" s="1"/>
  <c r="AX1163" i="1" s="1"/>
  <c r="AK1082" i="1"/>
  <c r="AM1037" i="1"/>
  <c r="AP1037" i="1" s="1"/>
  <c r="AQ1037" i="1" s="1"/>
  <c r="AR1037" i="1" s="1"/>
  <c r="AV1037" i="1" s="1"/>
  <c r="AW1037" i="1" s="1"/>
  <c r="AJ1071" i="1"/>
  <c r="AJ944" i="1"/>
  <c r="AJ948" i="1" s="1"/>
  <c r="AM681" i="1"/>
  <c r="AP681" i="1" s="1"/>
  <c r="AQ681" i="1" s="1"/>
  <c r="AR681" i="1" s="1"/>
  <c r="AV681" i="1" s="1"/>
  <c r="AX681" i="1" s="1"/>
  <c r="AM470" i="1"/>
  <c r="AP470" i="1" s="1"/>
  <c r="AQ470" i="1" s="1"/>
  <c r="AR470" i="1" s="1"/>
  <c r="AS470" i="1" s="1"/>
  <c r="AT470" i="1" s="1"/>
  <c r="AM392" i="1"/>
  <c r="AM388" i="1"/>
  <c r="AP388" i="1" s="1"/>
  <c r="AQ388" i="1" s="1"/>
  <c r="AR388" i="1" s="1"/>
  <c r="AS388" i="1" s="1"/>
  <c r="AT388" i="1" s="1"/>
  <c r="AM384" i="1"/>
  <c r="AP384" i="1" s="1"/>
  <c r="AQ384" i="1" s="1"/>
  <c r="AR384" i="1" s="1"/>
  <c r="AS384" i="1" s="1"/>
  <c r="AT384" i="1" s="1"/>
  <c r="AM376" i="1"/>
  <c r="AM368" i="1"/>
  <c r="AM337" i="1"/>
  <c r="AM329" i="1"/>
  <c r="AP329" i="1" s="1"/>
  <c r="AQ329" i="1" s="1"/>
  <c r="AR329" i="1" s="1"/>
  <c r="AS329" i="1" s="1"/>
  <c r="AT329" i="1" s="1"/>
  <c r="AM321" i="1"/>
  <c r="AP321" i="1" s="1"/>
  <c r="AQ321" i="1" s="1"/>
  <c r="AR321" i="1" s="1"/>
  <c r="AS321" i="1" s="1"/>
  <c r="AT321" i="1" s="1"/>
  <c r="R312" i="1"/>
  <c r="P636" i="1"/>
  <c r="AF167" i="1"/>
  <c r="AJ167" i="1"/>
  <c r="AJ174" i="1" s="1"/>
  <c r="AC224" i="1"/>
  <c r="AK138" i="1"/>
  <c r="AM68" i="1"/>
  <c r="AP68" i="1" s="1"/>
  <c r="AQ68" i="1" s="1"/>
  <c r="AR68" i="1" s="1"/>
  <c r="AS68" i="1" s="1"/>
  <c r="AT68" i="1" s="1"/>
  <c r="AH218" i="1"/>
  <c r="AJ218" i="1"/>
  <c r="AM52" i="1"/>
  <c r="AP52" i="1" s="1"/>
  <c r="AQ52" i="1" s="1"/>
  <c r="AR52" i="1" s="1"/>
  <c r="AS52" i="1" s="1"/>
  <c r="AT52" i="1" s="1"/>
  <c r="AM48" i="1"/>
  <c r="AP48" i="1" s="1"/>
  <c r="AQ48" i="1" s="1"/>
  <c r="AR48" i="1" s="1"/>
  <c r="AS48" i="1" s="1"/>
  <c r="AT48" i="1" s="1"/>
  <c r="AM44" i="1"/>
  <c r="AM40" i="1"/>
  <c r="J1404" i="1"/>
  <c r="P1404" i="1"/>
  <c r="AH214" i="1"/>
  <c r="AE214" i="1"/>
  <c r="AK214" i="1"/>
  <c r="AK228" i="1" s="1"/>
  <c r="AL214" i="1"/>
  <c r="AL228" i="1" s="1"/>
  <c r="AI214" i="1"/>
  <c r="AM1077" i="1"/>
  <c r="AP1077" i="1" s="1"/>
  <c r="AQ1077" i="1" s="1"/>
  <c r="AR1077" i="1" s="1"/>
  <c r="AV1077" i="1" s="1"/>
  <c r="AX1077" i="1" s="1"/>
  <c r="AK1071" i="1"/>
  <c r="AM1031" i="1"/>
  <c r="AP1031" i="1" s="1"/>
  <c r="AQ1031" i="1" s="1"/>
  <c r="AR1031" i="1" s="1"/>
  <c r="AV1031" i="1" s="1"/>
  <c r="AX1031" i="1" s="1"/>
  <c r="AM1025" i="1"/>
  <c r="AP1025" i="1" s="1"/>
  <c r="AQ1025" i="1" s="1"/>
  <c r="AR1025" i="1" s="1"/>
  <c r="AV1025" i="1" s="1"/>
  <c r="AX1025" i="1" s="1"/>
  <c r="AC1071" i="1"/>
  <c r="AL1071" i="1"/>
  <c r="AM1043" i="1"/>
  <c r="AP1043" i="1" s="1"/>
  <c r="AQ1043" i="1" s="1"/>
  <c r="AR1043" i="1" s="1"/>
  <c r="AV1043" i="1" s="1"/>
  <c r="AX1043" i="1" s="1"/>
  <c r="AE1071" i="1"/>
  <c r="AM1017" i="1"/>
  <c r="AP1017" i="1" s="1"/>
  <c r="AQ1017" i="1" s="1"/>
  <c r="AR1017" i="1" s="1"/>
  <c r="AV1017" i="1" s="1"/>
  <c r="AX1017" i="1" s="1"/>
  <c r="AF1071" i="1"/>
  <c r="AM998" i="1"/>
  <c r="AP998" i="1" s="1"/>
  <c r="AQ998" i="1" s="1"/>
  <c r="AR998" i="1" s="1"/>
  <c r="AV998" i="1" s="1"/>
  <c r="AW998" i="1" s="1"/>
  <c r="AM981" i="1"/>
  <c r="AP981" i="1" s="1"/>
  <c r="AQ981" i="1" s="1"/>
  <c r="AR981" i="1" s="1"/>
  <c r="AV981" i="1" s="1"/>
  <c r="AX981" i="1" s="1"/>
  <c r="AK1005" i="1"/>
  <c r="M1404" i="1"/>
  <c r="AG921" i="1"/>
  <c r="AH1005" i="1"/>
  <c r="AM900" i="1"/>
  <c r="AP900" i="1" s="1"/>
  <c r="AQ900" i="1" s="1"/>
  <c r="AR900" i="1" s="1"/>
  <c r="AM735" i="1"/>
  <c r="AP735" i="1" s="1"/>
  <c r="AQ735" i="1" s="1"/>
  <c r="AR735" i="1" s="1"/>
  <c r="AV735" i="1" s="1"/>
  <c r="AX735" i="1" s="1"/>
  <c r="AH711" i="1"/>
  <c r="AJ754" i="1"/>
  <c r="W848" i="1"/>
  <c r="AI711" i="1"/>
  <c r="AI848" i="1" s="1"/>
  <c r="AM532" i="1"/>
  <c r="AP532" i="1" s="1"/>
  <c r="AQ532" i="1" s="1"/>
  <c r="AR532" i="1" s="1"/>
  <c r="AS532" i="1" s="1"/>
  <c r="AT532" i="1" s="1"/>
  <c r="AM528" i="1"/>
  <c r="AM413" i="1"/>
  <c r="AM409" i="1"/>
  <c r="AP409" i="1" s="1"/>
  <c r="AQ409" i="1" s="1"/>
  <c r="AR409" i="1" s="1"/>
  <c r="AS409" i="1" s="1"/>
  <c r="AT409" i="1" s="1"/>
  <c r="AM188" i="1"/>
  <c r="AP188" i="1" s="1"/>
  <c r="AQ188" i="1" s="1"/>
  <c r="AR188" i="1" s="1"/>
  <c r="AS188" i="1" s="1"/>
  <c r="AT188" i="1" s="1"/>
  <c r="AM157" i="1"/>
  <c r="AM143" i="1"/>
  <c r="AM129" i="1"/>
  <c r="AM126" i="1"/>
  <c r="AM123" i="1"/>
  <c r="AM108" i="1"/>
  <c r="AM105" i="1"/>
  <c r="AM102" i="1"/>
  <c r="AM88" i="1"/>
  <c r="AM76" i="1"/>
  <c r="AM64" i="1"/>
  <c r="AP64" i="1" s="1"/>
  <c r="AQ64" i="1" s="1"/>
  <c r="AR64" i="1" s="1"/>
  <c r="AS64" i="1" s="1"/>
  <c r="AT64" i="1" s="1"/>
  <c r="AM56" i="1"/>
  <c r="AP56" i="1" s="1"/>
  <c r="AQ56" i="1" s="1"/>
  <c r="AR56" i="1" s="1"/>
  <c r="AS56" i="1" s="1"/>
  <c r="AT56" i="1" s="1"/>
  <c r="AM25" i="1"/>
  <c r="AM32" i="1"/>
  <c r="AP32" i="1" s="1"/>
  <c r="AQ32" i="1" s="1"/>
  <c r="AR32" i="1" s="1"/>
  <c r="AS32" i="1" s="1"/>
  <c r="AT32" i="1" s="1"/>
  <c r="AM18" i="1"/>
  <c r="AP18" i="1" s="1"/>
  <c r="AQ18" i="1" s="1"/>
  <c r="AR18" i="1" s="1"/>
  <c r="AS18" i="1" s="1"/>
  <c r="AT18" i="1" s="1"/>
  <c r="H1404" i="1"/>
  <c r="AL711" i="1"/>
  <c r="J636" i="1"/>
  <c r="AI1082" i="1"/>
  <c r="AM1130" i="1"/>
  <c r="AP1130" i="1" s="1"/>
  <c r="AQ1130" i="1" s="1"/>
  <c r="AR1130" i="1" s="1"/>
  <c r="AV1130" i="1" s="1"/>
  <c r="AX1130" i="1" s="1"/>
  <c r="AM1103" i="1"/>
  <c r="AP1103" i="1" s="1"/>
  <c r="AQ1103" i="1" s="1"/>
  <c r="AR1103" i="1" s="1"/>
  <c r="AV1103" i="1" s="1"/>
  <c r="AX1103" i="1" s="1"/>
  <c r="AH1172" i="1"/>
  <c r="AG1172" i="1"/>
  <c r="AL1172" i="1"/>
  <c r="AJ1141" i="1"/>
  <c r="AM1169" i="1"/>
  <c r="AP1169" i="1" s="1"/>
  <c r="AQ1169" i="1" s="1"/>
  <c r="AR1169" i="1" s="1"/>
  <c r="AV1169" i="1" s="1"/>
  <c r="AX1169" i="1" s="1"/>
  <c r="AJ1172" i="1"/>
  <c r="AM1138" i="1"/>
  <c r="AP1138" i="1" s="1"/>
  <c r="AQ1138" i="1" s="1"/>
  <c r="AR1138" i="1" s="1"/>
  <c r="AV1138" i="1" s="1"/>
  <c r="AW1138" i="1" s="1"/>
  <c r="AH1071" i="1"/>
  <c r="AM997" i="1"/>
  <c r="AP997" i="1" s="1"/>
  <c r="AQ997" i="1" s="1"/>
  <c r="AR997" i="1" s="1"/>
  <c r="AV997" i="1" s="1"/>
  <c r="AX997" i="1" s="1"/>
  <c r="AF1005" i="1"/>
  <c r="AM1047" i="1"/>
  <c r="AP1047" i="1" s="1"/>
  <c r="AQ1047" i="1" s="1"/>
  <c r="AR1047" i="1" s="1"/>
  <c r="AV1047" i="1" s="1"/>
  <c r="AX1047" i="1" s="1"/>
  <c r="AM1041" i="1"/>
  <c r="AP1041" i="1" s="1"/>
  <c r="AQ1041" i="1" s="1"/>
  <c r="AR1041" i="1" s="1"/>
  <c r="AV1041" i="1" s="1"/>
  <c r="AX1041" i="1" s="1"/>
  <c r="AM1023" i="1"/>
  <c r="AP1023" i="1" s="1"/>
  <c r="AQ1023" i="1" s="1"/>
  <c r="AR1023" i="1" s="1"/>
  <c r="AV1023" i="1" s="1"/>
  <c r="AX1023" i="1" s="1"/>
  <c r="I1404" i="1"/>
  <c r="AM811" i="1"/>
  <c r="AP811" i="1" s="1"/>
  <c r="AQ811" i="1" s="1"/>
  <c r="AR811" i="1" s="1"/>
  <c r="AV811" i="1" s="1"/>
  <c r="AE846" i="1"/>
  <c r="AL846" i="1"/>
  <c r="AM733" i="1"/>
  <c r="AP733" i="1" s="1"/>
  <c r="AQ733" i="1" s="1"/>
  <c r="AR733" i="1" s="1"/>
  <c r="AV733" i="1" s="1"/>
  <c r="AX733" i="1" s="1"/>
  <c r="AD711" i="1"/>
  <c r="AI817" i="1"/>
  <c r="AC846" i="1"/>
  <c r="AF754" i="1"/>
  <c r="AE711" i="1"/>
  <c r="AM683" i="1"/>
  <c r="AP683" i="1" s="1"/>
  <c r="AQ683" i="1" s="1"/>
  <c r="AR683" i="1" s="1"/>
  <c r="AV683" i="1" s="1"/>
  <c r="AX683" i="1" s="1"/>
  <c r="AM618" i="1"/>
  <c r="AP618" i="1" s="1"/>
  <c r="AQ618" i="1" s="1"/>
  <c r="AR618" i="1" s="1"/>
  <c r="AS618" i="1" s="1"/>
  <c r="AT618" i="1" s="1"/>
  <c r="AM592" i="1"/>
  <c r="AP592" i="1" s="1"/>
  <c r="AM588" i="1"/>
  <c r="AM540" i="1"/>
  <c r="O636" i="1"/>
  <c r="AM462" i="1"/>
  <c r="AP462" i="1" s="1"/>
  <c r="AQ462" i="1" s="1"/>
  <c r="AR462" i="1" s="1"/>
  <c r="AS462" i="1" s="1"/>
  <c r="AT462" i="1" s="1"/>
  <c r="AM442" i="1"/>
  <c r="AP442" i="1" s="1"/>
  <c r="AQ442" i="1" s="1"/>
  <c r="AR442" i="1" s="1"/>
  <c r="AS442" i="1" s="1"/>
  <c r="AT442" i="1" s="1"/>
  <c r="AM341" i="1"/>
  <c r="AM333" i="1"/>
  <c r="AM325" i="1"/>
  <c r="AP325" i="1" s="1"/>
  <c r="AQ325" i="1" s="1"/>
  <c r="AR325" i="1" s="1"/>
  <c r="AS325" i="1" s="1"/>
  <c r="AT325" i="1" s="1"/>
  <c r="AM308" i="1"/>
  <c r="AP308" i="1" s="1"/>
  <c r="AQ308" i="1" s="1"/>
  <c r="AR308" i="1" s="1"/>
  <c r="AS308" i="1" s="1"/>
  <c r="AT308" i="1" s="1"/>
  <c r="AM410" i="1"/>
  <c r="AM406" i="1"/>
  <c r="AV636" i="1"/>
  <c r="AM344" i="1"/>
  <c r="AM252" i="1"/>
  <c r="AM249" i="1"/>
  <c r="AM225" i="1"/>
  <c r="AP225" i="1" s="1"/>
  <c r="AQ225" i="1" s="1"/>
  <c r="AR225" i="1" s="1"/>
  <c r="AS225" i="1" s="1"/>
  <c r="AT225" i="1" s="1"/>
  <c r="AM153" i="1"/>
  <c r="AM124" i="1"/>
  <c r="AP124" i="1" s="1"/>
  <c r="AQ124" i="1" s="1"/>
  <c r="AR124" i="1" s="1"/>
  <c r="AS124" i="1" s="1"/>
  <c r="AT124" i="1" s="1"/>
  <c r="AM168" i="1"/>
  <c r="AP168" i="1" s="1"/>
  <c r="AQ168" i="1" s="1"/>
  <c r="AR168" i="1" s="1"/>
  <c r="AS168" i="1" s="1"/>
  <c r="AT168" i="1" s="1"/>
  <c r="AM152" i="1"/>
  <c r="AP152" i="1" s="1"/>
  <c r="AQ152" i="1" s="1"/>
  <c r="AR152" i="1" s="1"/>
  <c r="AS152" i="1" s="1"/>
  <c r="AT152" i="1" s="1"/>
  <c r="AM131" i="1"/>
  <c r="AM100" i="1"/>
  <c r="AM93" i="1"/>
  <c r="AP93" i="1" s="1"/>
  <c r="AQ93" i="1" s="1"/>
  <c r="AR93" i="1" s="1"/>
  <c r="AS93" i="1" s="1"/>
  <c r="AT93" i="1" s="1"/>
  <c r="AM90" i="1"/>
  <c r="AP90" i="1" s="1"/>
  <c r="AQ90" i="1" s="1"/>
  <c r="AR90" i="1" s="1"/>
  <c r="AS90" i="1" s="1"/>
  <c r="AT90" i="1" s="1"/>
  <c r="AM85" i="1"/>
  <c r="AP85" i="1" s="1"/>
  <c r="AQ85" i="1" s="1"/>
  <c r="AR85" i="1" s="1"/>
  <c r="AS85" i="1" s="1"/>
  <c r="AT85" i="1" s="1"/>
  <c r="AM81" i="1"/>
  <c r="AP81" i="1" s="1"/>
  <c r="AQ81" i="1" s="1"/>
  <c r="AR81" i="1" s="1"/>
  <c r="AS81" i="1" s="1"/>
  <c r="AT81" i="1" s="1"/>
  <c r="AM17" i="1"/>
  <c r="AP17" i="1" s="1"/>
  <c r="AQ17" i="1" s="1"/>
  <c r="AR17" i="1" s="1"/>
  <c r="AS17" i="1" s="1"/>
  <c r="AT17" i="1" s="1"/>
  <c r="AM65" i="1"/>
  <c r="AP65" i="1" s="1"/>
  <c r="AQ65" i="1" s="1"/>
  <c r="AR65" i="1" s="1"/>
  <c r="AS65" i="1" s="1"/>
  <c r="AT65" i="1" s="1"/>
  <c r="AM54" i="1"/>
  <c r="AM45" i="1"/>
  <c r="AP45" i="1" s="1"/>
  <c r="AQ45" i="1" s="1"/>
  <c r="AR45" i="1" s="1"/>
  <c r="AS45" i="1" s="1"/>
  <c r="AT45" i="1" s="1"/>
  <c r="AM53" i="1"/>
  <c r="AP53" i="1" s="1"/>
  <c r="AQ53" i="1" s="1"/>
  <c r="AR53" i="1" s="1"/>
  <c r="AS53" i="1" s="1"/>
  <c r="AT53" i="1" s="1"/>
  <c r="AM57" i="1"/>
  <c r="AM50" i="1"/>
  <c r="AM46" i="1"/>
  <c r="AP46" i="1" s="1"/>
  <c r="AQ46" i="1" s="1"/>
  <c r="AR46" i="1" s="1"/>
  <c r="AS46" i="1" s="1"/>
  <c r="AT46" i="1" s="1"/>
  <c r="AM42" i="1"/>
  <c r="AP42" i="1" s="1"/>
  <c r="AQ42" i="1" s="1"/>
  <c r="AR42" i="1" s="1"/>
  <c r="AS42" i="1" s="1"/>
  <c r="AT42" i="1" s="1"/>
  <c r="AM15" i="1"/>
  <c r="AP15" i="1" s="1"/>
  <c r="AQ15" i="1" s="1"/>
  <c r="AR15" i="1" s="1"/>
  <c r="AS15" i="1" s="1"/>
  <c r="AT15" i="1" s="1"/>
  <c r="D1404" i="1"/>
  <c r="AL921" i="1"/>
  <c r="AG711" i="1"/>
  <c r="F636" i="1"/>
  <c r="AX636" i="1"/>
  <c r="AK846" i="1"/>
  <c r="U1404" i="1"/>
  <c r="AX1037" i="1"/>
  <c r="AX765" i="1"/>
  <c r="AW765" i="1"/>
  <c r="AW766" i="1" s="1"/>
  <c r="AX705" i="1"/>
  <c r="AW705" i="1"/>
  <c r="AW1077" i="1"/>
  <c r="AW1082" i="1" s="1"/>
  <c r="AX998" i="1"/>
  <c r="AX1171" i="1"/>
  <c r="AW1171" i="1"/>
  <c r="AW1172" i="1" s="1"/>
  <c r="AW1064" i="1"/>
  <c r="AX1064" i="1"/>
  <c r="T1347" i="1"/>
  <c r="AM1238" i="1"/>
  <c r="AP1238" i="1" s="1"/>
  <c r="AQ1238" i="1" s="1"/>
  <c r="AR1238" i="1" s="1"/>
  <c r="AV1238" i="1" s="1"/>
  <c r="AX1238" i="1" s="1"/>
  <c r="AH1240" i="1"/>
  <c r="AH1319" i="1" s="1"/>
  <c r="AG1240" i="1"/>
  <c r="AG1319" i="1" s="1"/>
  <c r="S1273" i="1"/>
  <c r="T1267" i="1"/>
  <c r="T1273" i="1" s="1"/>
  <c r="AM1147" i="1"/>
  <c r="AP1147" i="1" s="1"/>
  <c r="AQ1147" i="1" s="1"/>
  <c r="AR1147" i="1" s="1"/>
  <c r="AV1147" i="1" s="1"/>
  <c r="AX1147" i="1" s="1"/>
  <c r="AM1145" i="1"/>
  <c r="AD1152" i="1"/>
  <c r="AM1124" i="1"/>
  <c r="AP1124" i="1" s="1"/>
  <c r="AQ1124" i="1" s="1"/>
  <c r="AR1124" i="1" s="1"/>
  <c r="AV1124" i="1" s="1"/>
  <c r="AX1124" i="1" s="1"/>
  <c r="AM1111" i="1"/>
  <c r="AP1111" i="1" s="1"/>
  <c r="AQ1111" i="1" s="1"/>
  <c r="AR1111" i="1" s="1"/>
  <c r="AV1111" i="1" s="1"/>
  <c r="AX1111" i="1" s="1"/>
  <c r="AE1319" i="1"/>
  <c r="AF1082" i="1"/>
  <c r="AJ1005" i="1"/>
  <c r="AM1090" i="1"/>
  <c r="AP1090" i="1" s="1"/>
  <c r="AQ1090" i="1" s="1"/>
  <c r="AR1090" i="1" s="1"/>
  <c r="AV1090" i="1" s="1"/>
  <c r="AX1090" i="1" s="1"/>
  <c r="AD1141" i="1"/>
  <c r="AM1087" i="1"/>
  <c r="AI1141" i="1"/>
  <c r="AM1035" i="1"/>
  <c r="AP1035" i="1" s="1"/>
  <c r="AQ1035" i="1" s="1"/>
  <c r="AR1035" i="1" s="1"/>
  <c r="AV1035" i="1" s="1"/>
  <c r="AX1035" i="1" s="1"/>
  <c r="AM1016" i="1"/>
  <c r="AP1016" i="1" s="1"/>
  <c r="AQ1016" i="1" s="1"/>
  <c r="AR1016" i="1" s="1"/>
  <c r="AV1016" i="1" s="1"/>
  <c r="AX1016" i="1" s="1"/>
  <c r="AM1011" i="1"/>
  <c r="AD1005" i="1"/>
  <c r="AM940" i="1"/>
  <c r="AP940" i="1" s="1"/>
  <c r="AQ940" i="1" s="1"/>
  <c r="AR940" i="1" s="1"/>
  <c r="AV940" i="1" s="1"/>
  <c r="AX940" i="1" s="1"/>
  <c r="R931" i="1"/>
  <c r="S925" i="1"/>
  <c r="AM865" i="1"/>
  <c r="AP935" i="1"/>
  <c r="AJ846" i="1"/>
  <c r="AH846" i="1"/>
  <c r="AQ784" i="1"/>
  <c r="AR757" i="1"/>
  <c r="V1404" i="1"/>
  <c r="AC736" i="1"/>
  <c r="AM707" i="1"/>
  <c r="AP707" i="1" s="1"/>
  <c r="AQ707" i="1" s="1"/>
  <c r="AR707" i="1" s="1"/>
  <c r="AV707" i="1" s="1"/>
  <c r="AX707" i="1" s="1"/>
  <c r="R867" i="1"/>
  <c r="R921" i="1" s="1"/>
  <c r="S852" i="1"/>
  <c r="AM845" i="1"/>
  <c r="AP845" i="1" s="1"/>
  <c r="AQ845" i="1" s="1"/>
  <c r="AR845" i="1" s="1"/>
  <c r="AV845" i="1" s="1"/>
  <c r="AX845" i="1" s="1"/>
  <c r="AF817" i="1"/>
  <c r="AQ769" i="1"/>
  <c r="AQ739" i="1"/>
  <c r="AD736" i="1"/>
  <c r="AM727" i="1"/>
  <c r="AK848" i="1"/>
  <c r="AM751" i="1"/>
  <c r="S827" i="1"/>
  <c r="T820" i="1"/>
  <c r="T827" i="1" s="1"/>
  <c r="AM620" i="1"/>
  <c r="R550" i="1"/>
  <c r="S538" i="1"/>
  <c r="AM630" i="1"/>
  <c r="AQ642" i="1"/>
  <c r="T711" i="1"/>
  <c r="AM623" i="1"/>
  <c r="AP623" i="1" s="1"/>
  <c r="AQ623" i="1" s="1"/>
  <c r="AR623" i="1" s="1"/>
  <c r="AS623" i="1" s="1"/>
  <c r="AT623" i="1" s="1"/>
  <c r="AM611" i="1"/>
  <c r="AM607" i="1"/>
  <c r="AP607" i="1" s="1"/>
  <c r="AQ607" i="1" s="1"/>
  <c r="AR607" i="1" s="1"/>
  <c r="AS607" i="1" s="1"/>
  <c r="AT607" i="1" s="1"/>
  <c r="AD632" i="1"/>
  <c r="AM603" i="1"/>
  <c r="AG632" i="1"/>
  <c r="AF632" i="1"/>
  <c r="AM589" i="1"/>
  <c r="AP589" i="1" s="1"/>
  <c r="AQ589" i="1" s="1"/>
  <c r="AR589" i="1" s="1"/>
  <c r="AS589" i="1" s="1"/>
  <c r="AT589" i="1" s="1"/>
  <c r="AP528" i="1"/>
  <c r="AQ528" i="1" s="1"/>
  <c r="AR528" i="1" s="1"/>
  <c r="AS528" i="1" s="1"/>
  <c r="AT528" i="1" s="1"/>
  <c r="S502" i="1"/>
  <c r="R508" i="1"/>
  <c r="AM544" i="1"/>
  <c r="AP544" i="1" s="1"/>
  <c r="AQ544" i="1" s="1"/>
  <c r="AR544" i="1" s="1"/>
  <c r="AS544" i="1" s="1"/>
  <c r="AT544" i="1" s="1"/>
  <c r="AM541" i="1"/>
  <c r="Q552" i="1"/>
  <c r="AM615" i="1"/>
  <c r="AP615" i="1" s="1"/>
  <c r="AQ615" i="1" s="1"/>
  <c r="AR615" i="1" s="1"/>
  <c r="AS615" i="1" s="1"/>
  <c r="AT615" i="1" s="1"/>
  <c r="AP610" i="1"/>
  <c r="AQ610" i="1" s="1"/>
  <c r="AR610" i="1" s="1"/>
  <c r="AS610" i="1" s="1"/>
  <c r="AT610" i="1" s="1"/>
  <c r="AP606" i="1"/>
  <c r="AQ606" i="1" s="1"/>
  <c r="AR606" i="1" s="1"/>
  <c r="AS606" i="1" s="1"/>
  <c r="AT606" i="1" s="1"/>
  <c r="AM591" i="1"/>
  <c r="AP591" i="1" s="1"/>
  <c r="AM542" i="1"/>
  <c r="AP542" i="1" s="1"/>
  <c r="AQ542" i="1" s="1"/>
  <c r="AR542" i="1" s="1"/>
  <c r="AS542" i="1" s="1"/>
  <c r="AT542" i="1" s="1"/>
  <c r="AM594" i="1"/>
  <c r="AP594" i="1" s="1"/>
  <c r="AQ594" i="1" s="1"/>
  <c r="AR594" i="1" s="1"/>
  <c r="AS594" i="1" s="1"/>
  <c r="AT594" i="1" s="1"/>
  <c r="AM578" i="1"/>
  <c r="AP578" i="1" s="1"/>
  <c r="AQ578" i="1" s="1"/>
  <c r="AR578" i="1" s="1"/>
  <c r="AS578" i="1" s="1"/>
  <c r="AT578" i="1" s="1"/>
  <c r="AM574" i="1"/>
  <c r="AP574" i="1" s="1"/>
  <c r="AQ574" i="1" s="1"/>
  <c r="AR574" i="1" s="1"/>
  <c r="AS574" i="1" s="1"/>
  <c r="AT574" i="1" s="1"/>
  <c r="AP524" i="1"/>
  <c r="AQ524" i="1" s="1"/>
  <c r="AR524" i="1" s="1"/>
  <c r="AS524" i="1" s="1"/>
  <c r="AT524" i="1" s="1"/>
  <c r="AP520" i="1"/>
  <c r="AQ520" i="1" s="1"/>
  <c r="AR520" i="1" s="1"/>
  <c r="AS520" i="1" s="1"/>
  <c r="AT520" i="1" s="1"/>
  <c r="AM475" i="1"/>
  <c r="AP475" i="1" s="1"/>
  <c r="AQ475" i="1" s="1"/>
  <c r="AR475" i="1" s="1"/>
  <c r="AS475" i="1" s="1"/>
  <c r="AT475" i="1" s="1"/>
  <c r="AM472" i="1"/>
  <c r="AM469" i="1"/>
  <c r="AM448" i="1"/>
  <c r="AP448" i="1" s="1"/>
  <c r="AQ448" i="1" s="1"/>
  <c r="AR448" i="1" s="1"/>
  <c r="AS448" i="1" s="1"/>
  <c r="AT448" i="1" s="1"/>
  <c r="AM504" i="1"/>
  <c r="AP504" i="1" s="1"/>
  <c r="AQ504" i="1" s="1"/>
  <c r="AR504" i="1" s="1"/>
  <c r="AS504" i="1" s="1"/>
  <c r="AT504" i="1" s="1"/>
  <c r="AM449" i="1"/>
  <c r="AM446" i="1"/>
  <c r="AP446" i="1" s="1"/>
  <c r="AQ446" i="1" s="1"/>
  <c r="AR446" i="1" s="1"/>
  <c r="AS446" i="1" s="1"/>
  <c r="AT446" i="1" s="1"/>
  <c r="AM437" i="1"/>
  <c r="T405" i="1"/>
  <c r="S414" i="1"/>
  <c r="T353" i="1"/>
  <c r="S358" i="1"/>
  <c r="AM530" i="1"/>
  <c r="AP530" i="1" s="1"/>
  <c r="AQ530" i="1" s="1"/>
  <c r="AR530" i="1" s="1"/>
  <c r="AS530" i="1" s="1"/>
  <c r="AT530" i="1" s="1"/>
  <c r="AM523" i="1"/>
  <c r="AM519" i="1"/>
  <c r="AM515" i="1"/>
  <c r="AP515" i="1" s="1"/>
  <c r="AQ515" i="1" s="1"/>
  <c r="AR515" i="1" s="1"/>
  <c r="AS515" i="1" s="1"/>
  <c r="AT515" i="1" s="1"/>
  <c r="AM507" i="1"/>
  <c r="AM495" i="1"/>
  <c r="AM491" i="1"/>
  <c r="AM480" i="1"/>
  <c r="AP480" i="1" s="1"/>
  <c r="AQ480" i="1" s="1"/>
  <c r="AR480" i="1" s="1"/>
  <c r="AS480" i="1" s="1"/>
  <c r="AT480" i="1" s="1"/>
  <c r="AM467" i="1"/>
  <c r="AP467" i="1" s="1"/>
  <c r="AQ467" i="1" s="1"/>
  <c r="AR467" i="1" s="1"/>
  <c r="AS467" i="1" s="1"/>
  <c r="AT467" i="1" s="1"/>
  <c r="AM464" i="1"/>
  <c r="AP437" i="1"/>
  <c r="AQ437" i="1" s="1"/>
  <c r="AR437" i="1" s="1"/>
  <c r="AS437" i="1" s="1"/>
  <c r="AT437" i="1" s="1"/>
  <c r="AM483" i="1"/>
  <c r="AP483" i="1" s="1"/>
  <c r="AQ483" i="1" s="1"/>
  <c r="AR483" i="1" s="1"/>
  <c r="AS483" i="1" s="1"/>
  <c r="AT483" i="1" s="1"/>
  <c r="AM421" i="1"/>
  <c r="AP421" i="1" s="1"/>
  <c r="AQ421" i="1" s="1"/>
  <c r="AR421" i="1" s="1"/>
  <c r="AS421" i="1" s="1"/>
  <c r="AT421" i="1" s="1"/>
  <c r="AM401" i="1"/>
  <c r="AP401" i="1" s="1"/>
  <c r="AQ401" i="1" s="1"/>
  <c r="AR401" i="1" s="1"/>
  <c r="AS401" i="1" s="1"/>
  <c r="AT401" i="1" s="1"/>
  <c r="AM357" i="1"/>
  <c r="AP357" i="1" s="1"/>
  <c r="AQ357" i="1" s="1"/>
  <c r="AR357" i="1" s="1"/>
  <c r="AS357" i="1" s="1"/>
  <c r="AT357" i="1" s="1"/>
  <c r="S350" i="1"/>
  <c r="T315" i="1"/>
  <c r="AM424" i="1"/>
  <c r="AP424" i="1" s="1"/>
  <c r="AQ424" i="1" s="1"/>
  <c r="AR424" i="1" s="1"/>
  <c r="AS424" i="1" s="1"/>
  <c r="AT424" i="1" s="1"/>
  <c r="AP392" i="1"/>
  <c r="AQ392" i="1" s="1"/>
  <c r="AR392" i="1" s="1"/>
  <c r="AS392" i="1" s="1"/>
  <c r="AT392" i="1" s="1"/>
  <c r="AP376" i="1"/>
  <c r="AQ376" i="1" s="1"/>
  <c r="AR376" i="1" s="1"/>
  <c r="AS376" i="1" s="1"/>
  <c r="AT376" i="1" s="1"/>
  <c r="AP368" i="1"/>
  <c r="AQ368" i="1" s="1"/>
  <c r="AR368" i="1" s="1"/>
  <c r="AS368" i="1" s="1"/>
  <c r="AT368" i="1" s="1"/>
  <c r="AP341" i="1"/>
  <c r="AQ341" i="1" s="1"/>
  <c r="AR341" i="1" s="1"/>
  <c r="AS341" i="1" s="1"/>
  <c r="AT341" i="1" s="1"/>
  <c r="AM425" i="1"/>
  <c r="AM383" i="1"/>
  <c r="AP383" i="1" s="1"/>
  <c r="AQ383" i="1" s="1"/>
  <c r="AR383" i="1" s="1"/>
  <c r="AS383" i="1" s="1"/>
  <c r="AT383" i="1" s="1"/>
  <c r="AM378" i="1"/>
  <c r="AP378" i="1" s="1"/>
  <c r="AQ378" i="1" s="1"/>
  <c r="AR378" i="1" s="1"/>
  <c r="AS378" i="1" s="1"/>
  <c r="AT378" i="1" s="1"/>
  <c r="AM375" i="1"/>
  <c r="AP375" i="1" s="1"/>
  <c r="AQ375" i="1" s="1"/>
  <c r="AR375" i="1" s="1"/>
  <c r="AS375" i="1" s="1"/>
  <c r="AT375" i="1" s="1"/>
  <c r="AM370" i="1"/>
  <c r="AM367" i="1"/>
  <c r="S456" i="1"/>
  <c r="AM377" i="1"/>
  <c r="AP377" i="1" s="1"/>
  <c r="AQ377" i="1" s="1"/>
  <c r="AR377" i="1" s="1"/>
  <c r="AS377" i="1" s="1"/>
  <c r="AT377" i="1" s="1"/>
  <c r="AM369" i="1"/>
  <c r="AP369" i="1" s="1"/>
  <c r="AQ369" i="1" s="1"/>
  <c r="AR369" i="1" s="1"/>
  <c r="AS369" i="1" s="1"/>
  <c r="AT369" i="1" s="1"/>
  <c r="AM316" i="1"/>
  <c r="AP316" i="1" s="1"/>
  <c r="AQ316" i="1" s="1"/>
  <c r="AR316" i="1" s="1"/>
  <c r="AS316" i="1" s="1"/>
  <c r="AT316" i="1" s="1"/>
  <c r="AM267" i="1"/>
  <c r="AP267" i="1" s="1"/>
  <c r="AQ267" i="1" s="1"/>
  <c r="AR267" i="1" s="1"/>
  <c r="AS267" i="1" s="1"/>
  <c r="AT267" i="1" s="1"/>
  <c r="AM256" i="1"/>
  <c r="AP256" i="1" s="1"/>
  <c r="AQ256" i="1" s="1"/>
  <c r="AR256" i="1" s="1"/>
  <c r="AS256" i="1" s="1"/>
  <c r="AT256" i="1" s="1"/>
  <c r="AM253" i="1"/>
  <c r="AM250" i="1"/>
  <c r="AP250" i="1" s="1"/>
  <c r="AQ250" i="1" s="1"/>
  <c r="AR250" i="1" s="1"/>
  <c r="AS250" i="1" s="1"/>
  <c r="AT250" i="1" s="1"/>
  <c r="R191" i="1"/>
  <c r="S177" i="1"/>
  <c r="AM328" i="1"/>
  <c r="AM301" i="1"/>
  <c r="AM297" i="1"/>
  <c r="AM293" i="1"/>
  <c r="AP293" i="1" s="1"/>
  <c r="AQ293" i="1" s="1"/>
  <c r="AR293" i="1" s="1"/>
  <c r="AS293" i="1" s="1"/>
  <c r="AT293" i="1" s="1"/>
  <c r="AM289" i="1"/>
  <c r="AP289" i="1" s="1"/>
  <c r="AQ289" i="1" s="1"/>
  <c r="AR289" i="1" s="1"/>
  <c r="AS289" i="1" s="1"/>
  <c r="AT289" i="1" s="1"/>
  <c r="AM279" i="1"/>
  <c r="AP279" i="1" s="1"/>
  <c r="AQ279" i="1" s="1"/>
  <c r="AR279" i="1" s="1"/>
  <c r="AS279" i="1" s="1"/>
  <c r="AT279" i="1" s="1"/>
  <c r="AP236" i="1"/>
  <c r="AQ236" i="1" s="1"/>
  <c r="AR236" i="1" s="1"/>
  <c r="AS236" i="1" s="1"/>
  <c r="AT236" i="1" s="1"/>
  <c r="AH174" i="1"/>
  <c r="AM317" i="1"/>
  <c r="AM271" i="1"/>
  <c r="AP271" i="1" s="1"/>
  <c r="AQ271" i="1" s="1"/>
  <c r="AR271" i="1" s="1"/>
  <c r="AS271" i="1" s="1"/>
  <c r="AT271" i="1" s="1"/>
  <c r="AF174" i="1"/>
  <c r="AM331" i="1"/>
  <c r="AP331" i="1" s="1"/>
  <c r="AQ331" i="1" s="1"/>
  <c r="AR331" i="1" s="1"/>
  <c r="AS331" i="1" s="1"/>
  <c r="AT331" i="1" s="1"/>
  <c r="AM251" i="1"/>
  <c r="AP251" i="1" s="1"/>
  <c r="AQ251" i="1" s="1"/>
  <c r="AR251" i="1" s="1"/>
  <c r="AS251" i="1" s="1"/>
  <c r="AT251" i="1" s="1"/>
  <c r="AM235" i="1"/>
  <c r="AP235" i="1" s="1"/>
  <c r="AQ235" i="1" s="1"/>
  <c r="AR235" i="1" s="1"/>
  <c r="AS235" i="1" s="1"/>
  <c r="AT235" i="1" s="1"/>
  <c r="S228" i="1"/>
  <c r="T228" i="1" s="1"/>
  <c r="AM173" i="1"/>
  <c r="AP173" i="1" s="1"/>
  <c r="AQ173" i="1" s="1"/>
  <c r="AR173" i="1" s="1"/>
  <c r="AS173" i="1" s="1"/>
  <c r="AT173" i="1" s="1"/>
  <c r="AM170" i="1"/>
  <c r="AP170" i="1" s="1"/>
  <c r="AQ170" i="1" s="1"/>
  <c r="AR170" i="1" s="1"/>
  <c r="AS170" i="1" s="1"/>
  <c r="AT170" i="1" s="1"/>
  <c r="Q119" i="1"/>
  <c r="Q193" i="1" s="1"/>
  <c r="R112" i="1"/>
  <c r="AM222" i="1"/>
  <c r="AP222" i="1" s="1"/>
  <c r="AQ222" i="1" s="1"/>
  <c r="AR222" i="1" s="1"/>
  <c r="AS222" i="1" s="1"/>
  <c r="AT222" i="1" s="1"/>
  <c r="AM210" i="1"/>
  <c r="AM206" i="1"/>
  <c r="AM202" i="1"/>
  <c r="AM198" i="1"/>
  <c r="AM189" i="1"/>
  <c r="AM156" i="1"/>
  <c r="AP156" i="1" s="1"/>
  <c r="AQ156" i="1" s="1"/>
  <c r="AR156" i="1" s="1"/>
  <c r="AS156" i="1" s="1"/>
  <c r="AT156" i="1" s="1"/>
  <c r="AM141" i="1"/>
  <c r="AP141" i="1" s="1"/>
  <c r="AQ141" i="1" s="1"/>
  <c r="AR141" i="1" s="1"/>
  <c r="AS141" i="1" s="1"/>
  <c r="AT141" i="1" s="1"/>
  <c r="AM106" i="1"/>
  <c r="AP106" i="1" s="1"/>
  <c r="AQ106" i="1" s="1"/>
  <c r="AR106" i="1" s="1"/>
  <c r="AS106" i="1" s="1"/>
  <c r="AT106" i="1" s="1"/>
  <c r="AM92" i="1"/>
  <c r="AP92" i="1" s="1"/>
  <c r="AQ92" i="1" s="1"/>
  <c r="AR92" i="1" s="1"/>
  <c r="AS92" i="1" s="1"/>
  <c r="AT92" i="1" s="1"/>
  <c r="AM89" i="1"/>
  <c r="AP89" i="1" s="1"/>
  <c r="AQ89" i="1" s="1"/>
  <c r="AR89" i="1" s="1"/>
  <c r="AS89" i="1" s="1"/>
  <c r="AT89" i="1" s="1"/>
  <c r="AM86" i="1"/>
  <c r="AM185" i="1"/>
  <c r="AP185" i="1" s="1"/>
  <c r="AQ185" i="1" s="1"/>
  <c r="AR185" i="1" s="1"/>
  <c r="AS185" i="1" s="1"/>
  <c r="AT185" i="1" s="1"/>
  <c r="AM160" i="1"/>
  <c r="AP160" i="1" s="1"/>
  <c r="AQ160" i="1" s="1"/>
  <c r="AR160" i="1" s="1"/>
  <c r="AS160" i="1" s="1"/>
  <c r="AT160" i="1" s="1"/>
  <c r="AM113" i="1"/>
  <c r="AM99" i="1"/>
  <c r="AP99" i="1" s="1"/>
  <c r="AQ99" i="1" s="1"/>
  <c r="AR99" i="1" s="1"/>
  <c r="AS99" i="1" s="1"/>
  <c r="AT99" i="1" s="1"/>
  <c r="AM207" i="1"/>
  <c r="AM203" i="1"/>
  <c r="AP203" i="1" s="1"/>
  <c r="AQ203" i="1" s="1"/>
  <c r="AR203" i="1" s="1"/>
  <c r="AS203" i="1" s="1"/>
  <c r="AT203" i="1" s="1"/>
  <c r="AM199" i="1"/>
  <c r="AP199" i="1" s="1"/>
  <c r="AQ199" i="1" s="1"/>
  <c r="AR199" i="1" s="1"/>
  <c r="AS199" i="1" s="1"/>
  <c r="AT199" i="1" s="1"/>
  <c r="AK197" i="1"/>
  <c r="AK211" i="1" s="1"/>
  <c r="AG197" i="1"/>
  <c r="AG211" i="1" s="1"/>
  <c r="AC197" i="1"/>
  <c r="T211" i="1"/>
  <c r="AL197" i="1"/>
  <c r="AL211" i="1" s="1"/>
  <c r="AF197" i="1"/>
  <c r="AF211" i="1" s="1"/>
  <c r="AJ197" i="1"/>
  <c r="AJ211" i="1" s="1"/>
  <c r="AE197" i="1"/>
  <c r="AE211" i="1" s="1"/>
  <c r="AI197" i="1"/>
  <c r="AI211" i="1" s="1"/>
  <c r="AD197" i="1"/>
  <c r="AH197" i="1"/>
  <c r="AH211" i="1" s="1"/>
  <c r="AM181" i="1"/>
  <c r="AP181" i="1" s="1"/>
  <c r="AQ181" i="1" s="1"/>
  <c r="AR181" i="1" s="1"/>
  <c r="AS181" i="1" s="1"/>
  <c r="AT181" i="1" s="1"/>
  <c r="AM161" i="1"/>
  <c r="AP161" i="1" s="1"/>
  <c r="AQ161" i="1" s="1"/>
  <c r="AR161" i="1" s="1"/>
  <c r="AS161" i="1" s="1"/>
  <c r="AT161" i="1" s="1"/>
  <c r="AM142" i="1"/>
  <c r="AP142" i="1" s="1"/>
  <c r="AQ142" i="1" s="1"/>
  <c r="AR142" i="1" s="1"/>
  <c r="AS142" i="1" s="1"/>
  <c r="AT142" i="1" s="1"/>
  <c r="AM125" i="1"/>
  <c r="S133" i="1"/>
  <c r="T122" i="1"/>
  <c r="AP91" i="1"/>
  <c r="AQ91" i="1" s="1"/>
  <c r="AR91" i="1" s="1"/>
  <c r="AS91" i="1" s="1"/>
  <c r="AT91" i="1" s="1"/>
  <c r="AM83" i="1"/>
  <c r="AM79" i="1"/>
  <c r="AP79" i="1" s="1"/>
  <c r="AQ79" i="1" s="1"/>
  <c r="AR79" i="1" s="1"/>
  <c r="AS79" i="1" s="1"/>
  <c r="AT79" i="1" s="1"/>
  <c r="AM180" i="1"/>
  <c r="AP180" i="1" s="1"/>
  <c r="AQ180" i="1" s="1"/>
  <c r="AR180" i="1" s="1"/>
  <c r="AS180" i="1" s="1"/>
  <c r="AT180" i="1" s="1"/>
  <c r="AM158" i="1"/>
  <c r="AP158" i="1" s="1"/>
  <c r="AQ158" i="1" s="1"/>
  <c r="AR158" i="1" s="1"/>
  <c r="AS158" i="1" s="1"/>
  <c r="AT158" i="1" s="1"/>
  <c r="AG164" i="1"/>
  <c r="AL164" i="1"/>
  <c r="AJ164" i="1"/>
  <c r="AM128" i="1"/>
  <c r="AM107" i="1"/>
  <c r="AP107" i="1" s="1"/>
  <c r="AQ107" i="1" s="1"/>
  <c r="AR107" i="1" s="1"/>
  <c r="AS107" i="1" s="1"/>
  <c r="AT107" i="1" s="1"/>
  <c r="AM87" i="1"/>
  <c r="AP87" i="1" s="1"/>
  <c r="AQ87" i="1" s="1"/>
  <c r="AR87" i="1" s="1"/>
  <c r="AS87" i="1" s="1"/>
  <c r="AT87" i="1" s="1"/>
  <c r="AP77" i="1"/>
  <c r="AQ77" i="1" s="1"/>
  <c r="AR77" i="1" s="1"/>
  <c r="AS77" i="1" s="1"/>
  <c r="AT77" i="1" s="1"/>
  <c r="S13" i="1"/>
  <c r="R36" i="1"/>
  <c r="AM19" i="1"/>
  <c r="AM63" i="1"/>
  <c r="AM49" i="1"/>
  <c r="AP49" i="1" s="1"/>
  <c r="AQ49" i="1" s="1"/>
  <c r="AR49" i="1" s="1"/>
  <c r="AS49" i="1" s="1"/>
  <c r="AT49" i="1" s="1"/>
  <c r="AM58" i="1"/>
  <c r="AM35" i="1"/>
  <c r="AP35" i="1" s="1"/>
  <c r="AQ35" i="1" s="1"/>
  <c r="AR35" i="1" s="1"/>
  <c r="AS35" i="1" s="1"/>
  <c r="AT35" i="1" s="1"/>
  <c r="AM28" i="1"/>
  <c r="AM78" i="1"/>
  <c r="AM62" i="1"/>
  <c r="AP62" i="1" s="1"/>
  <c r="AQ62" i="1" s="1"/>
  <c r="AR62" i="1" s="1"/>
  <c r="AS62" i="1" s="1"/>
  <c r="AT62" i="1" s="1"/>
  <c r="AP57" i="1"/>
  <c r="AQ57" i="1" s="1"/>
  <c r="AR57" i="1" s="1"/>
  <c r="AS57" i="1" s="1"/>
  <c r="AT57" i="1" s="1"/>
  <c r="AM23" i="1"/>
  <c r="AP23" i="1" s="1"/>
  <c r="AQ23" i="1" s="1"/>
  <c r="AR23" i="1" s="1"/>
  <c r="AS23" i="1" s="1"/>
  <c r="AT23" i="1" s="1"/>
  <c r="AM33" i="1"/>
  <c r="AP33" i="1" s="1"/>
  <c r="AQ33" i="1" s="1"/>
  <c r="AR33" i="1" s="1"/>
  <c r="AS33" i="1" s="1"/>
  <c r="AT33" i="1" s="1"/>
  <c r="AM14" i="1"/>
  <c r="AP14" i="1" s="1"/>
  <c r="AQ14" i="1" s="1"/>
  <c r="AR14" i="1" s="1"/>
  <c r="AS14" i="1" s="1"/>
  <c r="AT14" i="1" s="1"/>
  <c r="AM24" i="1"/>
  <c r="AP24" i="1" s="1"/>
  <c r="AQ24" i="1" s="1"/>
  <c r="AR24" i="1" s="1"/>
  <c r="AS24" i="1" s="1"/>
  <c r="AT24" i="1" s="1"/>
  <c r="AM1368" i="1"/>
  <c r="AM1402" i="1" s="1"/>
  <c r="AP1363" i="1"/>
  <c r="R1335" i="1"/>
  <c r="R1349" i="1" s="1"/>
  <c r="S1324" i="1"/>
  <c r="AL1319" i="1"/>
  <c r="AK1240" i="1"/>
  <c r="AK1319" i="1" s="1"/>
  <c r="R1250" i="1"/>
  <c r="S1243" i="1"/>
  <c r="S1144" i="1"/>
  <c r="R1152" i="1"/>
  <c r="AH1152" i="1"/>
  <c r="AK1215" i="1"/>
  <c r="AK1216" i="1" s="1"/>
  <c r="AG1215" i="1"/>
  <c r="AG1216" i="1" s="1"/>
  <c r="AC1215" i="1"/>
  <c r="AC1216" i="1" s="1"/>
  <c r="AH1215" i="1"/>
  <c r="AH1216" i="1" s="1"/>
  <c r="AL1215" i="1"/>
  <c r="AL1216" i="1" s="1"/>
  <c r="AF1215" i="1"/>
  <c r="AF1216" i="1" s="1"/>
  <c r="W1216" i="1"/>
  <c r="AJ1215" i="1"/>
  <c r="AJ1216" i="1" s="1"/>
  <c r="AE1215" i="1"/>
  <c r="AE1216" i="1" s="1"/>
  <c r="AI1215" i="1"/>
  <c r="AI1216" i="1" s="1"/>
  <c r="AD1215" i="1"/>
  <c r="AP1156" i="1"/>
  <c r="R1082" i="1"/>
  <c r="S1074" i="1"/>
  <c r="S1071" i="1"/>
  <c r="T1008" i="1"/>
  <c r="T1071" i="1" s="1"/>
  <c r="AW997" i="1"/>
  <c r="AH1141" i="1"/>
  <c r="AC1141" i="1"/>
  <c r="AM991" i="1"/>
  <c r="AP991" i="1" s="1"/>
  <c r="AQ991" i="1" s="1"/>
  <c r="AR991" i="1" s="1"/>
  <c r="AV991" i="1" s="1"/>
  <c r="AQ1009" i="1"/>
  <c r="AF736" i="1"/>
  <c r="AM810" i="1"/>
  <c r="AD817" i="1"/>
  <c r="AJ711" i="1"/>
  <c r="AR669" i="1"/>
  <c r="AP620" i="1"/>
  <c r="AQ620" i="1" s="1"/>
  <c r="AR620" i="1" s="1"/>
  <c r="AS620" i="1" s="1"/>
  <c r="AT620" i="1" s="1"/>
  <c r="R634" i="1"/>
  <c r="R666" i="1"/>
  <c r="S642" i="1"/>
  <c r="R580" i="1"/>
  <c r="S571" i="1"/>
  <c r="AI632" i="1"/>
  <c r="AL632" i="1"/>
  <c r="AJ632" i="1"/>
  <c r="S632" i="1"/>
  <c r="T632" i="1" s="1"/>
  <c r="AM624" i="1"/>
  <c r="AP548" i="1"/>
  <c r="AQ548" i="1" s="1"/>
  <c r="AR548" i="1" s="1"/>
  <c r="AS548" i="1" s="1"/>
  <c r="AT548" i="1" s="1"/>
  <c r="AM546" i="1"/>
  <c r="AP546" i="1" s="1"/>
  <c r="AQ546" i="1" s="1"/>
  <c r="AR546" i="1" s="1"/>
  <c r="AS546" i="1" s="1"/>
  <c r="AT546" i="1" s="1"/>
  <c r="R582" i="1"/>
  <c r="AM482" i="1"/>
  <c r="AP482" i="1" s="1"/>
  <c r="AQ482" i="1" s="1"/>
  <c r="AR482" i="1" s="1"/>
  <c r="AS482" i="1" s="1"/>
  <c r="AT482" i="1" s="1"/>
  <c r="AP472" i="1"/>
  <c r="AQ472" i="1" s="1"/>
  <c r="AR472" i="1" s="1"/>
  <c r="AS472" i="1" s="1"/>
  <c r="AT472" i="1" s="1"/>
  <c r="AP469" i="1"/>
  <c r="AQ469" i="1" s="1"/>
  <c r="AR469" i="1" s="1"/>
  <c r="AS469" i="1" s="1"/>
  <c r="AT469" i="1" s="1"/>
  <c r="AI434" i="1"/>
  <c r="AE434" i="1"/>
  <c r="AJ434" i="1"/>
  <c r="AF434" i="1"/>
  <c r="AH434" i="1"/>
  <c r="AG434" i="1"/>
  <c r="AL434" i="1"/>
  <c r="AD434" i="1"/>
  <c r="AK434" i="1"/>
  <c r="AC434" i="1"/>
  <c r="AM481" i="1"/>
  <c r="AP481" i="1" s="1"/>
  <c r="AQ481" i="1" s="1"/>
  <c r="AR481" i="1" s="1"/>
  <c r="AS481" i="1" s="1"/>
  <c r="AT481" i="1" s="1"/>
  <c r="AM445" i="1"/>
  <c r="T398" i="1"/>
  <c r="S402" i="1"/>
  <c r="AP464" i="1"/>
  <c r="AQ464" i="1" s="1"/>
  <c r="AR464" i="1" s="1"/>
  <c r="AS464" i="1" s="1"/>
  <c r="AT464" i="1" s="1"/>
  <c r="T476" i="1"/>
  <c r="AL461" i="1"/>
  <c r="AL476" i="1" s="1"/>
  <c r="AH461" i="1"/>
  <c r="AH476" i="1" s="1"/>
  <c r="AD461" i="1"/>
  <c r="AK461" i="1"/>
  <c r="AK476" i="1" s="1"/>
  <c r="AG461" i="1"/>
  <c r="AG476" i="1" s="1"/>
  <c r="AC461" i="1"/>
  <c r="AJ461" i="1"/>
  <c r="AJ476" i="1" s="1"/>
  <c r="AF461" i="1"/>
  <c r="AF476" i="1" s="1"/>
  <c r="AI461" i="1"/>
  <c r="AI476" i="1" s="1"/>
  <c r="AE461" i="1"/>
  <c r="AE476" i="1" s="1"/>
  <c r="AP445" i="1"/>
  <c r="AQ445" i="1" s="1"/>
  <c r="AR445" i="1" s="1"/>
  <c r="AS445" i="1" s="1"/>
  <c r="AT445" i="1" s="1"/>
  <c r="AM443" i="1"/>
  <c r="AP443" i="1" s="1"/>
  <c r="AQ443" i="1" s="1"/>
  <c r="AR443" i="1" s="1"/>
  <c r="AS443" i="1" s="1"/>
  <c r="AT443" i="1" s="1"/>
  <c r="S454" i="1"/>
  <c r="AM506" i="1"/>
  <c r="R454" i="1"/>
  <c r="R456" i="1" s="1"/>
  <c r="AM427" i="1"/>
  <c r="AP427" i="1" s="1"/>
  <c r="AQ427" i="1" s="1"/>
  <c r="AR427" i="1" s="1"/>
  <c r="AS427" i="1" s="1"/>
  <c r="AT427" i="1" s="1"/>
  <c r="AM436" i="1"/>
  <c r="AP436" i="1" s="1"/>
  <c r="AQ436" i="1" s="1"/>
  <c r="AR436" i="1" s="1"/>
  <c r="AS436" i="1" s="1"/>
  <c r="AT436" i="1" s="1"/>
  <c r="AM426" i="1"/>
  <c r="R358" i="1"/>
  <c r="AM428" i="1"/>
  <c r="AP428" i="1" s="1"/>
  <c r="AQ428" i="1" s="1"/>
  <c r="AR428" i="1" s="1"/>
  <c r="AS428" i="1" s="1"/>
  <c r="AT428" i="1" s="1"/>
  <c r="AP370" i="1"/>
  <c r="AQ370" i="1" s="1"/>
  <c r="AR370" i="1" s="1"/>
  <c r="AS370" i="1" s="1"/>
  <c r="AT370" i="1" s="1"/>
  <c r="AP367" i="1"/>
  <c r="AQ367" i="1" s="1"/>
  <c r="AR367" i="1" s="1"/>
  <c r="AS367" i="1" s="1"/>
  <c r="AT367" i="1" s="1"/>
  <c r="AJ361" i="1"/>
  <c r="AF361" i="1"/>
  <c r="AI361" i="1"/>
  <c r="AE361" i="1"/>
  <c r="T395" i="1"/>
  <c r="AL361" i="1"/>
  <c r="AL395" i="1" s="1"/>
  <c r="AH361" i="1"/>
  <c r="AD361" i="1"/>
  <c r="AK361" i="1"/>
  <c r="AG361" i="1"/>
  <c r="AG395" i="1" s="1"/>
  <c r="AC361" i="1"/>
  <c r="AM311" i="1"/>
  <c r="AP311" i="1" s="1"/>
  <c r="AQ311" i="1" s="1"/>
  <c r="AR311" i="1" s="1"/>
  <c r="AS311" i="1" s="1"/>
  <c r="AT311" i="1" s="1"/>
  <c r="AM309" i="1"/>
  <c r="AP309" i="1" s="1"/>
  <c r="AQ309" i="1" s="1"/>
  <c r="AR309" i="1" s="1"/>
  <c r="AS309" i="1" s="1"/>
  <c r="AT309" i="1" s="1"/>
  <c r="AM307" i="1"/>
  <c r="AP307" i="1" s="1"/>
  <c r="AQ307" i="1" s="1"/>
  <c r="AR307" i="1" s="1"/>
  <c r="AS307" i="1" s="1"/>
  <c r="AT307" i="1" s="1"/>
  <c r="AM305" i="1"/>
  <c r="Q416" i="1"/>
  <c r="AM282" i="1"/>
  <c r="AP282" i="1" s="1"/>
  <c r="AQ282" i="1" s="1"/>
  <c r="AR282" i="1" s="1"/>
  <c r="AS282" i="1" s="1"/>
  <c r="AT282" i="1" s="1"/>
  <c r="AP253" i="1"/>
  <c r="AQ253" i="1" s="1"/>
  <c r="AR253" i="1" s="1"/>
  <c r="AS253" i="1" s="1"/>
  <c r="AT253" i="1" s="1"/>
  <c r="AM343" i="1"/>
  <c r="AP343" i="1" s="1"/>
  <c r="AQ343" i="1" s="1"/>
  <c r="AR343" i="1" s="1"/>
  <c r="AS343" i="1" s="1"/>
  <c r="AT343" i="1" s="1"/>
  <c r="AP328" i="1"/>
  <c r="AQ328" i="1" s="1"/>
  <c r="AR328" i="1" s="1"/>
  <c r="AS328" i="1" s="1"/>
  <c r="AT328" i="1" s="1"/>
  <c r="AM276" i="1"/>
  <c r="T272" i="1"/>
  <c r="AJ266" i="1"/>
  <c r="AJ272" i="1" s="1"/>
  <c r="AF266" i="1"/>
  <c r="AF272" i="1" s="1"/>
  <c r="AI266" i="1"/>
  <c r="AI272" i="1" s="1"/>
  <c r="AE266" i="1"/>
  <c r="AE272" i="1" s="1"/>
  <c r="AL266" i="1"/>
  <c r="AL272" i="1" s="1"/>
  <c r="AH266" i="1"/>
  <c r="AH272" i="1" s="1"/>
  <c r="AD266" i="1"/>
  <c r="AK266" i="1"/>
  <c r="AK272" i="1" s="1"/>
  <c r="AG266" i="1"/>
  <c r="AG272" i="1" s="1"/>
  <c r="AC266" i="1"/>
  <c r="R94" i="1"/>
  <c r="S75" i="1"/>
  <c r="AM163" i="1"/>
  <c r="AP163" i="1" s="1"/>
  <c r="AQ163" i="1" s="1"/>
  <c r="AR163" i="1" s="1"/>
  <c r="AS163" i="1" s="1"/>
  <c r="AT163" i="1" s="1"/>
  <c r="AP86" i="1"/>
  <c r="AQ86" i="1" s="1"/>
  <c r="AR86" i="1" s="1"/>
  <c r="AS86" i="1" s="1"/>
  <c r="AT86" i="1" s="1"/>
  <c r="AE228" i="1"/>
  <c r="AH228" i="1"/>
  <c r="Q261" i="1"/>
  <c r="AM223" i="1"/>
  <c r="AP223" i="1" s="1"/>
  <c r="AQ223" i="1" s="1"/>
  <c r="AR223" i="1" s="1"/>
  <c r="AS223" i="1" s="1"/>
  <c r="AT223" i="1" s="1"/>
  <c r="AM219" i="1"/>
  <c r="AP219" i="1" s="1"/>
  <c r="AQ219" i="1" s="1"/>
  <c r="AR219" i="1" s="1"/>
  <c r="AS219" i="1" s="1"/>
  <c r="AT219" i="1" s="1"/>
  <c r="T136" i="1"/>
  <c r="S146" i="1"/>
  <c r="AP125" i="1"/>
  <c r="AQ125" i="1" s="1"/>
  <c r="AR125" i="1" s="1"/>
  <c r="AS125" i="1" s="1"/>
  <c r="AT125" i="1" s="1"/>
  <c r="AP83" i="1"/>
  <c r="AQ83" i="1" s="1"/>
  <c r="AR83" i="1" s="1"/>
  <c r="AS83" i="1" s="1"/>
  <c r="AT83" i="1" s="1"/>
  <c r="AM190" i="1"/>
  <c r="AK164" i="1"/>
  <c r="AE164" i="1"/>
  <c r="AM27" i="1"/>
  <c r="AM82" i="1"/>
  <c r="AP82" i="1" s="1"/>
  <c r="AQ82" i="1" s="1"/>
  <c r="AR82" i="1" s="1"/>
  <c r="AS82" i="1" s="1"/>
  <c r="AT82" i="1" s="1"/>
  <c r="AP58" i="1"/>
  <c r="AQ58" i="1" s="1"/>
  <c r="AR58" i="1" s="1"/>
  <c r="AS58" i="1" s="1"/>
  <c r="AT58" i="1" s="1"/>
  <c r="AM55" i="1"/>
  <c r="AP55" i="1" s="1"/>
  <c r="AQ55" i="1" s="1"/>
  <c r="AR55" i="1" s="1"/>
  <c r="AS55" i="1" s="1"/>
  <c r="AT55" i="1" s="1"/>
  <c r="AP50" i="1"/>
  <c r="AQ50" i="1" s="1"/>
  <c r="AR50" i="1" s="1"/>
  <c r="AS50" i="1" s="1"/>
  <c r="AT50" i="1" s="1"/>
  <c r="AM26" i="1"/>
  <c r="AP26" i="1" s="1"/>
  <c r="AQ26" i="1" s="1"/>
  <c r="AR26" i="1" s="1"/>
  <c r="AS26" i="1" s="1"/>
  <c r="AT26" i="1" s="1"/>
  <c r="AM61" i="1"/>
  <c r="AP61" i="1" s="1"/>
  <c r="AQ61" i="1" s="1"/>
  <c r="AR61" i="1" s="1"/>
  <c r="AS61" i="1" s="1"/>
  <c r="AT61" i="1" s="1"/>
  <c r="AM47" i="1"/>
  <c r="AP47" i="1" s="1"/>
  <c r="AQ47" i="1" s="1"/>
  <c r="AR47" i="1" s="1"/>
  <c r="AS47" i="1" s="1"/>
  <c r="AT47" i="1" s="1"/>
  <c r="AJ1319" i="1"/>
  <c r="Q1319" i="1"/>
  <c r="AI1172" i="1"/>
  <c r="AM1151" i="1"/>
  <c r="AP1151" i="1" s="1"/>
  <c r="AQ1151" i="1" s="1"/>
  <c r="AR1151" i="1" s="1"/>
  <c r="AV1151" i="1" s="1"/>
  <c r="AX1151" i="1" s="1"/>
  <c r="AM1121" i="1"/>
  <c r="AP1121" i="1" s="1"/>
  <c r="AQ1121" i="1" s="1"/>
  <c r="AR1121" i="1" s="1"/>
  <c r="AV1121" i="1" s="1"/>
  <c r="AX1121" i="1" s="1"/>
  <c r="R1191" i="1"/>
  <c r="R1218" i="1" s="1"/>
  <c r="S1178" i="1"/>
  <c r="AM1188" i="1"/>
  <c r="AP1188" i="1" s="1"/>
  <c r="AQ1188" i="1" s="1"/>
  <c r="AR1188" i="1" s="1"/>
  <c r="AV1188" i="1" s="1"/>
  <c r="AX1188" i="1" s="1"/>
  <c r="AM1109" i="1"/>
  <c r="AP1109" i="1" s="1"/>
  <c r="AQ1109" i="1" s="1"/>
  <c r="AR1109" i="1" s="1"/>
  <c r="AV1109" i="1" s="1"/>
  <c r="AX1109" i="1" s="1"/>
  <c r="AF1141" i="1"/>
  <c r="AM1068" i="1"/>
  <c r="AP1068" i="1" s="1"/>
  <c r="AQ1068" i="1" s="1"/>
  <c r="AR1068" i="1" s="1"/>
  <c r="AV1068" i="1" s="1"/>
  <c r="AL1141" i="1"/>
  <c r="AG1141" i="1"/>
  <c r="AM995" i="1"/>
  <c r="AP995" i="1" s="1"/>
  <c r="AQ995" i="1" s="1"/>
  <c r="AR995" i="1" s="1"/>
  <c r="AV995" i="1" s="1"/>
  <c r="AX995" i="1" s="1"/>
  <c r="AG1005" i="1"/>
  <c r="R1005" i="1"/>
  <c r="S951" i="1"/>
  <c r="AX898" i="1"/>
  <c r="R846" i="1"/>
  <c r="S830" i="1"/>
  <c r="AM753" i="1"/>
  <c r="AP753" i="1" s="1"/>
  <c r="AQ753" i="1" s="1"/>
  <c r="AR753" i="1" s="1"/>
  <c r="AV753" i="1" s="1"/>
  <c r="AX753" i="1" s="1"/>
  <c r="AM709" i="1"/>
  <c r="AP709" i="1" s="1"/>
  <c r="AQ709" i="1" s="1"/>
  <c r="AR709" i="1" s="1"/>
  <c r="AV709" i="1" s="1"/>
  <c r="AX709" i="1" s="1"/>
  <c r="AM704" i="1"/>
  <c r="AP704" i="1" s="1"/>
  <c r="AQ704" i="1" s="1"/>
  <c r="AR704" i="1" s="1"/>
  <c r="AV704" i="1" s="1"/>
  <c r="AM952" i="1"/>
  <c r="AP827" i="1"/>
  <c r="AQ820" i="1"/>
  <c r="AD754" i="1"/>
  <c r="AF711" i="1"/>
  <c r="AM661" i="1"/>
  <c r="AM763" i="1"/>
  <c r="AP629" i="1"/>
  <c r="AQ629" i="1" s="1"/>
  <c r="AR629" i="1" s="1"/>
  <c r="AS629" i="1" s="1"/>
  <c r="AT629" i="1" s="1"/>
  <c r="AP630" i="1"/>
  <c r="AQ630" i="1" s="1"/>
  <c r="AR630" i="1" s="1"/>
  <c r="AS630" i="1" s="1"/>
  <c r="AT630" i="1" s="1"/>
  <c r="AM628" i="1"/>
  <c r="Q848" i="1"/>
  <c r="AP619" i="1"/>
  <c r="AQ619" i="1" s="1"/>
  <c r="AR619" i="1" s="1"/>
  <c r="AS619" i="1" s="1"/>
  <c r="AT619" i="1" s="1"/>
  <c r="AP611" i="1"/>
  <c r="AQ611" i="1" s="1"/>
  <c r="AR611" i="1" s="1"/>
  <c r="AS611" i="1" s="1"/>
  <c r="AT611" i="1" s="1"/>
  <c r="AE632" i="1"/>
  <c r="AC632" i="1"/>
  <c r="AP603" i="1"/>
  <c r="AP565" i="1"/>
  <c r="AQ565" i="1" s="1"/>
  <c r="AR565" i="1" s="1"/>
  <c r="AS565" i="1" s="1"/>
  <c r="AT565" i="1" s="1"/>
  <c r="AP562" i="1"/>
  <c r="AQ562" i="1" s="1"/>
  <c r="AR562" i="1" s="1"/>
  <c r="AS562" i="1" s="1"/>
  <c r="AT562" i="1" s="1"/>
  <c r="AP541" i="1"/>
  <c r="AQ541" i="1" s="1"/>
  <c r="AR541" i="1" s="1"/>
  <c r="AS541" i="1" s="1"/>
  <c r="AT541" i="1" s="1"/>
  <c r="AM625" i="1"/>
  <c r="AM579" i="1"/>
  <c r="AP579" i="1" s="1"/>
  <c r="AQ579" i="1" s="1"/>
  <c r="AR579" i="1" s="1"/>
  <c r="AS579" i="1" s="1"/>
  <c r="AT579" i="1" s="1"/>
  <c r="AM575" i="1"/>
  <c r="AP575" i="1" s="1"/>
  <c r="AQ575" i="1" s="1"/>
  <c r="AR575" i="1" s="1"/>
  <c r="AS575" i="1" s="1"/>
  <c r="AT575" i="1" s="1"/>
  <c r="AM567" i="1"/>
  <c r="AP567" i="1" s="1"/>
  <c r="AQ567" i="1" s="1"/>
  <c r="AR567" i="1" s="1"/>
  <c r="AS567" i="1" s="1"/>
  <c r="AT567" i="1" s="1"/>
  <c r="AM559" i="1"/>
  <c r="AP559" i="1" s="1"/>
  <c r="AQ559" i="1" s="1"/>
  <c r="AR559" i="1" s="1"/>
  <c r="AS559" i="1" s="1"/>
  <c r="AT559" i="1" s="1"/>
  <c r="AM549" i="1"/>
  <c r="AP549" i="1" s="1"/>
  <c r="AQ549" i="1" s="1"/>
  <c r="AR549" i="1" s="1"/>
  <c r="AS549" i="1" s="1"/>
  <c r="AT549" i="1" s="1"/>
  <c r="AP624" i="1"/>
  <c r="AQ624" i="1" s="1"/>
  <c r="AR624" i="1" s="1"/>
  <c r="AS624" i="1" s="1"/>
  <c r="AT624" i="1" s="1"/>
  <c r="AM599" i="1"/>
  <c r="AP599" i="1" s="1"/>
  <c r="AQ599" i="1" s="1"/>
  <c r="AR599" i="1" s="1"/>
  <c r="AS599" i="1" s="1"/>
  <c r="AT599" i="1" s="1"/>
  <c r="AM566" i="1"/>
  <c r="AM561" i="1"/>
  <c r="AM558" i="1"/>
  <c r="AP558" i="1" s="1"/>
  <c r="AQ558" i="1" s="1"/>
  <c r="AR558" i="1" s="1"/>
  <c r="AS558" i="1" s="1"/>
  <c r="AT558" i="1" s="1"/>
  <c r="AM531" i="1"/>
  <c r="AP531" i="1" s="1"/>
  <c r="AQ531" i="1" s="1"/>
  <c r="AR531" i="1" s="1"/>
  <c r="AS531" i="1" s="1"/>
  <c r="AT531" i="1" s="1"/>
  <c r="AM527" i="1"/>
  <c r="AP617" i="1"/>
  <c r="AQ617" i="1" s="1"/>
  <c r="AR617" i="1" s="1"/>
  <c r="AS617" i="1" s="1"/>
  <c r="AT617" i="1" s="1"/>
  <c r="AM614" i="1"/>
  <c r="AP614" i="1" s="1"/>
  <c r="AQ614" i="1" s="1"/>
  <c r="AR614" i="1" s="1"/>
  <c r="AS614" i="1" s="1"/>
  <c r="AT614" i="1" s="1"/>
  <c r="AM560" i="1"/>
  <c r="AP560" i="1" s="1"/>
  <c r="AQ560" i="1" s="1"/>
  <c r="AR560" i="1" s="1"/>
  <c r="AS560" i="1" s="1"/>
  <c r="AT560" i="1" s="1"/>
  <c r="S568" i="1"/>
  <c r="T557" i="1"/>
  <c r="AM533" i="1"/>
  <c r="AP533" i="1" s="1"/>
  <c r="AQ533" i="1" s="1"/>
  <c r="AR533" i="1" s="1"/>
  <c r="AS533" i="1" s="1"/>
  <c r="AT533" i="1" s="1"/>
  <c r="R535" i="1"/>
  <c r="S511" i="1"/>
  <c r="AM452" i="1"/>
  <c r="AM444" i="1"/>
  <c r="Q456" i="1"/>
  <c r="AM526" i="1"/>
  <c r="AM484" i="1"/>
  <c r="AP484" i="1"/>
  <c r="AQ484" i="1" s="1"/>
  <c r="AR484" i="1" s="1"/>
  <c r="AS484" i="1" s="1"/>
  <c r="AT484" i="1" s="1"/>
  <c r="AM471" i="1"/>
  <c r="AP471" i="1" s="1"/>
  <c r="AQ471" i="1" s="1"/>
  <c r="AR471" i="1" s="1"/>
  <c r="AS471" i="1" s="1"/>
  <c r="AT471" i="1" s="1"/>
  <c r="AM468" i="1"/>
  <c r="AM465" i="1"/>
  <c r="AP465" i="1" s="1"/>
  <c r="AQ465" i="1" s="1"/>
  <c r="AR465" i="1" s="1"/>
  <c r="AS465" i="1" s="1"/>
  <c r="AT465" i="1" s="1"/>
  <c r="AM441" i="1"/>
  <c r="AP441" i="1" s="1"/>
  <c r="AQ441" i="1" s="1"/>
  <c r="AR441" i="1" s="1"/>
  <c r="AS441" i="1" s="1"/>
  <c r="AT441" i="1" s="1"/>
  <c r="AI362" i="1"/>
  <c r="AE362" i="1"/>
  <c r="AL362" i="1"/>
  <c r="AH362" i="1"/>
  <c r="AD362" i="1"/>
  <c r="AK362" i="1"/>
  <c r="AG362" i="1"/>
  <c r="AC362" i="1"/>
  <c r="AJ362" i="1"/>
  <c r="AF362" i="1"/>
  <c r="AP523" i="1"/>
  <c r="AQ523" i="1" s="1"/>
  <c r="AR523" i="1" s="1"/>
  <c r="AS523" i="1" s="1"/>
  <c r="AT523" i="1" s="1"/>
  <c r="AP519" i="1"/>
  <c r="AQ519" i="1" s="1"/>
  <c r="AR519" i="1" s="1"/>
  <c r="AS519" i="1" s="1"/>
  <c r="AT519" i="1" s="1"/>
  <c r="AP507" i="1"/>
  <c r="AQ507" i="1" s="1"/>
  <c r="AR507" i="1" s="1"/>
  <c r="AS507" i="1" s="1"/>
  <c r="AT507" i="1" s="1"/>
  <c r="AP495" i="1"/>
  <c r="AQ495" i="1" s="1"/>
  <c r="AR495" i="1" s="1"/>
  <c r="AS495" i="1" s="1"/>
  <c r="AT495" i="1" s="1"/>
  <c r="AP491" i="1"/>
  <c r="AQ491" i="1" s="1"/>
  <c r="AR491" i="1" s="1"/>
  <c r="AS491" i="1" s="1"/>
  <c r="AT491" i="1" s="1"/>
  <c r="AP449" i="1"/>
  <c r="AQ449" i="1" s="1"/>
  <c r="AR449" i="1" s="1"/>
  <c r="AS449" i="1" s="1"/>
  <c r="AT449" i="1" s="1"/>
  <c r="AM447" i="1"/>
  <c r="AJ433" i="1"/>
  <c r="AJ454" i="1" s="1"/>
  <c r="AF433" i="1"/>
  <c r="AF454" i="1" s="1"/>
  <c r="AK433" i="1"/>
  <c r="AG433" i="1"/>
  <c r="AC433" i="1"/>
  <c r="T454" i="1"/>
  <c r="AE433" i="1"/>
  <c r="AL433" i="1"/>
  <c r="AD433" i="1"/>
  <c r="AI433" i="1"/>
  <c r="AH433" i="1"/>
  <c r="AM534" i="1"/>
  <c r="AP534" i="1" s="1"/>
  <c r="AQ534" i="1" s="1"/>
  <c r="AR534" i="1" s="1"/>
  <c r="AS534" i="1" s="1"/>
  <c r="AT534" i="1" s="1"/>
  <c r="AM503" i="1"/>
  <c r="AP503" i="1" s="1"/>
  <c r="AQ503" i="1" s="1"/>
  <c r="AR503" i="1" s="1"/>
  <c r="AS503" i="1" s="1"/>
  <c r="AT503" i="1" s="1"/>
  <c r="AM473" i="1"/>
  <c r="AP473" i="1" s="1"/>
  <c r="AQ473" i="1" s="1"/>
  <c r="AR473" i="1" s="1"/>
  <c r="AS473" i="1" s="1"/>
  <c r="AT473" i="1" s="1"/>
  <c r="AM463" i="1"/>
  <c r="AP463" i="1" s="1"/>
  <c r="AQ463" i="1" s="1"/>
  <c r="AR463" i="1" s="1"/>
  <c r="AS463" i="1" s="1"/>
  <c r="AT463" i="1" s="1"/>
  <c r="R395" i="1"/>
  <c r="AM439" i="1"/>
  <c r="AP439" i="1" s="1"/>
  <c r="AQ439" i="1" s="1"/>
  <c r="AR439" i="1" s="1"/>
  <c r="AS439" i="1" s="1"/>
  <c r="AT439" i="1" s="1"/>
  <c r="AM411" i="1"/>
  <c r="AP411" i="1" s="1"/>
  <c r="AQ411" i="1" s="1"/>
  <c r="AR411" i="1" s="1"/>
  <c r="AS411" i="1" s="1"/>
  <c r="AT411" i="1" s="1"/>
  <c r="AM407" i="1"/>
  <c r="AP407" i="1" s="1"/>
  <c r="AQ407" i="1" s="1"/>
  <c r="AR407" i="1" s="1"/>
  <c r="AS407" i="1" s="1"/>
  <c r="AT407" i="1" s="1"/>
  <c r="AM382" i="1"/>
  <c r="AP382" i="1" s="1"/>
  <c r="AQ382" i="1" s="1"/>
  <c r="AR382" i="1" s="1"/>
  <c r="AS382" i="1" s="1"/>
  <c r="AT382" i="1" s="1"/>
  <c r="AM379" i="1"/>
  <c r="AP379" i="1" s="1"/>
  <c r="AQ379" i="1" s="1"/>
  <c r="AR379" i="1" s="1"/>
  <c r="AS379" i="1" s="1"/>
  <c r="AT379" i="1" s="1"/>
  <c r="AM374" i="1"/>
  <c r="AP374" i="1" s="1"/>
  <c r="AQ374" i="1" s="1"/>
  <c r="AR374" i="1" s="1"/>
  <c r="AS374" i="1" s="1"/>
  <c r="AT374" i="1" s="1"/>
  <c r="AM371" i="1"/>
  <c r="AM366" i="1"/>
  <c r="AP366" i="1" s="1"/>
  <c r="AQ366" i="1" s="1"/>
  <c r="AR366" i="1" s="1"/>
  <c r="AS366" i="1" s="1"/>
  <c r="AT366" i="1" s="1"/>
  <c r="AM363" i="1"/>
  <c r="AP363" i="1" s="1"/>
  <c r="AQ363" i="1" s="1"/>
  <c r="AR363" i="1" s="1"/>
  <c r="AS363" i="1" s="1"/>
  <c r="AT363" i="1" s="1"/>
  <c r="AM346" i="1"/>
  <c r="AP346" i="1" s="1"/>
  <c r="AQ346" i="1" s="1"/>
  <c r="AR346" i="1" s="1"/>
  <c r="AS346" i="1" s="1"/>
  <c r="AT346" i="1" s="1"/>
  <c r="AM342" i="1"/>
  <c r="AM338" i="1"/>
  <c r="AP338" i="1" s="1"/>
  <c r="AQ338" i="1" s="1"/>
  <c r="AR338" i="1" s="1"/>
  <c r="AS338" i="1" s="1"/>
  <c r="AT338" i="1" s="1"/>
  <c r="AM334" i="1"/>
  <c r="AP334" i="1" s="1"/>
  <c r="AQ334" i="1" s="1"/>
  <c r="AR334" i="1" s="1"/>
  <c r="AS334" i="1" s="1"/>
  <c r="AT334" i="1" s="1"/>
  <c r="AM330" i="1"/>
  <c r="AP330" i="1" s="1"/>
  <c r="AQ330" i="1" s="1"/>
  <c r="AR330" i="1" s="1"/>
  <c r="AS330" i="1" s="1"/>
  <c r="AT330" i="1" s="1"/>
  <c r="AM326" i="1"/>
  <c r="AP326" i="1" s="1"/>
  <c r="AQ326" i="1" s="1"/>
  <c r="AR326" i="1" s="1"/>
  <c r="AS326" i="1" s="1"/>
  <c r="AT326" i="1" s="1"/>
  <c r="AM322" i="1"/>
  <c r="AP322" i="1" s="1"/>
  <c r="AQ322" i="1" s="1"/>
  <c r="AR322" i="1" s="1"/>
  <c r="AS322" i="1" s="1"/>
  <c r="AT322" i="1" s="1"/>
  <c r="R283" i="1"/>
  <c r="S275" i="1"/>
  <c r="AM381" i="1"/>
  <c r="AM373" i="1"/>
  <c r="AP373" i="1" s="1"/>
  <c r="AQ373" i="1" s="1"/>
  <c r="AR373" i="1" s="1"/>
  <c r="AS373" i="1" s="1"/>
  <c r="AT373" i="1" s="1"/>
  <c r="AM365" i="1"/>
  <c r="AP365" i="1" s="1"/>
  <c r="AQ365" i="1" s="1"/>
  <c r="AR365" i="1" s="1"/>
  <c r="AS365" i="1" s="1"/>
  <c r="AT365" i="1" s="1"/>
  <c r="AP333" i="1"/>
  <c r="AQ333" i="1" s="1"/>
  <c r="AR333" i="1" s="1"/>
  <c r="AS333" i="1" s="1"/>
  <c r="AT333" i="1" s="1"/>
  <c r="AM304" i="1"/>
  <c r="AP304" i="1" s="1"/>
  <c r="AQ304" i="1" s="1"/>
  <c r="AR304" i="1" s="1"/>
  <c r="AS304" i="1" s="1"/>
  <c r="AT304" i="1" s="1"/>
  <c r="AP425" i="1"/>
  <c r="AQ425" i="1" s="1"/>
  <c r="AR425" i="1" s="1"/>
  <c r="AS425" i="1" s="1"/>
  <c r="AT425" i="1" s="1"/>
  <c r="AM435" i="1"/>
  <c r="AP435" i="1" s="1"/>
  <c r="AQ435" i="1" s="1"/>
  <c r="AR435" i="1" s="1"/>
  <c r="AS435" i="1" s="1"/>
  <c r="AT435" i="1" s="1"/>
  <c r="AM391" i="1"/>
  <c r="AP391" i="1" s="1"/>
  <c r="AQ391" i="1" s="1"/>
  <c r="AR391" i="1" s="1"/>
  <c r="AS391" i="1" s="1"/>
  <c r="AT391" i="1" s="1"/>
  <c r="AM387" i="1"/>
  <c r="AP387" i="1" s="1"/>
  <c r="AQ387" i="1" s="1"/>
  <c r="AR387" i="1" s="1"/>
  <c r="AS387" i="1" s="1"/>
  <c r="AT387" i="1" s="1"/>
  <c r="S395" i="1"/>
  <c r="AM355" i="1"/>
  <c r="AP355" i="1" s="1"/>
  <c r="AQ355" i="1" s="1"/>
  <c r="AR355" i="1" s="1"/>
  <c r="AS355" i="1" s="1"/>
  <c r="AT355" i="1" s="1"/>
  <c r="AP342" i="1"/>
  <c r="AQ342" i="1" s="1"/>
  <c r="AR342" i="1" s="1"/>
  <c r="AS342" i="1" s="1"/>
  <c r="AT342" i="1" s="1"/>
  <c r="AP344" i="1"/>
  <c r="AQ344" i="1" s="1"/>
  <c r="AR344" i="1" s="1"/>
  <c r="AS344" i="1" s="1"/>
  <c r="AT344" i="1" s="1"/>
  <c r="AM335" i="1"/>
  <c r="AM319" i="1"/>
  <c r="AP319" i="1" s="1"/>
  <c r="AQ319" i="1" s="1"/>
  <c r="AR319" i="1" s="1"/>
  <c r="AS319" i="1" s="1"/>
  <c r="AT319" i="1" s="1"/>
  <c r="AM280" i="1"/>
  <c r="AP280" i="1" s="1"/>
  <c r="AQ280" i="1" s="1"/>
  <c r="AR280" i="1" s="1"/>
  <c r="AS280" i="1" s="1"/>
  <c r="AT280" i="1" s="1"/>
  <c r="AM237" i="1"/>
  <c r="AP237" i="1" s="1"/>
  <c r="AQ237" i="1" s="1"/>
  <c r="AR237" i="1" s="1"/>
  <c r="AS237" i="1" s="1"/>
  <c r="AT237" i="1" s="1"/>
  <c r="AM234" i="1"/>
  <c r="AM227" i="1"/>
  <c r="AP227" i="1" s="1"/>
  <c r="AQ227" i="1" s="1"/>
  <c r="AR227" i="1" s="1"/>
  <c r="AS227" i="1" s="1"/>
  <c r="AT227" i="1" s="1"/>
  <c r="AM348" i="1"/>
  <c r="AM303" i="1"/>
  <c r="AP303" i="1" s="1"/>
  <c r="AQ303" i="1" s="1"/>
  <c r="AR303" i="1" s="1"/>
  <c r="AS303" i="1" s="1"/>
  <c r="AT303" i="1" s="1"/>
  <c r="AM299" i="1"/>
  <c r="AP299" i="1" s="1"/>
  <c r="AQ299" i="1" s="1"/>
  <c r="AR299" i="1" s="1"/>
  <c r="AS299" i="1" s="1"/>
  <c r="AT299" i="1" s="1"/>
  <c r="AM295" i="1"/>
  <c r="AP295" i="1" s="1"/>
  <c r="AQ295" i="1" s="1"/>
  <c r="AR295" i="1" s="1"/>
  <c r="AS295" i="1" s="1"/>
  <c r="AT295" i="1" s="1"/>
  <c r="AM291" i="1"/>
  <c r="AP291" i="1" s="1"/>
  <c r="AQ291" i="1" s="1"/>
  <c r="AR291" i="1" s="1"/>
  <c r="AS291" i="1" s="1"/>
  <c r="AT291" i="1" s="1"/>
  <c r="AM287" i="1"/>
  <c r="AP287" i="1" s="1"/>
  <c r="AQ287" i="1" s="1"/>
  <c r="AR287" i="1" s="1"/>
  <c r="AS287" i="1" s="1"/>
  <c r="AT287" i="1" s="1"/>
  <c r="AP252" i="1"/>
  <c r="AQ252" i="1" s="1"/>
  <c r="AR252" i="1" s="1"/>
  <c r="AS252" i="1" s="1"/>
  <c r="AT252" i="1" s="1"/>
  <c r="AP249" i="1"/>
  <c r="AQ249" i="1" s="1"/>
  <c r="AR249" i="1" s="1"/>
  <c r="AS249" i="1" s="1"/>
  <c r="AT249" i="1" s="1"/>
  <c r="S259" i="1"/>
  <c r="T246" i="1"/>
  <c r="AM239" i="1"/>
  <c r="AP239" i="1" s="1"/>
  <c r="AQ239" i="1" s="1"/>
  <c r="AR239" i="1" s="1"/>
  <c r="AS239" i="1" s="1"/>
  <c r="AT239" i="1" s="1"/>
  <c r="AM226" i="1"/>
  <c r="AM220" i="1"/>
  <c r="AG174" i="1"/>
  <c r="R109" i="1"/>
  <c r="S97" i="1"/>
  <c r="AM347" i="1"/>
  <c r="AM327" i="1"/>
  <c r="AP327" i="1" s="1"/>
  <c r="AQ327" i="1" s="1"/>
  <c r="AR327" i="1" s="1"/>
  <c r="AS327" i="1" s="1"/>
  <c r="AT327" i="1" s="1"/>
  <c r="AP317" i="1"/>
  <c r="AQ317" i="1" s="1"/>
  <c r="AR317" i="1" s="1"/>
  <c r="AS317" i="1" s="1"/>
  <c r="AT317" i="1" s="1"/>
  <c r="AM278" i="1"/>
  <c r="AP278" i="1" s="1"/>
  <c r="AQ278" i="1" s="1"/>
  <c r="AR278" i="1" s="1"/>
  <c r="AS278" i="1" s="1"/>
  <c r="AT278" i="1" s="1"/>
  <c r="AM269" i="1"/>
  <c r="AP269" i="1" s="1"/>
  <c r="AQ269" i="1" s="1"/>
  <c r="AR269" i="1" s="1"/>
  <c r="AS269" i="1" s="1"/>
  <c r="AT269" i="1" s="1"/>
  <c r="AM255" i="1"/>
  <c r="AP255" i="1" s="1"/>
  <c r="AQ255" i="1" s="1"/>
  <c r="AR255" i="1" s="1"/>
  <c r="AS255" i="1" s="1"/>
  <c r="AT255" i="1" s="1"/>
  <c r="AP336" i="1"/>
  <c r="AQ336" i="1" s="1"/>
  <c r="AR336" i="1" s="1"/>
  <c r="AS336" i="1" s="1"/>
  <c r="AT336" i="1" s="1"/>
  <c r="AP320" i="1"/>
  <c r="AQ320" i="1" s="1"/>
  <c r="AR320" i="1" s="1"/>
  <c r="AS320" i="1" s="1"/>
  <c r="AT320" i="1" s="1"/>
  <c r="AM302" i="1"/>
  <c r="AP302" i="1" s="1"/>
  <c r="AQ302" i="1" s="1"/>
  <c r="AR302" i="1" s="1"/>
  <c r="AS302" i="1" s="1"/>
  <c r="AT302" i="1" s="1"/>
  <c r="AM298" i="1"/>
  <c r="AP298" i="1" s="1"/>
  <c r="AQ298" i="1" s="1"/>
  <c r="AR298" i="1" s="1"/>
  <c r="AS298" i="1" s="1"/>
  <c r="AT298" i="1" s="1"/>
  <c r="AM294" i="1"/>
  <c r="AP294" i="1" s="1"/>
  <c r="AQ294" i="1" s="1"/>
  <c r="AR294" i="1" s="1"/>
  <c r="AS294" i="1" s="1"/>
  <c r="AT294" i="1" s="1"/>
  <c r="AM290" i="1"/>
  <c r="AP290" i="1" s="1"/>
  <c r="AQ290" i="1" s="1"/>
  <c r="AR290" i="1" s="1"/>
  <c r="AS290" i="1" s="1"/>
  <c r="AT290" i="1" s="1"/>
  <c r="AP254" i="1"/>
  <c r="AQ254" i="1" s="1"/>
  <c r="AR254" i="1" s="1"/>
  <c r="AS254" i="1" s="1"/>
  <c r="AT254" i="1" s="1"/>
  <c r="AP240" i="1"/>
  <c r="AQ240" i="1" s="1"/>
  <c r="AR240" i="1" s="1"/>
  <c r="AS240" i="1" s="1"/>
  <c r="AT240" i="1" s="1"/>
  <c r="AM169" i="1"/>
  <c r="AP169" i="1" s="1"/>
  <c r="AQ169" i="1" s="1"/>
  <c r="AR169" i="1" s="1"/>
  <c r="AS169" i="1" s="1"/>
  <c r="AT169" i="1" s="1"/>
  <c r="AI116" i="1"/>
  <c r="AE116" i="1"/>
  <c r="AL116" i="1"/>
  <c r="AH116" i="1"/>
  <c r="AD116" i="1"/>
  <c r="AK116" i="1"/>
  <c r="AG116" i="1"/>
  <c r="AC116" i="1"/>
  <c r="AJ116" i="1"/>
  <c r="AF116" i="1"/>
  <c r="AP210" i="1"/>
  <c r="AQ210" i="1" s="1"/>
  <c r="AR210" i="1" s="1"/>
  <c r="AS210" i="1" s="1"/>
  <c r="AT210" i="1" s="1"/>
  <c r="AP206" i="1"/>
  <c r="AQ206" i="1" s="1"/>
  <c r="AR206" i="1" s="1"/>
  <c r="AS206" i="1" s="1"/>
  <c r="AT206" i="1" s="1"/>
  <c r="AP202" i="1"/>
  <c r="AQ202" i="1" s="1"/>
  <c r="AR202" i="1" s="1"/>
  <c r="AS202" i="1" s="1"/>
  <c r="AT202" i="1" s="1"/>
  <c r="AP198" i="1"/>
  <c r="AQ198" i="1" s="1"/>
  <c r="AR198" i="1" s="1"/>
  <c r="AS198" i="1" s="1"/>
  <c r="AT198" i="1" s="1"/>
  <c r="AP189" i="1"/>
  <c r="AQ189" i="1" s="1"/>
  <c r="AR189" i="1" s="1"/>
  <c r="AS189" i="1" s="1"/>
  <c r="AT189" i="1" s="1"/>
  <c r="AM186" i="1"/>
  <c r="AP186" i="1" s="1"/>
  <c r="AQ186" i="1" s="1"/>
  <c r="AR186" i="1" s="1"/>
  <c r="AS186" i="1" s="1"/>
  <c r="AT186" i="1" s="1"/>
  <c r="AP153" i="1"/>
  <c r="AQ153" i="1" s="1"/>
  <c r="AR153" i="1" s="1"/>
  <c r="AS153" i="1" s="1"/>
  <c r="AT153" i="1" s="1"/>
  <c r="AM139" i="1"/>
  <c r="AM130" i="1"/>
  <c r="AP130" i="1" s="1"/>
  <c r="AQ130" i="1" s="1"/>
  <c r="AR130" i="1" s="1"/>
  <c r="AS130" i="1" s="1"/>
  <c r="AT130" i="1" s="1"/>
  <c r="AM127" i="1"/>
  <c r="AP127" i="1" s="1"/>
  <c r="AQ127" i="1" s="1"/>
  <c r="AR127" i="1" s="1"/>
  <c r="AS127" i="1" s="1"/>
  <c r="AT127" i="1" s="1"/>
  <c r="AM217" i="1"/>
  <c r="AP217" i="1" s="1"/>
  <c r="AQ217" i="1" s="1"/>
  <c r="AR217" i="1" s="1"/>
  <c r="AS217" i="1" s="1"/>
  <c r="AT217" i="1" s="1"/>
  <c r="AM182" i="1"/>
  <c r="AP182" i="1" s="1"/>
  <c r="AQ182" i="1" s="1"/>
  <c r="AR182" i="1" s="1"/>
  <c r="AS182" i="1" s="1"/>
  <c r="AT182" i="1" s="1"/>
  <c r="AM162" i="1"/>
  <c r="AP162" i="1" s="1"/>
  <c r="AQ162" i="1" s="1"/>
  <c r="AR162" i="1" s="1"/>
  <c r="AS162" i="1" s="1"/>
  <c r="AT162" i="1" s="1"/>
  <c r="AP157" i="1"/>
  <c r="AQ157" i="1" s="1"/>
  <c r="AR157" i="1" s="1"/>
  <c r="AS157" i="1" s="1"/>
  <c r="AT157" i="1" s="1"/>
  <c r="AP143" i="1"/>
  <c r="AQ143" i="1" s="1"/>
  <c r="AR143" i="1" s="1"/>
  <c r="AS143" i="1" s="1"/>
  <c r="AT143" i="1" s="1"/>
  <c r="AP129" i="1"/>
  <c r="AQ129" i="1" s="1"/>
  <c r="AR129" i="1" s="1"/>
  <c r="AS129" i="1" s="1"/>
  <c r="AT129" i="1" s="1"/>
  <c r="AP126" i="1"/>
  <c r="AQ126" i="1" s="1"/>
  <c r="AR126" i="1" s="1"/>
  <c r="AS126" i="1" s="1"/>
  <c r="AT126" i="1" s="1"/>
  <c r="AP123" i="1"/>
  <c r="AQ123" i="1" s="1"/>
  <c r="AR123" i="1" s="1"/>
  <c r="AS123" i="1" s="1"/>
  <c r="AT123" i="1" s="1"/>
  <c r="AP108" i="1"/>
  <c r="AQ108" i="1" s="1"/>
  <c r="AR108" i="1" s="1"/>
  <c r="AS108" i="1" s="1"/>
  <c r="AT108" i="1" s="1"/>
  <c r="AP105" i="1"/>
  <c r="AQ105" i="1" s="1"/>
  <c r="AR105" i="1" s="1"/>
  <c r="AS105" i="1" s="1"/>
  <c r="AT105" i="1" s="1"/>
  <c r="AP102" i="1"/>
  <c r="AQ102" i="1" s="1"/>
  <c r="AR102" i="1" s="1"/>
  <c r="AS102" i="1" s="1"/>
  <c r="AT102" i="1" s="1"/>
  <c r="AP88" i="1"/>
  <c r="AQ88" i="1" s="1"/>
  <c r="AR88" i="1" s="1"/>
  <c r="AS88" i="1" s="1"/>
  <c r="AT88" i="1" s="1"/>
  <c r="T72" i="1"/>
  <c r="AL39" i="1"/>
  <c r="AL72" i="1" s="1"/>
  <c r="AH39" i="1"/>
  <c r="AH72" i="1" s="1"/>
  <c r="AD39" i="1"/>
  <c r="AC39" i="1"/>
  <c r="AF39" i="1"/>
  <c r="AF72" i="1" s="1"/>
  <c r="AG39" i="1"/>
  <c r="AG72" i="1" s="1"/>
  <c r="AK39" i="1"/>
  <c r="AK72" i="1" s="1"/>
  <c r="AJ39" i="1"/>
  <c r="AJ72" i="1" s="1"/>
  <c r="AE39" i="1"/>
  <c r="AE72" i="1" s="1"/>
  <c r="AI39" i="1"/>
  <c r="AI72" i="1" s="1"/>
  <c r="AP207" i="1"/>
  <c r="AQ207" i="1" s="1"/>
  <c r="AR207" i="1" s="1"/>
  <c r="AS207" i="1" s="1"/>
  <c r="AT207" i="1" s="1"/>
  <c r="AM178" i="1"/>
  <c r="AP178" i="1" s="1"/>
  <c r="AQ178" i="1" s="1"/>
  <c r="AR178" i="1" s="1"/>
  <c r="AS178" i="1" s="1"/>
  <c r="AT178" i="1" s="1"/>
  <c r="AM159" i="1"/>
  <c r="AM154" i="1"/>
  <c r="AP154" i="1" s="1"/>
  <c r="AQ154" i="1" s="1"/>
  <c r="AR154" i="1" s="1"/>
  <c r="AS154" i="1" s="1"/>
  <c r="AT154" i="1" s="1"/>
  <c r="AJ118" i="1"/>
  <c r="AF118" i="1"/>
  <c r="AI118" i="1"/>
  <c r="AE118" i="1"/>
  <c r="AL118" i="1"/>
  <c r="AH118" i="1"/>
  <c r="AD118" i="1"/>
  <c r="AK118" i="1"/>
  <c r="AG118" i="1"/>
  <c r="AC118" i="1"/>
  <c r="AM104" i="1"/>
  <c r="AP104" i="1" s="1"/>
  <c r="AQ104" i="1" s="1"/>
  <c r="AR104" i="1" s="1"/>
  <c r="AS104" i="1" s="1"/>
  <c r="AT104" i="1" s="1"/>
  <c r="AM101" i="1"/>
  <c r="AM98" i="1"/>
  <c r="AP76" i="1"/>
  <c r="AQ76" i="1" s="1"/>
  <c r="AR76" i="1" s="1"/>
  <c r="AS76" i="1" s="1"/>
  <c r="AT76" i="1" s="1"/>
  <c r="AM215" i="1"/>
  <c r="AP215" i="1" s="1"/>
  <c r="AQ215" i="1" s="1"/>
  <c r="AR215" i="1" s="1"/>
  <c r="AS215" i="1" s="1"/>
  <c r="AT215" i="1" s="1"/>
  <c r="AM187" i="1"/>
  <c r="AP187" i="1" s="1"/>
  <c r="AQ187" i="1" s="1"/>
  <c r="AR187" i="1" s="1"/>
  <c r="AS187" i="1" s="1"/>
  <c r="AT187" i="1" s="1"/>
  <c r="AD164" i="1"/>
  <c r="AM149" i="1"/>
  <c r="AI164" i="1"/>
  <c r="AM140" i="1"/>
  <c r="AP140" i="1" s="1"/>
  <c r="AQ140" i="1" s="1"/>
  <c r="AR140" i="1" s="1"/>
  <c r="AS140" i="1" s="1"/>
  <c r="AT140" i="1" s="1"/>
  <c r="AP131" i="1"/>
  <c r="AQ131" i="1" s="1"/>
  <c r="AR131" i="1" s="1"/>
  <c r="AS131" i="1" s="1"/>
  <c r="AT131" i="1" s="1"/>
  <c r="AM117" i="1"/>
  <c r="AP117" i="1" s="1"/>
  <c r="AQ117" i="1" s="1"/>
  <c r="AR117" i="1" s="1"/>
  <c r="AS117" i="1" s="1"/>
  <c r="AT117" i="1" s="1"/>
  <c r="AP100" i="1"/>
  <c r="AQ100" i="1" s="1"/>
  <c r="AR100" i="1" s="1"/>
  <c r="AS100" i="1" s="1"/>
  <c r="AT100" i="1" s="1"/>
  <c r="AM84" i="1"/>
  <c r="AP84" i="1" s="1"/>
  <c r="AQ84" i="1" s="1"/>
  <c r="AR84" i="1" s="1"/>
  <c r="AS84" i="1" s="1"/>
  <c r="AT84" i="1" s="1"/>
  <c r="AM80" i="1"/>
  <c r="AM59" i="1"/>
  <c r="AP59" i="1" s="1"/>
  <c r="AQ59" i="1" s="1"/>
  <c r="AR59" i="1" s="1"/>
  <c r="AS59" i="1" s="1"/>
  <c r="AT59" i="1" s="1"/>
  <c r="AM41" i="1"/>
  <c r="AP41" i="1" s="1"/>
  <c r="AQ41" i="1" s="1"/>
  <c r="AR41" i="1" s="1"/>
  <c r="AS41" i="1" s="1"/>
  <c r="AT41" i="1" s="1"/>
  <c r="AP27" i="1"/>
  <c r="AQ27" i="1" s="1"/>
  <c r="AR27" i="1" s="1"/>
  <c r="AS27" i="1" s="1"/>
  <c r="AT27" i="1" s="1"/>
  <c r="AP54" i="1"/>
  <c r="AQ54" i="1" s="1"/>
  <c r="AR54" i="1" s="1"/>
  <c r="AS54" i="1" s="1"/>
  <c r="AT54" i="1" s="1"/>
  <c r="AP28" i="1"/>
  <c r="AQ28" i="1" s="1"/>
  <c r="AR28" i="1" s="1"/>
  <c r="AS28" i="1" s="1"/>
  <c r="AT28" i="1" s="1"/>
  <c r="AP44" i="1"/>
  <c r="AQ44" i="1" s="1"/>
  <c r="AR44" i="1" s="1"/>
  <c r="AS44" i="1" s="1"/>
  <c r="AT44" i="1" s="1"/>
  <c r="AP40" i="1"/>
  <c r="AQ40" i="1" s="1"/>
  <c r="AR40" i="1" s="1"/>
  <c r="AS40" i="1" s="1"/>
  <c r="AT40" i="1" s="1"/>
  <c r="AM34" i="1"/>
  <c r="AP34" i="1" s="1"/>
  <c r="AQ34" i="1" s="1"/>
  <c r="AR34" i="1" s="1"/>
  <c r="AS34" i="1" s="1"/>
  <c r="AT34" i="1" s="1"/>
  <c r="AM31" i="1"/>
  <c r="AP31" i="1" s="1"/>
  <c r="AQ31" i="1" s="1"/>
  <c r="AR31" i="1" s="1"/>
  <c r="AS31" i="1" s="1"/>
  <c r="AT31" i="1" s="1"/>
  <c r="AM30" i="1"/>
  <c r="AP30" i="1" s="1"/>
  <c r="AQ30" i="1" s="1"/>
  <c r="AR30" i="1" s="1"/>
  <c r="AS30" i="1" s="1"/>
  <c r="AT30" i="1" s="1"/>
  <c r="AM20" i="1"/>
  <c r="AP20" i="1" s="1"/>
  <c r="AQ20" i="1" s="1"/>
  <c r="AR20" i="1" s="1"/>
  <c r="AS20" i="1" s="1"/>
  <c r="AT20" i="1" s="1"/>
  <c r="R1368" i="1"/>
  <c r="R1402" i="1" s="1"/>
  <c r="S1354" i="1"/>
  <c r="AM1297" i="1"/>
  <c r="AD1302" i="1"/>
  <c r="S1264" i="1"/>
  <c r="T1253" i="1"/>
  <c r="T1264" i="1" s="1"/>
  <c r="AD1240" i="1"/>
  <c r="AM1235" i="1"/>
  <c r="AC1240" i="1"/>
  <c r="AC1319" i="1" s="1"/>
  <c r="S1240" i="1"/>
  <c r="T1223" i="1"/>
  <c r="T1240" i="1" s="1"/>
  <c r="AM1250" i="1"/>
  <c r="AP1249" i="1"/>
  <c r="AM1158" i="1"/>
  <c r="AP1158" i="1" s="1"/>
  <c r="AQ1158" i="1" s="1"/>
  <c r="AR1158" i="1" s="1"/>
  <c r="AV1158" i="1" s="1"/>
  <c r="AX1158" i="1" s="1"/>
  <c r="AM1140" i="1"/>
  <c r="AP1140" i="1" s="1"/>
  <c r="AQ1140" i="1" s="1"/>
  <c r="AR1140" i="1" s="1"/>
  <c r="AV1140" i="1" s="1"/>
  <c r="AX1140" i="1" s="1"/>
  <c r="AM1096" i="1"/>
  <c r="AP1096" i="1" s="1"/>
  <c r="AQ1096" i="1" s="1"/>
  <c r="AR1096" i="1" s="1"/>
  <c r="AV1096" i="1" s="1"/>
  <c r="AX1096" i="1" s="1"/>
  <c r="AG1152" i="1"/>
  <c r="AM1167" i="1"/>
  <c r="AP1167" i="1" s="1"/>
  <c r="AQ1167" i="1" s="1"/>
  <c r="AR1167" i="1" s="1"/>
  <c r="AV1167" i="1" s="1"/>
  <c r="AX1167" i="1" s="1"/>
  <c r="AF1172" i="1"/>
  <c r="AM1021" i="1"/>
  <c r="AP1021" i="1" s="1"/>
  <c r="AQ1021" i="1" s="1"/>
  <c r="AR1021" i="1" s="1"/>
  <c r="AV1021" i="1" s="1"/>
  <c r="AX1021" i="1" s="1"/>
  <c r="AM1003" i="1"/>
  <c r="AP1003" i="1" s="1"/>
  <c r="AQ1003" i="1" s="1"/>
  <c r="AR1003" i="1" s="1"/>
  <c r="AV1003" i="1" s="1"/>
  <c r="AX1003" i="1" s="1"/>
  <c r="AE1141" i="1"/>
  <c r="AK1141" i="1"/>
  <c r="W1191" i="1"/>
  <c r="AL1181" i="1"/>
  <c r="AL1191" i="1" s="1"/>
  <c r="AL1218" i="1" s="1"/>
  <c r="AH1181" i="1"/>
  <c r="AH1191" i="1" s="1"/>
  <c r="AH1218" i="1" s="1"/>
  <c r="AD1181" i="1"/>
  <c r="AI1181" i="1"/>
  <c r="AI1191" i="1" s="1"/>
  <c r="AE1181" i="1"/>
  <c r="AE1191" i="1" s="1"/>
  <c r="AE1218" i="1" s="1"/>
  <c r="AF1181" i="1"/>
  <c r="AF1191" i="1" s="1"/>
  <c r="AK1181" i="1"/>
  <c r="AK1191" i="1" s="1"/>
  <c r="AK1218" i="1" s="1"/>
  <c r="AC1181" i="1"/>
  <c r="AC1191" i="1" s="1"/>
  <c r="AJ1181" i="1"/>
  <c r="AJ1191" i="1" s="1"/>
  <c r="AJ1218" i="1" s="1"/>
  <c r="AG1181" i="1"/>
  <c r="AG1191" i="1" s="1"/>
  <c r="T1141" i="1"/>
  <c r="AM1061" i="1"/>
  <c r="AP1061" i="1" s="1"/>
  <c r="AQ1061" i="1" s="1"/>
  <c r="AR1061" i="1" s="1"/>
  <c r="AV1061" i="1" s="1"/>
  <c r="AX1061" i="1" s="1"/>
  <c r="AC1005" i="1"/>
  <c r="E1404" i="1"/>
  <c r="AX1000" i="1"/>
  <c r="AW1000" i="1"/>
  <c r="AP902" i="1"/>
  <c r="AM942" i="1"/>
  <c r="AP942" i="1" s="1"/>
  <c r="AQ942" i="1" s="1"/>
  <c r="AR942" i="1" s="1"/>
  <c r="AV942" i="1" s="1"/>
  <c r="AX942" i="1" s="1"/>
  <c r="AM916" i="1"/>
  <c r="AD919" i="1"/>
  <c r="AD921" i="1" s="1"/>
  <c r="AF902" i="1"/>
  <c r="AF921" i="1" s="1"/>
  <c r="AW811" i="1"/>
  <c r="AX811" i="1"/>
  <c r="AM902" i="1"/>
  <c r="AD846" i="1"/>
  <c r="AM843" i="1"/>
  <c r="R781" i="1"/>
  <c r="S769" i="1"/>
  <c r="Z1404" i="1"/>
  <c r="AG736" i="1"/>
  <c r="AJ848" i="1"/>
  <c r="T885" i="1"/>
  <c r="AQ852" i="1"/>
  <c r="Q921" i="1"/>
  <c r="AM794" i="1"/>
  <c r="AD795" i="1"/>
  <c r="AM779" i="1"/>
  <c r="AD781" i="1"/>
  <c r="S754" i="1"/>
  <c r="T739" i="1"/>
  <c r="T754" i="1" s="1"/>
  <c r="AM677" i="1"/>
  <c r="AP622" i="1"/>
  <c r="AQ622" i="1" s="1"/>
  <c r="AR622" i="1" s="1"/>
  <c r="AS622" i="1" s="1"/>
  <c r="AT622" i="1" s="1"/>
  <c r="AM631" i="1"/>
  <c r="AP631" i="1" s="1"/>
  <c r="AQ631" i="1" s="1"/>
  <c r="AR631" i="1" s="1"/>
  <c r="AS631" i="1" s="1"/>
  <c r="AT631" i="1" s="1"/>
  <c r="T587" i="1"/>
  <c r="S600" i="1"/>
  <c r="AP628" i="1"/>
  <c r="AQ628" i="1" s="1"/>
  <c r="AR628" i="1" s="1"/>
  <c r="AS628" i="1" s="1"/>
  <c r="AT628" i="1" s="1"/>
  <c r="AM627" i="1"/>
  <c r="AP627" i="1" s="1"/>
  <c r="AQ627" i="1" s="1"/>
  <c r="AR627" i="1" s="1"/>
  <c r="AS627" i="1" s="1"/>
  <c r="AT627" i="1" s="1"/>
  <c r="S711" i="1"/>
  <c r="AP626" i="1"/>
  <c r="AQ626" i="1" s="1"/>
  <c r="AR626" i="1" s="1"/>
  <c r="AS626" i="1" s="1"/>
  <c r="AT626" i="1" s="1"/>
  <c r="AP605" i="1"/>
  <c r="AQ605" i="1" s="1"/>
  <c r="AR605" i="1" s="1"/>
  <c r="AS605" i="1" s="1"/>
  <c r="AT605" i="1" s="1"/>
  <c r="AK632" i="1"/>
  <c r="AH632" i="1"/>
  <c r="AM595" i="1"/>
  <c r="AP595" i="1" s="1"/>
  <c r="AQ595" i="1" s="1"/>
  <c r="AR595" i="1" s="1"/>
  <c r="AS595" i="1" s="1"/>
  <c r="AT595" i="1" s="1"/>
  <c r="AM593" i="1"/>
  <c r="AP593" i="1" s="1"/>
  <c r="AP625" i="1"/>
  <c r="AQ625" i="1" s="1"/>
  <c r="AR625" i="1" s="1"/>
  <c r="AS625" i="1" s="1"/>
  <c r="AT625" i="1" s="1"/>
  <c r="AM613" i="1"/>
  <c r="AP613" i="1" s="1"/>
  <c r="AQ613" i="1" s="1"/>
  <c r="AR613" i="1" s="1"/>
  <c r="AS613" i="1" s="1"/>
  <c r="AT613" i="1" s="1"/>
  <c r="AM598" i="1"/>
  <c r="AP598" i="1" s="1"/>
  <c r="AQ598" i="1" s="1"/>
  <c r="AR598" i="1" s="1"/>
  <c r="AS598" i="1" s="1"/>
  <c r="AT598" i="1" s="1"/>
  <c r="AP588" i="1"/>
  <c r="AQ588" i="1" s="1"/>
  <c r="AR588" i="1" s="1"/>
  <c r="AS588" i="1" s="1"/>
  <c r="AT588" i="1" s="1"/>
  <c r="AM577" i="1"/>
  <c r="AP577" i="1" s="1"/>
  <c r="AQ577" i="1" s="1"/>
  <c r="AR577" i="1" s="1"/>
  <c r="AS577" i="1" s="1"/>
  <c r="AT577" i="1" s="1"/>
  <c r="AM573" i="1"/>
  <c r="AP573" i="1" s="1"/>
  <c r="AQ573" i="1" s="1"/>
  <c r="AR573" i="1" s="1"/>
  <c r="AS573" i="1" s="1"/>
  <c r="AT573" i="1" s="1"/>
  <c r="AM564" i="1"/>
  <c r="AP564" i="1" s="1"/>
  <c r="AQ564" i="1" s="1"/>
  <c r="AR564" i="1" s="1"/>
  <c r="AS564" i="1" s="1"/>
  <c r="AT564" i="1" s="1"/>
  <c r="AM548" i="1"/>
  <c r="AM545" i="1"/>
  <c r="AP545" i="1" s="1"/>
  <c r="AQ545" i="1" s="1"/>
  <c r="AR545" i="1" s="1"/>
  <c r="AS545" i="1" s="1"/>
  <c r="AT545" i="1" s="1"/>
  <c r="AM612" i="1"/>
  <c r="AP612" i="1" s="1"/>
  <c r="AQ612" i="1" s="1"/>
  <c r="AR612" i="1" s="1"/>
  <c r="AS612" i="1" s="1"/>
  <c r="AT612" i="1" s="1"/>
  <c r="AM608" i="1"/>
  <c r="AP608" i="1" s="1"/>
  <c r="AQ608" i="1" s="1"/>
  <c r="AR608" i="1" s="1"/>
  <c r="AS608" i="1" s="1"/>
  <c r="AT608" i="1" s="1"/>
  <c r="AM604" i="1"/>
  <c r="AP604" i="1" s="1"/>
  <c r="AQ604" i="1" s="1"/>
  <c r="AR604" i="1" s="1"/>
  <c r="AS604" i="1" s="1"/>
  <c r="AT604" i="1" s="1"/>
  <c r="AP566" i="1"/>
  <c r="AQ566" i="1" s="1"/>
  <c r="AR566" i="1" s="1"/>
  <c r="AS566" i="1" s="1"/>
  <c r="AT566" i="1" s="1"/>
  <c r="AP561" i="1"/>
  <c r="AQ561" i="1" s="1"/>
  <c r="AR561" i="1" s="1"/>
  <c r="AS561" i="1" s="1"/>
  <c r="AT561" i="1" s="1"/>
  <c r="AP540" i="1"/>
  <c r="AQ540" i="1" s="1"/>
  <c r="AR540" i="1" s="1"/>
  <c r="AS540" i="1" s="1"/>
  <c r="AT540" i="1" s="1"/>
  <c r="AP527" i="1"/>
  <c r="AQ527" i="1" s="1"/>
  <c r="AR527" i="1" s="1"/>
  <c r="AS527" i="1" s="1"/>
  <c r="AT527" i="1" s="1"/>
  <c r="AP596" i="1"/>
  <c r="AQ596" i="1" s="1"/>
  <c r="AR596" i="1" s="1"/>
  <c r="AS596" i="1" s="1"/>
  <c r="AT596" i="1" s="1"/>
  <c r="AM576" i="1"/>
  <c r="AP576" i="1" s="1"/>
  <c r="AQ576" i="1" s="1"/>
  <c r="AR576" i="1" s="1"/>
  <c r="AS576" i="1" s="1"/>
  <c r="AT576" i="1" s="1"/>
  <c r="AM572" i="1"/>
  <c r="AP572" i="1" s="1"/>
  <c r="AQ572" i="1" s="1"/>
  <c r="AR572" i="1" s="1"/>
  <c r="AS572" i="1" s="1"/>
  <c r="AT572" i="1" s="1"/>
  <c r="AM522" i="1"/>
  <c r="AP522" i="1" s="1"/>
  <c r="AQ522" i="1" s="1"/>
  <c r="AR522" i="1" s="1"/>
  <c r="AS522" i="1" s="1"/>
  <c r="AT522" i="1" s="1"/>
  <c r="AM518" i="1"/>
  <c r="AP518" i="1" s="1"/>
  <c r="AQ518" i="1" s="1"/>
  <c r="AR518" i="1" s="1"/>
  <c r="AS518" i="1" s="1"/>
  <c r="AT518" i="1" s="1"/>
  <c r="AM514" i="1"/>
  <c r="AP514" i="1" s="1"/>
  <c r="AQ514" i="1" s="1"/>
  <c r="AR514" i="1" s="1"/>
  <c r="AS514" i="1" s="1"/>
  <c r="AT514" i="1" s="1"/>
  <c r="AM505" i="1"/>
  <c r="AP505" i="1" s="1"/>
  <c r="AQ505" i="1" s="1"/>
  <c r="AR505" i="1" s="1"/>
  <c r="AS505" i="1" s="1"/>
  <c r="AT505" i="1" s="1"/>
  <c r="AM496" i="1"/>
  <c r="AP496" i="1" s="1"/>
  <c r="AQ496" i="1" s="1"/>
  <c r="AR496" i="1" s="1"/>
  <c r="AS496" i="1" s="1"/>
  <c r="AT496" i="1" s="1"/>
  <c r="AM492" i="1"/>
  <c r="AP492" i="1" s="1"/>
  <c r="AQ492" i="1" s="1"/>
  <c r="AR492" i="1" s="1"/>
  <c r="AS492" i="1" s="1"/>
  <c r="AT492" i="1" s="1"/>
  <c r="AP490" i="1"/>
  <c r="AQ490" i="1" s="1"/>
  <c r="AR490" i="1" s="1"/>
  <c r="AS490" i="1" s="1"/>
  <c r="AT490" i="1" s="1"/>
  <c r="AL479" i="1"/>
  <c r="AL485" i="1" s="1"/>
  <c r="AH479" i="1"/>
  <c r="AH485" i="1" s="1"/>
  <c r="AD479" i="1"/>
  <c r="AK479" i="1"/>
  <c r="AK485" i="1" s="1"/>
  <c r="AF479" i="1"/>
  <c r="AF485" i="1" s="1"/>
  <c r="AJ479" i="1"/>
  <c r="AJ485" i="1" s="1"/>
  <c r="AE479" i="1"/>
  <c r="AE485" i="1" s="1"/>
  <c r="T485" i="1"/>
  <c r="AI479" i="1"/>
  <c r="AI485" i="1" s="1"/>
  <c r="AC479" i="1"/>
  <c r="AG479" i="1"/>
  <c r="AG485" i="1" s="1"/>
  <c r="AM466" i="1"/>
  <c r="AP466" i="1" s="1"/>
  <c r="AQ466" i="1" s="1"/>
  <c r="AR466" i="1" s="1"/>
  <c r="AS466" i="1" s="1"/>
  <c r="AT466" i="1" s="1"/>
  <c r="AP452" i="1"/>
  <c r="AQ452" i="1" s="1"/>
  <c r="AR452" i="1" s="1"/>
  <c r="AS452" i="1" s="1"/>
  <c r="AT452" i="1" s="1"/>
  <c r="AP444" i="1"/>
  <c r="AQ444" i="1" s="1"/>
  <c r="AR444" i="1" s="1"/>
  <c r="AS444" i="1" s="1"/>
  <c r="AT444" i="1" s="1"/>
  <c r="AP526" i="1"/>
  <c r="AQ526" i="1" s="1"/>
  <c r="AR526" i="1" s="1"/>
  <c r="AS526" i="1" s="1"/>
  <c r="AT526" i="1" s="1"/>
  <c r="AP468" i="1"/>
  <c r="AQ468" i="1" s="1"/>
  <c r="AR468" i="1" s="1"/>
  <c r="AS468" i="1" s="1"/>
  <c r="AT468" i="1" s="1"/>
  <c r="AM453" i="1"/>
  <c r="AP453" i="1" s="1"/>
  <c r="AQ453" i="1" s="1"/>
  <c r="AR453" i="1" s="1"/>
  <c r="AS453" i="1" s="1"/>
  <c r="AT453" i="1" s="1"/>
  <c r="AM450" i="1"/>
  <c r="AP450" i="1" s="1"/>
  <c r="AQ450" i="1" s="1"/>
  <c r="AR450" i="1" s="1"/>
  <c r="AS450" i="1" s="1"/>
  <c r="AT450" i="1" s="1"/>
  <c r="AM429" i="1"/>
  <c r="AP429" i="1" s="1"/>
  <c r="AQ429" i="1" s="1"/>
  <c r="AR429" i="1" s="1"/>
  <c r="AS429" i="1" s="1"/>
  <c r="AT429" i="1" s="1"/>
  <c r="AI354" i="1"/>
  <c r="AE354" i="1"/>
  <c r="AL354" i="1"/>
  <c r="AH354" i="1"/>
  <c r="AD354" i="1"/>
  <c r="AK354" i="1"/>
  <c r="AG354" i="1"/>
  <c r="AC354" i="1"/>
  <c r="AJ354" i="1"/>
  <c r="AF354" i="1"/>
  <c r="AM539" i="1"/>
  <c r="AP539" i="1" s="1"/>
  <c r="AQ539" i="1" s="1"/>
  <c r="AR539" i="1" s="1"/>
  <c r="AS539" i="1" s="1"/>
  <c r="AT539" i="1" s="1"/>
  <c r="AM525" i="1"/>
  <c r="AP525" i="1" s="1"/>
  <c r="AQ525" i="1" s="1"/>
  <c r="AR525" i="1" s="1"/>
  <c r="AS525" i="1" s="1"/>
  <c r="AT525" i="1" s="1"/>
  <c r="AM521" i="1"/>
  <c r="AP521" i="1" s="1"/>
  <c r="AQ521" i="1" s="1"/>
  <c r="AR521" i="1" s="1"/>
  <c r="AS521" i="1" s="1"/>
  <c r="AT521" i="1" s="1"/>
  <c r="AM517" i="1"/>
  <c r="AP517" i="1" s="1"/>
  <c r="AQ517" i="1" s="1"/>
  <c r="AR517" i="1" s="1"/>
  <c r="AS517" i="1" s="1"/>
  <c r="AT517" i="1" s="1"/>
  <c r="AM513" i="1"/>
  <c r="AP513" i="1" s="1"/>
  <c r="AQ513" i="1" s="1"/>
  <c r="AR513" i="1" s="1"/>
  <c r="AS513" i="1" s="1"/>
  <c r="AT513" i="1" s="1"/>
  <c r="AM497" i="1"/>
  <c r="AP497" i="1" s="1"/>
  <c r="AQ497" i="1" s="1"/>
  <c r="AR497" i="1" s="1"/>
  <c r="AS497" i="1" s="1"/>
  <c r="AT497" i="1" s="1"/>
  <c r="AM493" i="1"/>
  <c r="AP493" i="1" s="1"/>
  <c r="AQ493" i="1" s="1"/>
  <c r="AR493" i="1" s="1"/>
  <c r="AS493" i="1" s="1"/>
  <c r="AT493" i="1" s="1"/>
  <c r="AM489" i="1"/>
  <c r="AP489" i="1" s="1"/>
  <c r="AQ489" i="1" s="1"/>
  <c r="AR489" i="1" s="1"/>
  <c r="AS489" i="1" s="1"/>
  <c r="AT489" i="1" s="1"/>
  <c r="AM474" i="1"/>
  <c r="AP474" i="1" s="1"/>
  <c r="AQ474" i="1" s="1"/>
  <c r="AR474" i="1" s="1"/>
  <c r="AS474" i="1" s="1"/>
  <c r="AT474" i="1" s="1"/>
  <c r="AM451" i="1"/>
  <c r="AP451" i="1" s="1"/>
  <c r="AQ451" i="1" s="1"/>
  <c r="AR451" i="1" s="1"/>
  <c r="AS451" i="1" s="1"/>
  <c r="AT451" i="1" s="1"/>
  <c r="AP447" i="1"/>
  <c r="AQ447" i="1" s="1"/>
  <c r="AR447" i="1" s="1"/>
  <c r="AS447" i="1" s="1"/>
  <c r="AT447" i="1" s="1"/>
  <c r="AM543" i="1"/>
  <c r="AP543" i="1" s="1"/>
  <c r="AQ543" i="1" s="1"/>
  <c r="AR543" i="1" s="1"/>
  <c r="AS543" i="1" s="1"/>
  <c r="AT543" i="1" s="1"/>
  <c r="AP506" i="1"/>
  <c r="AQ506" i="1" s="1"/>
  <c r="AR506" i="1" s="1"/>
  <c r="AS506" i="1" s="1"/>
  <c r="AT506" i="1" s="1"/>
  <c r="AP413" i="1"/>
  <c r="AQ413" i="1" s="1"/>
  <c r="AR413" i="1" s="1"/>
  <c r="AS413" i="1" s="1"/>
  <c r="AT413" i="1" s="1"/>
  <c r="AM399" i="1"/>
  <c r="AP399" i="1" s="1"/>
  <c r="AQ399" i="1" s="1"/>
  <c r="AR399" i="1" s="1"/>
  <c r="AS399" i="1" s="1"/>
  <c r="AT399" i="1" s="1"/>
  <c r="AP371" i="1"/>
  <c r="AQ371" i="1" s="1"/>
  <c r="AR371" i="1" s="1"/>
  <c r="AS371" i="1" s="1"/>
  <c r="AT371" i="1" s="1"/>
  <c r="AM349" i="1"/>
  <c r="AP349" i="1" s="1"/>
  <c r="AQ349" i="1" s="1"/>
  <c r="AR349" i="1" s="1"/>
  <c r="AS349" i="1" s="1"/>
  <c r="AT349" i="1" s="1"/>
  <c r="AM345" i="1"/>
  <c r="AP345" i="1" s="1"/>
  <c r="AQ345" i="1" s="1"/>
  <c r="AR345" i="1" s="1"/>
  <c r="AS345" i="1" s="1"/>
  <c r="AT345" i="1" s="1"/>
  <c r="AP305" i="1"/>
  <c r="AQ305" i="1" s="1"/>
  <c r="AR305" i="1" s="1"/>
  <c r="AS305" i="1" s="1"/>
  <c r="AT305" i="1" s="1"/>
  <c r="AP438" i="1"/>
  <c r="AQ438" i="1" s="1"/>
  <c r="AR438" i="1" s="1"/>
  <c r="AS438" i="1" s="1"/>
  <c r="AT438" i="1" s="1"/>
  <c r="AP426" i="1"/>
  <c r="AQ426" i="1" s="1"/>
  <c r="AR426" i="1" s="1"/>
  <c r="AS426" i="1" s="1"/>
  <c r="AT426" i="1" s="1"/>
  <c r="AM394" i="1"/>
  <c r="AP394" i="1" s="1"/>
  <c r="AQ394" i="1" s="1"/>
  <c r="AR394" i="1" s="1"/>
  <c r="AS394" i="1" s="1"/>
  <c r="AT394" i="1" s="1"/>
  <c r="AM390" i="1"/>
  <c r="AP390" i="1" s="1"/>
  <c r="AQ390" i="1" s="1"/>
  <c r="AR390" i="1" s="1"/>
  <c r="AS390" i="1" s="1"/>
  <c r="AT390" i="1" s="1"/>
  <c r="AM386" i="1"/>
  <c r="AP386" i="1" s="1"/>
  <c r="AQ386" i="1" s="1"/>
  <c r="AR386" i="1" s="1"/>
  <c r="AS386" i="1" s="1"/>
  <c r="AT386" i="1" s="1"/>
  <c r="AP381" i="1"/>
  <c r="AQ381" i="1" s="1"/>
  <c r="AR381" i="1" s="1"/>
  <c r="AS381" i="1" s="1"/>
  <c r="AT381" i="1" s="1"/>
  <c r="AP337" i="1"/>
  <c r="AQ337" i="1" s="1"/>
  <c r="AR337" i="1" s="1"/>
  <c r="AS337" i="1" s="1"/>
  <c r="AT337" i="1" s="1"/>
  <c r="AM423" i="1"/>
  <c r="AP423" i="1" s="1"/>
  <c r="AQ423" i="1" s="1"/>
  <c r="AR423" i="1" s="1"/>
  <c r="AS423" i="1" s="1"/>
  <c r="AT423" i="1" s="1"/>
  <c r="AM412" i="1"/>
  <c r="AP412" i="1" s="1"/>
  <c r="AQ412" i="1" s="1"/>
  <c r="AR412" i="1" s="1"/>
  <c r="AS412" i="1" s="1"/>
  <c r="AT412" i="1" s="1"/>
  <c r="AP410" i="1"/>
  <c r="AQ410" i="1" s="1"/>
  <c r="AR410" i="1" s="1"/>
  <c r="AS410" i="1" s="1"/>
  <c r="AT410" i="1" s="1"/>
  <c r="AM408" i="1"/>
  <c r="AP408" i="1" s="1"/>
  <c r="AQ408" i="1" s="1"/>
  <c r="AR408" i="1" s="1"/>
  <c r="AS408" i="1" s="1"/>
  <c r="AT408" i="1" s="1"/>
  <c r="AP406" i="1"/>
  <c r="AQ406" i="1" s="1"/>
  <c r="AR406" i="1" s="1"/>
  <c r="AS406" i="1" s="1"/>
  <c r="AT406" i="1" s="1"/>
  <c r="AM400" i="1"/>
  <c r="AP400" i="1" s="1"/>
  <c r="AQ400" i="1" s="1"/>
  <c r="AR400" i="1" s="1"/>
  <c r="AS400" i="1" s="1"/>
  <c r="AT400" i="1" s="1"/>
  <c r="AM356" i="1"/>
  <c r="AP356" i="1" s="1"/>
  <c r="AQ356" i="1" s="1"/>
  <c r="AR356" i="1" s="1"/>
  <c r="AS356" i="1" s="1"/>
  <c r="AT356" i="1" s="1"/>
  <c r="AM440" i="1"/>
  <c r="AP440" i="1" s="1"/>
  <c r="AQ440" i="1" s="1"/>
  <c r="AR440" i="1" s="1"/>
  <c r="AS440" i="1" s="1"/>
  <c r="AT440" i="1" s="1"/>
  <c r="AM422" i="1"/>
  <c r="AP422" i="1" s="1"/>
  <c r="AQ422" i="1" s="1"/>
  <c r="AR422" i="1" s="1"/>
  <c r="AS422" i="1" s="1"/>
  <c r="AT422" i="1" s="1"/>
  <c r="AL420" i="1"/>
  <c r="AL430" i="1" s="1"/>
  <c r="AH420" i="1"/>
  <c r="AH430" i="1" s="1"/>
  <c r="AD420" i="1"/>
  <c r="AJ420" i="1"/>
  <c r="AJ430" i="1" s="1"/>
  <c r="AJ456" i="1" s="1"/>
  <c r="AE420" i="1"/>
  <c r="AE430" i="1" s="1"/>
  <c r="AI420" i="1"/>
  <c r="AI430" i="1" s="1"/>
  <c r="AC420" i="1"/>
  <c r="AG420" i="1"/>
  <c r="AG430" i="1" s="1"/>
  <c r="T430" i="1"/>
  <c r="AK420" i="1"/>
  <c r="AK430" i="1" s="1"/>
  <c r="AF420" i="1"/>
  <c r="AF430" i="1" s="1"/>
  <c r="AF456" i="1" s="1"/>
  <c r="AP393" i="1"/>
  <c r="AQ393" i="1" s="1"/>
  <c r="AR393" i="1" s="1"/>
  <c r="AS393" i="1" s="1"/>
  <c r="AT393" i="1" s="1"/>
  <c r="AP389" i="1"/>
  <c r="AQ389" i="1" s="1"/>
  <c r="AR389" i="1" s="1"/>
  <c r="AS389" i="1" s="1"/>
  <c r="AT389" i="1" s="1"/>
  <c r="AP385" i="1"/>
  <c r="AQ385" i="1" s="1"/>
  <c r="AR385" i="1" s="1"/>
  <c r="AS385" i="1" s="1"/>
  <c r="AT385" i="1" s="1"/>
  <c r="AM380" i="1"/>
  <c r="AP380" i="1" s="1"/>
  <c r="AQ380" i="1" s="1"/>
  <c r="AR380" i="1" s="1"/>
  <c r="AS380" i="1" s="1"/>
  <c r="AT380" i="1" s="1"/>
  <c r="AM372" i="1"/>
  <c r="AP372" i="1" s="1"/>
  <c r="AQ372" i="1" s="1"/>
  <c r="AR372" i="1" s="1"/>
  <c r="AS372" i="1" s="1"/>
  <c r="AT372" i="1" s="1"/>
  <c r="AM364" i="1"/>
  <c r="AP364" i="1" s="1"/>
  <c r="AQ364" i="1" s="1"/>
  <c r="AR364" i="1" s="1"/>
  <c r="AS364" i="1" s="1"/>
  <c r="AT364" i="1" s="1"/>
  <c r="AM310" i="1"/>
  <c r="AP310" i="1" s="1"/>
  <c r="AQ310" i="1" s="1"/>
  <c r="AR310" i="1" s="1"/>
  <c r="AS310" i="1" s="1"/>
  <c r="AT310" i="1" s="1"/>
  <c r="AM306" i="1"/>
  <c r="AP306" i="1" s="1"/>
  <c r="AQ306" i="1" s="1"/>
  <c r="AR306" i="1" s="1"/>
  <c r="AS306" i="1" s="1"/>
  <c r="AT306" i="1" s="1"/>
  <c r="R243" i="1"/>
  <c r="R261" i="1" s="1"/>
  <c r="S231" i="1"/>
  <c r="AM340" i="1"/>
  <c r="AP340" i="1" s="1"/>
  <c r="AQ340" i="1" s="1"/>
  <c r="AR340" i="1" s="1"/>
  <c r="AS340" i="1" s="1"/>
  <c r="AT340" i="1" s="1"/>
  <c r="AP335" i="1"/>
  <c r="AQ335" i="1" s="1"/>
  <c r="AR335" i="1" s="1"/>
  <c r="AS335" i="1" s="1"/>
  <c r="AT335" i="1" s="1"/>
  <c r="AM324" i="1"/>
  <c r="AP324" i="1" s="1"/>
  <c r="AQ324" i="1" s="1"/>
  <c r="AR324" i="1" s="1"/>
  <c r="AS324" i="1" s="1"/>
  <c r="AT324" i="1" s="1"/>
  <c r="AP270" i="1"/>
  <c r="AQ270" i="1" s="1"/>
  <c r="AR270" i="1" s="1"/>
  <c r="AS270" i="1" s="1"/>
  <c r="AT270" i="1" s="1"/>
  <c r="AM247" i="1"/>
  <c r="AP247" i="1" s="1"/>
  <c r="AQ247" i="1" s="1"/>
  <c r="AR247" i="1" s="1"/>
  <c r="AS247" i="1" s="1"/>
  <c r="AT247" i="1" s="1"/>
  <c r="AP234" i="1"/>
  <c r="AQ234" i="1" s="1"/>
  <c r="AR234" i="1" s="1"/>
  <c r="AS234" i="1" s="1"/>
  <c r="AT234" i="1" s="1"/>
  <c r="AC174" i="1"/>
  <c r="AP348" i="1"/>
  <c r="AQ348" i="1" s="1"/>
  <c r="AR348" i="1" s="1"/>
  <c r="AS348" i="1" s="1"/>
  <c r="AT348" i="1" s="1"/>
  <c r="AM339" i="1"/>
  <c r="AP339" i="1" s="1"/>
  <c r="AQ339" i="1" s="1"/>
  <c r="AR339" i="1" s="1"/>
  <c r="AS339" i="1" s="1"/>
  <c r="AT339" i="1" s="1"/>
  <c r="AM323" i="1"/>
  <c r="AP323" i="1" s="1"/>
  <c r="AQ323" i="1" s="1"/>
  <c r="AR323" i="1" s="1"/>
  <c r="AS323" i="1" s="1"/>
  <c r="AT323" i="1" s="1"/>
  <c r="AP301" i="1"/>
  <c r="AQ301" i="1" s="1"/>
  <c r="AR301" i="1" s="1"/>
  <c r="AS301" i="1" s="1"/>
  <c r="AT301" i="1" s="1"/>
  <c r="AP297" i="1"/>
  <c r="AQ297" i="1" s="1"/>
  <c r="AR297" i="1" s="1"/>
  <c r="AS297" i="1" s="1"/>
  <c r="AT297" i="1" s="1"/>
  <c r="AP276" i="1"/>
  <c r="AQ276" i="1" s="1"/>
  <c r="AR276" i="1" s="1"/>
  <c r="AS276" i="1" s="1"/>
  <c r="AT276" i="1" s="1"/>
  <c r="AM242" i="1"/>
  <c r="AP242" i="1" s="1"/>
  <c r="AQ242" i="1" s="1"/>
  <c r="AR242" i="1" s="1"/>
  <c r="AS242" i="1" s="1"/>
  <c r="AT242" i="1" s="1"/>
  <c r="AM236" i="1"/>
  <c r="AP226" i="1"/>
  <c r="AQ226" i="1" s="1"/>
  <c r="AR226" i="1" s="1"/>
  <c r="AS226" i="1" s="1"/>
  <c r="AT226" i="1" s="1"/>
  <c r="AP220" i="1"/>
  <c r="AQ220" i="1" s="1"/>
  <c r="AR220" i="1" s="1"/>
  <c r="AS220" i="1" s="1"/>
  <c r="AT220" i="1" s="1"/>
  <c r="AM171" i="1"/>
  <c r="AP171" i="1" s="1"/>
  <c r="AQ171" i="1" s="1"/>
  <c r="AR171" i="1" s="1"/>
  <c r="AS171" i="1" s="1"/>
  <c r="AT171" i="1" s="1"/>
  <c r="AD174" i="1"/>
  <c r="AP347" i="1"/>
  <c r="AQ347" i="1" s="1"/>
  <c r="AR347" i="1" s="1"/>
  <c r="AS347" i="1" s="1"/>
  <c r="AT347" i="1" s="1"/>
  <c r="AM332" i="1"/>
  <c r="AP332" i="1" s="1"/>
  <c r="AQ332" i="1" s="1"/>
  <c r="AR332" i="1" s="1"/>
  <c r="AS332" i="1" s="1"/>
  <c r="AT332" i="1" s="1"/>
  <c r="AM281" i="1"/>
  <c r="AP281" i="1" s="1"/>
  <c r="AQ281" i="1" s="1"/>
  <c r="AR281" i="1" s="1"/>
  <c r="AS281" i="1" s="1"/>
  <c r="AT281" i="1" s="1"/>
  <c r="AM258" i="1"/>
  <c r="AP258" i="1" s="1"/>
  <c r="AQ258" i="1" s="1"/>
  <c r="AR258" i="1" s="1"/>
  <c r="AS258" i="1" s="1"/>
  <c r="AT258" i="1" s="1"/>
  <c r="AM248" i="1"/>
  <c r="AP248" i="1" s="1"/>
  <c r="AQ248" i="1" s="1"/>
  <c r="AR248" i="1" s="1"/>
  <c r="AS248" i="1" s="1"/>
  <c r="AT248" i="1" s="1"/>
  <c r="AM241" i="1"/>
  <c r="AP241" i="1" s="1"/>
  <c r="AQ241" i="1" s="1"/>
  <c r="AR241" i="1" s="1"/>
  <c r="AS241" i="1" s="1"/>
  <c r="AT241" i="1" s="1"/>
  <c r="AM238" i="1"/>
  <c r="AP238" i="1" s="1"/>
  <c r="AQ238" i="1" s="1"/>
  <c r="AR238" i="1" s="1"/>
  <c r="AS238" i="1" s="1"/>
  <c r="AT238" i="1" s="1"/>
  <c r="AM233" i="1"/>
  <c r="AP233" i="1" s="1"/>
  <c r="AQ233" i="1" s="1"/>
  <c r="AR233" i="1" s="1"/>
  <c r="AS233" i="1" s="1"/>
  <c r="AT233" i="1" s="1"/>
  <c r="AM300" i="1"/>
  <c r="AP300" i="1" s="1"/>
  <c r="AQ300" i="1" s="1"/>
  <c r="AR300" i="1" s="1"/>
  <c r="AS300" i="1" s="1"/>
  <c r="AT300" i="1" s="1"/>
  <c r="AM296" i="1"/>
  <c r="AP296" i="1" s="1"/>
  <c r="AQ296" i="1" s="1"/>
  <c r="AR296" i="1" s="1"/>
  <c r="AS296" i="1" s="1"/>
  <c r="AT296" i="1" s="1"/>
  <c r="AM292" i="1"/>
  <c r="AP292" i="1" s="1"/>
  <c r="AQ292" i="1" s="1"/>
  <c r="AR292" i="1" s="1"/>
  <c r="AS292" i="1" s="1"/>
  <c r="AT292" i="1" s="1"/>
  <c r="AM288" i="1"/>
  <c r="AP288" i="1" s="1"/>
  <c r="AQ288" i="1" s="1"/>
  <c r="AR288" i="1" s="1"/>
  <c r="AS288" i="1" s="1"/>
  <c r="AT288" i="1" s="1"/>
  <c r="AJ286" i="1"/>
  <c r="AJ312" i="1" s="1"/>
  <c r="AF286" i="1"/>
  <c r="AF312" i="1" s="1"/>
  <c r="T312" i="1"/>
  <c r="AH286" i="1"/>
  <c r="AH312" i="1" s="1"/>
  <c r="AC286" i="1"/>
  <c r="AL286" i="1"/>
  <c r="AL312" i="1" s="1"/>
  <c r="AG286" i="1"/>
  <c r="AG312" i="1" s="1"/>
  <c r="AK286" i="1"/>
  <c r="AK312" i="1" s="1"/>
  <c r="AE286" i="1"/>
  <c r="AE312" i="1" s="1"/>
  <c r="AI286" i="1"/>
  <c r="AI312" i="1" s="1"/>
  <c r="AD286" i="1"/>
  <c r="AM277" i="1"/>
  <c r="AP277" i="1"/>
  <c r="AQ277" i="1" s="1"/>
  <c r="AR277" i="1" s="1"/>
  <c r="AS277" i="1" s="1"/>
  <c r="AT277" i="1" s="1"/>
  <c r="AI114" i="1"/>
  <c r="AE114" i="1"/>
  <c r="AL114" i="1"/>
  <c r="AH114" i="1"/>
  <c r="AD114" i="1"/>
  <c r="AK114" i="1"/>
  <c r="AG114" i="1"/>
  <c r="AC114" i="1"/>
  <c r="AJ114" i="1"/>
  <c r="AF114" i="1"/>
  <c r="AM208" i="1"/>
  <c r="AP208" i="1" s="1"/>
  <c r="AQ208" i="1" s="1"/>
  <c r="AR208" i="1" s="1"/>
  <c r="AS208" i="1" s="1"/>
  <c r="AT208" i="1" s="1"/>
  <c r="AM204" i="1"/>
  <c r="AP204" i="1" s="1"/>
  <c r="AQ204" i="1" s="1"/>
  <c r="AR204" i="1" s="1"/>
  <c r="AS204" i="1" s="1"/>
  <c r="AT204" i="1" s="1"/>
  <c r="AM200" i="1"/>
  <c r="AP200" i="1" s="1"/>
  <c r="AQ200" i="1" s="1"/>
  <c r="AR200" i="1" s="1"/>
  <c r="AS200" i="1" s="1"/>
  <c r="AT200" i="1" s="1"/>
  <c r="AM183" i="1"/>
  <c r="AP183" i="1" s="1"/>
  <c r="AQ183" i="1" s="1"/>
  <c r="AR183" i="1" s="1"/>
  <c r="AS183" i="1" s="1"/>
  <c r="AT183" i="1" s="1"/>
  <c r="AM151" i="1"/>
  <c r="AP151" i="1" s="1"/>
  <c r="AQ151" i="1" s="1"/>
  <c r="AR151" i="1" s="1"/>
  <c r="AS151" i="1" s="1"/>
  <c r="AT151" i="1" s="1"/>
  <c r="AM144" i="1"/>
  <c r="AP144" i="1" s="1"/>
  <c r="AQ144" i="1" s="1"/>
  <c r="AR144" i="1" s="1"/>
  <c r="AS144" i="1" s="1"/>
  <c r="AT144" i="1" s="1"/>
  <c r="AP139" i="1"/>
  <c r="AQ139" i="1" s="1"/>
  <c r="AR139" i="1" s="1"/>
  <c r="AS139" i="1" s="1"/>
  <c r="AT139" i="1" s="1"/>
  <c r="AM115" i="1"/>
  <c r="AP115" i="1" s="1"/>
  <c r="AQ115" i="1" s="1"/>
  <c r="AR115" i="1" s="1"/>
  <c r="AS115" i="1" s="1"/>
  <c r="AT115" i="1" s="1"/>
  <c r="AM103" i="1"/>
  <c r="AP103" i="1" s="1"/>
  <c r="AQ103" i="1" s="1"/>
  <c r="AR103" i="1" s="1"/>
  <c r="AS103" i="1" s="1"/>
  <c r="AT103" i="1" s="1"/>
  <c r="AP80" i="1"/>
  <c r="AQ80" i="1" s="1"/>
  <c r="AR80" i="1" s="1"/>
  <c r="AS80" i="1" s="1"/>
  <c r="AT80" i="1" s="1"/>
  <c r="AD228" i="1"/>
  <c r="AF228" i="1"/>
  <c r="AM179" i="1"/>
  <c r="AP179" i="1" s="1"/>
  <c r="AQ179" i="1" s="1"/>
  <c r="AR179" i="1" s="1"/>
  <c r="AS179" i="1" s="1"/>
  <c r="AT179" i="1" s="1"/>
  <c r="AM155" i="1"/>
  <c r="AP155" i="1" s="1"/>
  <c r="AQ155" i="1" s="1"/>
  <c r="AR155" i="1" s="1"/>
  <c r="AS155" i="1" s="1"/>
  <c r="AT155" i="1" s="1"/>
  <c r="AM150" i="1"/>
  <c r="AP150" i="1" s="1"/>
  <c r="AQ150" i="1" s="1"/>
  <c r="AR150" i="1" s="1"/>
  <c r="AS150" i="1" s="1"/>
  <c r="AT150" i="1" s="1"/>
  <c r="AM145" i="1"/>
  <c r="AP145" i="1" s="1"/>
  <c r="AQ145" i="1" s="1"/>
  <c r="AR145" i="1" s="1"/>
  <c r="AS145" i="1" s="1"/>
  <c r="AT145" i="1" s="1"/>
  <c r="AP113" i="1"/>
  <c r="AQ113" i="1" s="1"/>
  <c r="AR113" i="1" s="1"/>
  <c r="AS113" i="1" s="1"/>
  <c r="AT113" i="1" s="1"/>
  <c r="AM60" i="1"/>
  <c r="AP60" i="1" s="1"/>
  <c r="AQ60" i="1" s="1"/>
  <c r="AR60" i="1" s="1"/>
  <c r="AS60" i="1" s="1"/>
  <c r="AT60" i="1" s="1"/>
  <c r="AM216" i="1"/>
  <c r="AP216" i="1" s="1"/>
  <c r="AQ216" i="1" s="1"/>
  <c r="AR216" i="1" s="1"/>
  <c r="AS216" i="1" s="1"/>
  <c r="AT216" i="1" s="1"/>
  <c r="AP209" i="1"/>
  <c r="AQ209" i="1" s="1"/>
  <c r="AR209" i="1" s="1"/>
  <c r="AS209" i="1" s="1"/>
  <c r="AT209" i="1" s="1"/>
  <c r="AP201" i="1"/>
  <c r="AQ201" i="1" s="1"/>
  <c r="AR201" i="1" s="1"/>
  <c r="AS201" i="1" s="1"/>
  <c r="AT201" i="1" s="1"/>
  <c r="AP159" i="1"/>
  <c r="AQ159" i="1" s="1"/>
  <c r="AR159" i="1" s="1"/>
  <c r="AS159" i="1" s="1"/>
  <c r="AT159" i="1" s="1"/>
  <c r="AM132" i="1"/>
  <c r="AP132" i="1" s="1"/>
  <c r="AQ132" i="1" s="1"/>
  <c r="AR132" i="1" s="1"/>
  <c r="AS132" i="1" s="1"/>
  <c r="AT132" i="1" s="1"/>
  <c r="AP101" i="1"/>
  <c r="AQ101" i="1" s="1"/>
  <c r="AR101" i="1" s="1"/>
  <c r="AS101" i="1" s="1"/>
  <c r="AT101" i="1" s="1"/>
  <c r="AP98" i="1"/>
  <c r="AQ98" i="1" s="1"/>
  <c r="AR98" i="1" s="1"/>
  <c r="AS98" i="1" s="1"/>
  <c r="AT98" i="1" s="1"/>
  <c r="AP190" i="1"/>
  <c r="AQ190" i="1" s="1"/>
  <c r="AR190" i="1" s="1"/>
  <c r="AS190" i="1" s="1"/>
  <c r="AT190" i="1" s="1"/>
  <c r="AM172" i="1"/>
  <c r="AP172" i="1" s="1"/>
  <c r="AQ172" i="1" s="1"/>
  <c r="AR172" i="1" s="1"/>
  <c r="AS172" i="1" s="1"/>
  <c r="AT172" i="1" s="1"/>
  <c r="AC164" i="1"/>
  <c r="AH164" i="1"/>
  <c r="AF164" i="1"/>
  <c r="AM137" i="1"/>
  <c r="AP137" i="1" s="1"/>
  <c r="AQ137" i="1" s="1"/>
  <c r="AR137" i="1" s="1"/>
  <c r="AS137" i="1" s="1"/>
  <c r="AT137" i="1" s="1"/>
  <c r="AP128" i="1"/>
  <c r="AQ128" i="1" s="1"/>
  <c r="AR128" i="1" s="1"/>
  <c r="AS128" i="1" s="1"/>
  <c r="AT128" i="1" s="1"/>
  <c r="AM22" i="1"/>
  <c r="AP22" i="1" s="1"/>
  <c r="AQ22" i="1" s="1"/>
  <c r="AR22" i="1" s="1"/>
  <c r="AS22" i="1" s="1"/>
  <c r="AT22" i="1" s="1"/>
  <c r="AP19" i="1"/>
  <c r="AQ19" i="1" s="1"/>
  <c r="AR19" i="1" s="1"/>
  <c r="AS19" i="1" s="1"/>
  <c r="AT19" i="1" s="1"/>
  <c r="AM70" i="1"/>
  <c r="AP70" i="1" s="1"/>
  <c r="AQ70" i="1" s="1"/>
  <c r="AR70" i="1" s="1"/>
  <c r="AS70" i="1" s="1"/>
  <c r="AT70" i="1" s="1"/>
  <c r="AP63" i="1"/>
  <c r="AQ63" i="1" s="1"/>
  <c r="AR63" i="1" s="1"/>
  <c r="AS63" i="1" s="1"/>
  <c r="AT63" i="1" s="1"/>
  <c r="AM51" i="1"/>
  <c r="AP51" i="1" s="1"/>
  <c r="AQ51" i="1" s="1"/>
  <c r="AR51" i="1" s="1"/>
  <c r="AS51" i="1" s="1"/>
  <c r="AT51" i="1" s="1"/>
  <c r="AM29" i="1"/>
  <c r="AP29" i="1" s="1"/>
  <c r="AQ29" i="1" s="1"/>
  <c r="AR29" i="1" s="1"/>
  <c r="AS29" i="1" s="1"/>
  <c r="AT29" i="1" s="1"/>
  <c r="AM69" i="1"/>
  <c r="AP69" i="1" s="1"/>
  <c r="AQ69" i="1" s="1"/>
  <c r="AR69" i="1" s="1"/>
  <c r="AS69" i="1" s="1"/>
  <c r="AT69" i="1" s="1"/>
  <c r="AM67" i="1"/>
  <c r="AP67" i="1" s="1"/>
  <c r="AQ67" i="1" s="1"/>
  <c r="AR67" i="1" s="1"/>
  <c r="AS67" i="1" s="1"/>
  <c r="AT67" i="1" s="1"/>
  <c r="AM21" i="1"/>
  <c r="AP21" i="1" s="1"/>
  <c r="AQ21" i="1" s="1"/>
  <c r="AR21" i="1" s="1"/>
  <c r="AS21" i="1" s="1"/>
  <c r="AT21" i="1" s="1"/>
  <c r="AM16" i="1"/>
  <c r="AP16" i="1" s="1"/>
  <c r="AQ16" i="1" s="1"/>
  <c r="AR16" i="1" s="1"/>
  <c r="AS16" i="1" s="1"/>
  <c r="AT16" i="1" s="1"/>
  <c r="AP78" i="1"/>
  <c r="AQ78" i="1" s="1"/>
  <c r="AR78" i="1" s="1"/>
  <c r="AS78" i="1" s="1"/>
  <c r="AT78" i="1" s="1"/>
  <c r="AM71" i="1"/>
  <c r="AP71" i="1" s="1"/>
  <c r="AQ71" i="1" s="1"/>
  <c r="AR71" i="1" s="1"/>
  <c r="AS71" i="1" s="1"/>
  <c r="AT71" i="1" s="1"/>
  <c r="AM66" i="1"/>
  <c r="AP66" i="1" s="1"/>
  <c r="AQ66" i="1" s="1"/>
  <c r="AR66" i="1" s="1"/>
  <c r="AS66" i="1" s="1"/>
  <c r="AT66" i="1" s="1"/>
  <c r="AP25" i="1"/>
  <c r="AQ25" i="1" s="1"/>
  <c r="AR25" i="1" s="1"/>
  <c r="AS25" i="1" s="1"/>
  <c r="AT25" i="1" s="1"/>
  <c r="AM43" i="1"/>
  <c r="AP43" i="1" s="1"/>
  <c r="AQ43" i="1" s="1"/>
  <c r="AR43" i="1" s="1"/>
  <c r="AS43" i="1" s="1"/>
  <c r="AT43" i="1" s="1"/>
  <c r="AC274" i="2" l="1"/>
  <c r="AL196" i="2"/>
  <c r="AL210" i="2" s="1"/>
  <c r="AH12" i="2"/>
  <c r="AH35" i="2" s="1"/>
  <c r="AE12" i="2"/>
  <c r="AE35" i="2" s="1"/>
  <c r="Q635" i="2"/>
  <c r="AG360" i="2"/>
  <c r="AG394" i="2" s="1"/>
  <c r="AG12" i="2"/>
  <c r="AG35" i="2" s="1"/>
  <c r="AC360" i="2"/>
  <c r="AC394" i="2" s="1"/>
  <c r="AD12" i="2"/>
  <c r="AD35" i="2" s="1"/>
  <c r="AB274" i="2"/>
  <c r="AB282" i="2" s="1"/>
  <c r="AB360" i="2"/>
  <c r="AB394" i="2" s="1"/>
  <c r="AD360" i="2"/>
  <c r="AD394" i="2" s="1"/>
  <c r="AL352" i="2"/>
  <c r="AL357" i="2" s="1"/>
  <c r="AI274" i="2"/>
  <c r="AI282" i="2" s="1"/>
  <c r="AJ274" i="2"/>
  <c r="AJ282" i="2" s="1"/>
  <c r="AE274" i="2"/>
  <c r="AE282" i="2" s="1"/>
  <c r="R415" i="2"/>
  <c r="AE360" i="2"/>
  <c r="AE394" i="2" s="1"/>
  <c r="AK360" i="2"/>
  <c r="AK394" i="2" s="1"/>
  <c r="AH360" i="2"/>
  <c r="AH394" i="2" s="1"/>
  <c r="AG274" i="2"/>
  <c r="AG282" i="2" s="1"/>
  <c r="AK274" i="2"/>
  <c r="AK282" i="2" s="1"/>
  <c r="AF274" i="2"/>
  <c r="AF282" i="2" s="1"/>
  <c r="AJ12" i="2"/>
  <c r="AJ35" i="2" s="1"/>
  <c r="AC12" i="2"/>
  <c r="AC35" i="2" s="1"/>
  <c r="AI12" i="2"/>
  <c r="AI35" i="2" s="1"/>
  <c r="R633" i="2"/>
  <c r="R118" i="2"/>
  <c r="R192" i="2" s="1"/>
  <c r="S111" i="2"/>
  <c r="S118" i="2" s="1"/>
  <c r="S349" i="2"/>
  <c r="AJ314" i="2"/>
  <c r="AJ349" i="2" s="1"/>
  <c r="AC314" i="2"/>
  <c r="AI314" i="2"/>
  <c r="AI349" i="2" s="1"/>
  <c r="AF314" i="2"/>
  <c r="AF349" i="2" s="1"/>
  <c r="AK314" i="2"/>
  <c r="AK349" i="2" s="1"/>
  <c r="AG314" i="2"/>
  <c r="AG349" i="2" s="1"/>
  <c r="AB314" i="2"/>
  <c r="AE314" i="2"/>
  <c r="AE349" i="2" s="1"/>
  <c r="AH314" i="2"/>
  <c r="AH349" i="2" s="1"/>
  <c r="AD314" i="2"/>
  <c r="AD349" i="2" s="1"/>
  <c r="R551" i="2"/>
  <c r="AC163" i="2"/>
  <c r="AL148" i="2"/>
  <c r="AL227" i="2"/>
  <c r="S498" i="2"/>
  <c r="S551" i="2" s="1"/>
  <c r="AH487" i="2"/>
  <c r="AH498" i="2" s="1"/>
  <c r="AK487" i="2"/>
  <c r="AK498" i="2" s="1"/>
  <c r="AD487" i="2"/>
  <c r="AD498" i="2" s="1"/>
  <c r="AE487" i="2"/>
  <c r="AE498" i="2" s="1"/>
  <c r="AG487" i="2"/>
  <c r="AG498" i="2" s="1"/>
  <c r="AF487" i="2"/>
  <c r="AF498" i="2" s="1"/>
  <c r="AC487" i="2"/>
  <c r="AJ487" i="2"/>
  <c r="AJ498" i="2" s="1"/>
  <c r="AI487" i="2"/>
  <c r="AI498" i="2" s="1"/>
  <c r="AB487" i="2"/>
  <c r="AB498" i="2" s="1"/>
  <c r="AJ360" i="2"/>
  <c r="AJ394" i="2" s="1"/>
  <c r="AI360" i="2"/>
  <c r="AI394" i="2" s="1"/>
  <c r="AD274" i="2"/>
  <c r="AD282" i="2" s="1"/>
  <c r="AH274" i="2"/>
  <c r="AH282" i="2" s="1"/>
  <c r="AF12" i="2"/>
  <c r="AF35" i="2" s="1"/>
  <c r="AK12" i="2"/>
  <c r="AK35" i="2" s="1"/>
  <c r="AL285" i="2"/>
  <c r="S173" i="2"/>
  <c r="S192" i="2" s="1"/>
  <c r="AE166" i="2"/>
  <c r="AE173" i="2" s="1"/>
  <c r="AF166" i="2"/>
  <c r="AF173" i="2" s="1"/>
  <c r="AI166" i="2"/>
  <c r="AI173" i="2" s="1"/>
  <c r="AH166" i="2"/>
  <c r="AH173" i="2" s="1"/>
  <c r="AB166" i="2"/>
  <c r="AG166" i="2"/>
  <c r="AG173" i="2" s="1"/>
  <c r="AD166" i="2"/>
  <c r="AD173" i="2" s="1"/>
  <c r="AK166" i="2"/>
  <c r="AK173" i="2" s="1"/>
  <c r="AJ166" i="2"/>
  <c r="AJ173" i="2" s="1"/>
  <c r="AC166" i="2"/>
  <c r="S413" i="2"/>
  <c r="AB404" i="2"/>
  <c r="AE404" i="2"/>
  <c r="AG404" i="2"/>
  <c r="AK404" i="2"/>
  <c r="AJ404" i="2"/>
  <c r="AI404" i="2"/>
  <c r="AD404" i="2"/>
  <c r="AF404" i="2"/>
  <c r="AC404" i="2"/>
  <c r="AH404" i="2"/>
  <c r="S567" i="2"/>
  <c r="S581" i="2" s="1"/>
  <c r="AF556" i="2"/>
  <c r="AF567" i="2" s="1"/>
  <c r="AH556" i="2"/>
  <c r="AH567" i="2" s="1"/>
  <c r="AK556" i="2"/>
  <c r="AK567" i="2" s="1"/>
  <c r="AB556" i="2"/>
  <c r="AG556" i="2"/>
  <c r="AG567" i="2" s="1"/>
  <c r="AI556" i="2"/>
  <c r="AI567" i="2" s="1"/>
  <c r="AD556" i="2"/>
  <c r="AD567" i="2" s="1"/>
  <c r="AJ556" i="2"/>
  <c r="AJ567" i="2" s="1"/>
  <c r="AE556" i="2"/>
  <c r="AE567" i="2" s="1"/>
  <c r="AC556" i="2"/>
  <c r="AL586" i="2"/>
  <c r="AL599" i="2" s="1"/>
  <c r="AL633" i="2" s="1"/>
  <c r="AC599" i="2"/>
  <c r="AC633" i="2" s="1"/>
  <c r="AB71" i="2"/>
  <c r="AB242" i="2"/>
  <c r="AI537" i="2"/>
  <c r="AI549" i="2" s="1"/>
  <c r="AE537" i="2"/>
  <c r="AE549" i="2" s="1"/>
  <c r="AK537" i="2"/>
  <c r="AK549" i="2" s="1"/>
  <c r="AF537" i="2"/>
  <c r="AF549" i="2" s="1"/>
  <c r="AH537" i="2"/>
  <c r="AH549" i="2" s="1"/>
  <c r="AB537" i="2"/>
  <c r="AG537" i="2"/>
  <c r="AG549" i="2" s="1"/>
  <c r="AC537" i="2"/>
  <c r="AJ537" i="2"/>
  <c r="AJ549" i="2" s="1"/>
  <c r="AD537" i="2"/>
  <c r="AD549" i="2" s="1"/>
  <c r="AK432" i="2"/>
  <c r="AK453" i="2" s="1"/>
  <c r="AG432" i="2"/>
  <c r="AG453" i="2" s="1"/>
  <c r="AC432" i="2"/>
  <c r="AH432" i="2"/>
  <c r="AH453" i="2" s="1"/>
  <c r="AB432" i="2"/>
  <c r="AJ432" i="2"/>
  <c r="AJ453" i="2" s="1"/>
  <c r="AD432" i="2"/>
  <c r="AD453" i="2" s="1"/>
  <c r="AF432" i="2"/>
  <c r="AF453" i="2" s="1"/>
  <c r="AI432" i="2"/>
  <c r="AI453" i="2" s="1"/>
  <c r="AE432" i="2"/>
  <c r="AE453" i="2" s="1"/>
  <c r="AL12" i="2"/>
  <c r="AL35" i="2" s="1"/>
  <c r="AK397" i="2"/>
  <c r="AK401" i="2" s="1"/>
  <c r="AG397" i="2"/>
  <c r="AG401" i="2" s="1"/>
  <c r="AC397" i="2"/>
  <c r="AH397" i="2"/>
  <c r="AH401" i="2" s="1"/>
  <c r="AB397" i="2"/>
  <c r="AJ397" i="2"/>
  <c r="AJ401" i="2" s="1"/>
  <c r="AD397" i="2"/>
  <c r="AD401" i="2" s="1"/>
  <c r="AF397" i="2"/>
  <c r="AF401" i="2" s="1"/>
  <c r="AE397" i="2"/>
  <c r="AE401" i="2" s="1"/>
  <c r="AI397" i="2"/>
  <c r="AI401" i="2" s="1"/>
  <c r="AI405" i="2"/>
  <c r="AE405" i="2"/>
  <c r="AE413" i="2" s="1"/>
  <c r="AG405" i="2"/>
  <c r="AB405" i="2"/>
  <c r="AJ405" i="2"/>
  <c r="AC405" i="2"/>
  <c r="AF405" i="2"/>
  <c r="AD405" i="2"/>
  <c r="AK405" i="2"/>
  <c r="AH405" i="2"/>
  <c r="AH413" i="2" s="1"/>
  <c r="AB599" i="2"/>
  <c r="AB633" i="2" s="1"/>
  <c r="AC534" i="2"/>
  <c r="AL510" i="2"/>
  <c r="AL534" i="2" s="1"/>
  <c r="AI245" i="2"/>
  <c r="AI258" i="2" s="1"/>
  <c r="AI260" i="2" s="1"/>
  <c r="AE245" i="2"/>
  <c r="AE258" i="2" s="1"/>
  <c r="AE260" i="2" s="1"/>
  <c r="AK245" i="2"/>
  <c r="AK258" i="2" s="1"/>
  <c r="AK260" i="2" s="1"/>
  <c r="AG245" i="2"/>
  <c r="AG258" i="2" s="1"/>
  <c r="AG260" i="2" s="1"/>
  <c r="AC245" i="2"/>
  <c r="AF245" i="2"/>
  <c r="AF258" i="2" s="1"/>
  <c r="AF260" i="2" s="1"/>
  <c r="AD245" i="2"/>
  <c r="AD258" i="2" s="1"/>
  <c r="AD260" i="2" s="1"/>
  <c r="AJ245" i="2"/>
  <c r="AJ258" i="2" s="1"/>
  <c r="AJ260" i="2" s="1"/>
  <c r="AB245" i="2"/>
  <c r="AH245" i="2"/>
  <c r="AH258" i="2" s="1"/>
  <c r="AH260" i="2" s="1"/>
  <c r="AB190" i="2"/>
  <c r="AP227" i="2"/>
  <c r="AQ213" i="2"/>
  <c r="AC71" i="2"/>
  <c r="AL38" i="2"/>
  <c r="AL71" i="2" s="1"/>
  <c r="AK135" i="2"/>
  <c r="AK145" i="2" s="1"/>
  <c r="AG135" i="2"/>
  <c r="AG145" i="2" s="1"/>
  <c r="AC135" i="2"/>
  <c r="AI135" i="2"/>
  <c r="AI145" i="2" s="1"/>
  <c r="AE135" i="2"/>
  <c r="AE145" i="2" s="1"/>
  <c r="AF135" i="2"/>
  <c r="AF145" i="2" s="1"/>
  <c r="AB135" i="2"/>
  <c r="AD135" i="2"/>
  <c r="AD145" i="2" s="1"/>
  <c r="AJ135" i="2"/>
  <c r="AJ145" i="2" s="1"/>
  <c r="AH135" i="2"/>
  <c r="AH145" i="2" s="1"/>
  <c r="AH478" i="2"/>
  <c r="AH484" i="2" s="1"/>
  <c r="AD478" i="2"/>
  <c r="AD484" i="2" s="1"/>
  <c r="AK478" i="2"/>
  <c r="AK484" i="2" s="1"/>
  <c r="AF478" i="2"/>
  <c r="AF484" i="2" s="1"/>
  <c r="AJ478" i="2"/>
  <c r="AJ484" i="2" s="1"/>
  <c r="AC478" i="2"/>
  <c r="AG478" i="2"/>
  <c r="AG484" i="2" s="1"/>
  <c r="AE478" i="2"/>
  <c r="AE484" i="2" s="1"/>
  <c r="AB478" i="2"/>
  <c r="AI478" i="2"/>
  <c r="AI484" i="2" s="1"/>
  <c r="AB132" i="2"/>
  <c r="AH419" i="2"/>
  <c r="AH429" i="2" s="1"/>
  <c r="AD419" i="2"/>
  <c r="AD429" i="2" s="1"/>
  <c r="AJ419" i="2"/>
  <c r="AJ429" i="2" s="1"/>
  <c r="AE419" i="2"/>
  <c r="AE429" i="2" s="1"/>
  <c r="AK419" i="2"/>
  <c r="AK429" i="2" s="1"/>
  <c r="AC419" i="2"/>
  <c r="AG419" i="2"/>
  <c r="AG429" i="2" s="1"/>
  <c r="AF419" i="2"/>
  <c r="AF429" i="2" s="1"/>
  <c r="AI419" i="2"/>
  <c r="AI429" i="2" s="1"/>
  <c r="AB419" i="2"/>
  <c r="AC242" i="2"/>
  <c r="AL230" i="2"/>
  <c r="AL242" i="2" s="1"/>
  <c r="AC132" i="2"/>
  <c r="AL121" i="2"/>
  <c r="AL132" i="2" s="1"/>
  <c r="AH570" i="2"/>
  <c r="AH579" i="2" s="1"/>
  <c r="AD570" i="2"/>
  <c r="AD579" i="2" s="1"/>
  <c r="AD581" i="2" s="1"/>
  <c r="AK570" i="2"/>
  <c r="AK579" i="2" s="1"/>
  <c r="AG570" i="2"/>
  <c r="AG579" i="2" s="1"/>
  <c r="AC570" i="2"/>
  <c r="AJ570" i="2"/>
  <c r="AJ579" i="2" s="1"/>
  <c r="AB570" i="2"/>
  <c r="AI570" i="2"/>
  <c r="AI579" i="2" s="1"/>
  <c r="AF570" i="2"/>
  <c r="AF579" i="2" s="1"/>
  <c r="AE570" i="2"/>
  <c r="AE579" i="2" s="1"/>
  <c r="AO227" i="2"/>
  <c r="AI96" i="2"/>
  <c r="AI108" i="2" s="1"/>
  <c r="AE96" i="2"/>
  <c r="AE108" i="2" s="1"/>
  <c r="AK96" i="2"/>
  <c r="AK108" i="2" s="1"/>
  <c r="AG96" i="2"/>
  <c r="AG108" i="2" s="1"/>
  <c r="AC96" i="2"/>
  <c r="AH96" i="2"/>
  <c r="AH108" i="2" s="1"/>
  <c r="AD96" i="2"/>
  <c r="AD108" i="2" s="1"/>
  <c r="AF96" i="2"/>
  <c r="AF108" i="2" s="1"/>
  <c r="AJ96" i="2"/>
  <c r="AJ108" i="2" s="1"/>
  <c r="AB96" i="2"/>
  <c r="AI501" i="2"/>
  <c r="AI507" i="2" s="1"/>
  <c r="AE501" i="2"/>
  <c r="AE507" i="2" s="1"/>
  <c r="AK501" i="2"/>
  <c r="AK507" i="2" s="1"/>
  <c r="AF501" i="2"/>
  <c r="AF507" i="2" s="1"/>
  <c r="AJ501" i="2"/>
  <c r="AJ507" i="2" s="1"/>
  <c r="AC501" i="2"/>
  <c r="AH501" i="2"/>
  <c r="AH507" i="2" s="1"/>
  <c r="AB501" i="2"/>
  <c r="AG501" i="2"/>
  <c r="AG507" i="2" s="1"/>
  <c r="AD501" i="2"/>
  <c r="AD507" i="2" s="1"/>
  <c r="AO460" i="2"/>
  <c r="AC190" i="2"/>
  <c r="AL176" i="2"/>
  <c r="AL190" i="2" s="1"/>
  <c r="AO265" i="2"/>
  <c r="AB534" i="2"/>
  <c r="AQ602" i="2"/>
  <c r="AP631" i="2"/>
  <c r="AK74" i="2"/>
  <c r="AK93" i="2" s="1"/>
  <c r="AG74" i="2"/>
  <c r="AG93" i="2" s="1"/>
  <c r="AC74" i="2"/>
  <c r="AI74" i="2"/>
  <c r="AI93" i="2" s="1"/>
  <c r="AE74" i="2"/>
  <c r="AE93" i="2" s="1"/>
  <c r="AD74" i="2"/>
  <c r="AD93" i="2" s="1"/>
  <c r="AH74" i="2"/>
  <c r="AH93" i="2" s="1"/>
  <c r="AJ74" i="2"/>
  <c r="AJ93" i="2" s="1"/>
  <c r="AB74" i="2"/>
  <c r="AF74" i="2"/>
  <c r="AF93" i="2" s="1"/>
  <c r="AC282" i="2"/>
  <c r="AL117" i="2"/>
  <c r="AO117" i="2" s="1"/>
  <c r="AP117" i="2" s="1"/>
  <c r="AQ117" i="2" s="1"/>
  <c r="AR117" i="2" s="1"/>
  <c r="AS117" i="2" s="1"/>
  <c r="AB35" i="2"/>
  <c r="AV900" i="1"/>
  <c r="AV902" i="1" s="1"/>
  <c r="AR902" i="1"/>
  <c r="AM1082" i="1"/>
  <c r="AM224" i="1"/>
  <c r="AP224" i="1" s="1"/>
  <c r="AQ224" i="1" s="1"/>
  <c r="AR224" i="1" s="1"/>
  <c r="AS224" i="1" s="1"/>
  <c r="AT224" i="1" s="1"/>
  <c r="AM214" i="1"/>
  <c r="AP214" i="1" s="1"/>
  <c r="AG848" i="1"/>
  <c r="AQ902" i="1"/>
  <c r="AE848" i="1"/>
  <c r="AG1174" i="1"/>
  <c r="AE1174" i="1"/>
  <c r="T456" i="1"/>
  <c r="AI1218" i="1"/>
  <c r="AG454" i="1"/>
  <c r="AF395" i="1"/>
  <c r="R1319" i="1"/>
  <c r="AD848" i="1"/>
  <c r="AM944" i="1"/>
  <c r="AP944" i="1" s="1"/>
  <c r="AQ944" i="1" s="1"/>
  <c r="AR944" i="1" s="1"/>
  <c r="AV944" i="1" s="1"/>
  <c r="AX944" i="1" s="1"/>
  <c r="AL848" i="1"/>
  <c r="AI1174" i="1"/>
  <c r="AM218" i="1"/>
  <c r="AP218" i="1" s="1"/>
  <c r="AQ218" i="1" s="1"/>
  <c r="AR218" i="1" s="1"/>
  <c r="AS218" i="1" s="1"/>
  <c r="AT218" i="1" s="1"/>
  <c r="S499" i="1"/>
  <c r="T488" i="1"/>
  <c r="AM167" i="1"/>
  <c r="R416" i="1"/>
  <c r="AW1130" i="1"/>
  <c r="AW1141" i="1" s="1"/>
  <c r="AD948" i="1"/>
  <c r="AD1174" i="1" s="1"/>
  <c r="AM138" i="1"/>
  <c r="AP138" i="1" s="1"/>
  <c r="AQ138" i="1" s="1"/>
  <c r="AR138" i="1" s="1"/>
  <c r="AS138" i="1" s="1"/>
  <c r="AT138" i="1" s="1"/>
  <c r="S634" i="1"/>
  <c r="AC1218" i="1"/>
  <c r="W1218" i="1"/>
  <c r="W1404" i="1" s="1"/>
  <c r="AE454" i="1"/>
  <c r="AX986" i="1"/>
  <c r="Q636" i="1"/>
  <c r="AH848" i="1"/>
  <c r="AH1404" i="1" s="1"/>
  <c r="AX1138" i="1"/>
  <c r="AP884" i="1"/>
  <c r="AM885" i="1"/>
  <c r="AL454" i="1"/>
  <c r="AL456" i="1" s="1"/>
  <c r="R552" i="1"/>
  <c r="AF848" i="1"/>
  <c r="AH1174" i="1"/>
  <c r="AF1174" i="1"/>
  <c r="AE456" i="1"/>
  <c r="AK1174" i="1"/>
  <c r="AM118" i="1"/>
  <c r="AP118" i="1" s="1"/>
  <c r="AQ118" i="1" s="1"/>
  <c r="AR118" i="1" s="1"/>
  <c r="AS118" i="1" s="1"/>
  <c r="AT118" i="1" s="1"/>
  <c r="AM362" i="1"/>
  <c r="AP362" i="1" s="1"/>
  <c r="AQ362" i="1" s="1"/>
  <c r="AR362" i="1" s="1"/>
  <c r="AS362" i="1" s="1"/>
  <c r="AT362" i="1" s="1"/>
  <c r="AJ1174" i="1"/>
  <c r="AJ1404" i="1" s="1"/>
  <c r="AL1174" i="1"/>
  <c r="AL1404" i="1" s="1"/>
  <c r="AQ214" i="1"/>
  <c r="AM286" i="1"/>
  <c r="AM312" i="1" s="1"/>
  <c r="AD312" i="1"/>
  <c r="AC430" i="1"/>
  <c r="AD430" i="1"/>
  <c r="AM420" i="1"/>
  <c r="AM430" i="1" s="1"/>
  <c r="AC485" i="1"/>
  <c r="AP677" i="1"/>
  <c r="AM711" i="1"/>
  <c r="AP1250" i="1"/>
  <c r="AQ1249" i="1"/>
  <c r="AD454" i="1"/>
  <c r="AM433" i="1"/>
  <c r="AP433" i="1" s="1"/>
  <c r="AC454" i="1"/>
  <c r="S535" i="1"/>
  <c r="T511" i="1"/>
  <c r="AP632" i="1"/>
  <c r="AQ603" i="1"/>
  <c r="AP763" i="1"/>
  <c r="AM766" i="1"/>
  <c r="AX704" i="1"/>
  <c r="AW704" i="1"/>
  <c r="AW711" i="1" s="1"/>
  <c r="S1005" i="1"/>
  <c r="T951" i="1"/>
  <c r="T1005" i="1" s="1"/>
  <c r="S94" i="1"/>
  <c r="T75" i="1"/>
  <c r="AC272" i="1"/>
  <c r="AC395" i="1"/>
  <c r="AH395" i="1"/>
  <c r="AI395" i="1"/>
  <c r="R848" i="1"/>
  <c r="AP810" i="1"/>
  <c r="AM817" i="1"/>
  <c r="S1082" i="1"/>
  <c r="T1074" i="1"/>
  <c r="T1082" i="1" s="1"/>
  <c r="AM1215" i="1"/>
  <c r="AD1216" i="1"/>
  <c r="T1243" i="1"/>
  <c r="T1250" i="1" s="1"/>
  <c r="T1319" i="1" s="1"/>
  <c r="S1250" i="1"/>
  <c r="T1324" i="1"/>
  <c r="T1335" i="1" s="1"/>
  <c r="T1349" i="1" s="1"/>
  <c r="S1335" i="1"/>
  <c r="S1349" i="1" s="1"/>
  <c r="S112" i="1"/>
  <c r="R119" i="1"/>
  <c r="R193" i="1" s="1"/>
  <c r="AP727" i="1"/>
  <c r="AM736" i="1"/>
  <c r="AR769" i="1"/>
  <c r="AP865" i="1"/>
  <c r="AM867" i="1"/>
  <c r="AM174" i="1"/>
  <c r="AP167" i="1"/>
  <c r="AL587" i="1"/>
  <c r="AL600" i="1" s="1"/>
  <c r="AL634" i="1" s="1"/>
  <c r="AH587" i="1"/>
  <c r="AH600" i="1" s="1"/>
  <c r="AH634" i="1" s="1"/>
  <c r="AD587" i="1"/>
  <c r="AG587" i="1"/>
  <c r="AG600" i="1" s="1"/>
  <c r="AG634" i="1" s="1"/>
  <c r="AK587" i="1"/>
  <c r="AK600" i="1" s="1"/>
  <c r="AK634" i="1" s="1"/>
  <c r="AF587" i="1"/>
  <c r="AF600" i="1" s="1"/>
  <c r="AF634" i="1" s="1"/>
  <c r="T600" i="1"/>
  <c r="T634" i="1" s="1"/>
  <c r="AJ587" i="1"/>
  <c r="AJ600" i="1" s="1"/>
  <c r="AJ634" i="1" s="1"/>
  <c r="AE587" i="1"/>
  <c r="AE600" i="1" s="1"/>
  <c r="AE634" i="1" s="1"/>
  <c r="AI587" i="1"/>
  <c r="AI600" i="1" s="1"/>
  <c r="AI634" i="1" s="1"/>
  <c r="AC587" i="1"/>
  <c r="AP779" i="1"/>
  <c r="AM781" i="1"/>
  <c r="S781" i="1"/>
  <c r="T769" i="1"/>
  <c r="T781" i="1" s="1"/>
  <c r="AP1235" i="1"/>
  <c r="AM1240" i="1"/>
  <c r="AM164" i="1"/>
  <c r="T259" i="1"/>
  <c r="AL246" i="1"/>
  <c r="AL259" i="1" s="1"/>
  <c r="AH246" i="1"/>
  <c r="AH259" i="1" s="1"/>
  <c r="AD246" i="1"/>
  <c r="AK246" i="1"/>
  <c r="AK259" i="1" s="1"/>
  <c r="AG246" i="1"/>
  <c r="AG259" i="1" s="1"/>
  <c r="AC246" i="1"/>
  <c r="AJ246" i="1"/>
  <c r="AJ259" i="1" s="1"/>
  <c r="AF246" i="1"/>
  <c r="AF259" i="1" s="1"/>
  <c r="AI246" i="1"/>
  <c r="AI259" i="1" s="1"/>
  <c r="AE246" i="1"/>
  <c r="AE259" i="1" s="1"/>
  <c r="AP661" i="1"/>
  <c r="AM666" i="1"/>
  <c r="AQ827" i="1"/>
  <c r="AR820" i="1"/>
  <c r="AR827" i="1" s="1"/>
  <c r="AK398" i="1"/>
  <c r="AK402" i="1" s="1"/>
  <c r="AG398" i="1"/>
  <c r="AG402" i="1" s="1"/>
  <c r="AC398" i="1"/>
  <c r="AH398" i="1"/>
  <c r="AH402" i="1" s="1"/>
  <c r="AL398" i="1"/>
  <c r="AL402" i="1" s="1"/>
  <c r="AF398" i="1"/>
  <c r="AF402" i="1" s="1"/>
  <c r="T402" i="1"/>
  <c r="AJ398" i="1"/>
  <c r="AJ402" i="1" s="1"/>
  <c r="AE398" i="1"/>
  <c r="AE402" i="1" s="1"/>
  <c r="AI398" i="1"/>
  <c r="AI402" i="1" s="1"/>
  <c r="AD398" i="1"/>
  <c r="T571" i="1"/>
  <c r="S580" i="1"/>
  <c r="S582" i="1" s="1"/>
  <c r="AP1082" i="1"/>
  <c r="AQ1075" i="1"/>
  <c r="AC211" i="1"/>
  <c r="T177" i="1"/>
  <c r="S191" i="1"/>
  <c r="AJ405" i="1"/>
  <c r="AJ414" i="1" s="1"/>
  <c r="AF405" i="1"/>
  <c r="AF414" i="1" s="1"/>
  <c r="T414" i="1"/>
  <c r="AH405" i="1"/>
  <c r="AH414" i="1" s="1"/>
  <c r="AC405" i="1"/>
  <c r="AL405" i="1"/>
  <c r="AL414" i="1" s="1"/>
  <c r="AG405" i="1"/>
  <c r="AG414" i="1" s="1"/>
  <c r="AK405" i="1"/>
  <c r="AK414" i="1" s="1"/>
  <c r="AE405" i="1"/>
  <c r="AE414" i="1" s="1"/>
  <c r="AI405" i="1"/>
  <c r="AI414" i="1" s="1"/>
  <c r="AD405" i="1"/>
  <c r="S550" i="1"/>
  <c r="T538" i="1"/>
  <c r="T852" i="1"/>
  <c r="T867" i="1" s="1"/>
  <c r="T921" i="1" s="1"/>
  <c r="S867" i="1"/>
  <c r="S921" i="1" s="1"/>
  <c r="T925" i="1"/>
  <c r="T931" i="1" s="1"/>
  <c r="S931" i="1"/>
  <c r="AP1011" i="1"/>
  <c r="AM1071" i="1"/>
  <c r="AM1141" i="1"/>
  <c r="AP1087" i="1"/>
  <c r="AM114" i="1"/>
  <c r="AP114" i="1" s="1"/>
  <c r="AQ114" i="1" s="1"/>
  <c r="AR114" i="1" s="1"/>
  <c r="AS114" i="1" s="1"/>
  <c r="AT114" i="1" s="1"/>
  <c r="AC312" i="1"/>
  <c r="AP286" i="1"/>
  <c r="AM1181" i="1"/>
  <c r="AD1191" i="1"/>
  <c r="AD1319" i="1"/>
  <c r="AM1302" i="1"/>
  <c r="AP1297" i="1"/>
  <c r="AC72" i="1"/>
  <c r="AH454" i="1"/>
  <c r="AH456" i="1" s="1"/>
  <c r="AK454" i="1"/>
  <c r="AK456" i="1" s="1"/>
  <c r="Q1404" i="1"/>
  <c r="AX1068" i="1"/>
  <c r="AW1068" i="1"/>
  <c r="AW1071" i="1" s="1"/>
  <c r="S1191" i="1"/>
  <c r="S1218" i="1" s="1"/>
  <c r="T1178" i="1"/>
  <c r="T1191" i="1" s="1"/>
  <c r="T1218" i="1" s="1"/>
  <c r="AK136" i="1"/>
  <c r="AK146" i="1" s="1"/>
  <c r="AG136" i="1"/>
  <c r="AG146" i="1" s="1"/>
  <c r="AC136" i="1"/>
  <c r="AJ136" i="1"/>
  <c r="AJ146" i="1" s="1"/>
  <c r="AF136" i="1"/>
  <c r="AF146" i="1" s="1"/>
  <c r="T146" i="1"/>
  <c r="AI136" i="1"/>
  <c r="AI146" i="1" s="1"/>
  <c r="AE136" i="1"/>
  <c r="AE146" i="1" s="1"/>
  <c r="AL136" i="1"/>
  <c r="AL146" i="1" s="1"/>
  <c r="AH136" i="1"/>
  <c r="AH146" i="1" s="1"/>
  <c r="AD136" i="1"/>
  <c r="AK395" i="1"/>
  <c r="AJ395" i="1"/>
  <c r="AD476" i="1"/>
  <c r="AM461" i="1"/>
  <c r="AM476" i="1" s="1"/>
  <c r="AM434" i="1"/>
  <c r="AP434" i="1" s="1"/>
  <c r="AQ434" i="1" s="1"/>
  <c r="AR434" i="1" s="1"/>
  <c r="AS434" i="1" s="1"/>
  <c r="AT434" i="1" s="1"/>
  <c r="AR1009" i="1"/>
  <c r="AM1172" i="1"/>
  <c r="AP1368" i="1"/>
  <c r="AP1402" i="1" s="1"/>
  <c r="AQ1363" i="1"/>
  <c r="AI122" i="1"/>
  <c r="AI133" i="1" s="1"/>
  <c r="AE122" i="1"/>
  <c r="AE133" i="1" s="1"/>
  <c r="AL122" i="1"/>
  <c r="AL133" i="1" s="1"/>
  <c r="AH122" i="1"/>
  <c r="AH133" i="1" s="1"/>
  <c r="AD122" i="1"/>
  <c r="AK122" i="1"/>
  <c r="AK133" i="1" s="1"/>
  <c r="AG122" i="1"/>
  <c r="AG133" i="1" s="1"/>
  <c r="AC122" i="1"/>
  <c r="T133" i="1"/>
  <c r="AJ122" i="1"/>
  <c r="AJ133" i="1" s="1"/>
  <c r="AF122" i="1"/>
  <c r="AF133" i="1" s="1"/>
  <c r="AD211" i="1"/>
  <c r="AM197" i="1"/>
  <c r="AM211" i="1" s="1"/>
  <c r="AR642" i="1"/>
  <c r="AP751" i="1"/>
  <c r="AM754" i="1"/>
  <c r="AR739" i="1"/>
  <c r="AQ935" i="1"/>
  <c r="AP948" i="1"/>
  <c r="R1174" i="1"/>
  <c r="AP1145" i="1"/>
  <c r="AM1152" i="1"/>
  <c r="AX900" i="1"/>
  <c r="AX902" i="1" s="1"/>
  <c r="AW900" i="1"/>
  <c r="AW902" i="1" s="1"/>
  <c r="AP149" i="1"/>
  <c r="S243" i="1"/>
  <c r="S261" i="1" s="1"/>
  <c r="T231" i="1"/>
  <c r="AG456" i="1"/>
  <c r="AM354" i="1"/>
  <c r="AP354" i="1" s="1"/>
  <c r="AQ354" i="1" s="1"/>
  <c r="AR354" i="1" s="1"/>
  <c r="AS354" i="1" s="1"/>
  <c r="AT354" i="1" s="1"/>
  <c r="AD485" i="1"/>
  <c r="AM479" i="1"/>
  <c r="AM485" i="1" s="1"/>
  <c r="AP794" i="1"/>
  <c r="AM795" i="1"/>
  <c r="AR852" i="1"/>
  <c r="AP843" i="1"/>
  <c r="AM846" i="1"/>
  <c r="AP916" i="1"/>
  <c r="AM919" i="1"/>
  <c r="AG1218" i="1"/>
  <c r="AG1404" i="1" s="1"/>
  <c r="AF1218" i="1"/>
  <c r="AF1404" i="1" s="1"/>
  <c r="S1319" i="1"/>
  <c r="T1354" i="1"/>
  <c r="T1368" i="1" s="1"/>
  <c r="T1402" i="1" s="1"/>
  <c r="S1368" i="1"/>
  <c r="S1402" i="1" s="1"/>
  <c r="AM39" i="1"/>
  <c r="AM72" i="1" s="1"/>
  <c r="AD72" i="1"/>
  <c r="AM116" i="1"/>
  <c r="AP116" i="1" s="1"/>
  <c r="AQ116" i="1" s="1"/>
  <c r="AR116" i="1" s="1"/>
  <c r="AS116" i="1" s="1"/>
  <c r="AT116" i="1" s="1"/>
  <c r="S109" i="1"/>
  <c r="T97" i="1"/>
  <c r="S283" i="1"/>
  <c r="S416" i="1" s="1"/>
  <c r="T275" i="1"/>
  <c r="AI454" i="1"/>
  <c r="AI456" i="1" s="1"/>
  <c r="AI557" i="1"/>
  <c r="AI568" i="1" s="1"/>
  <c r="AE557" i="1"/>
  <c r="AE568" i="1" s="1"/>
  <c r="AL557" i="1"/>
  <c r="AL568" i="1" s="1"/>
  <c r="AH557" i="1"/>
  <c r="AH568" i="1" s="1"/>
  <c r="AD557" i="1"/>
  <c r="AK557" i="1"/>
  <c r="AK568" i="1" s="1"/>
  <c r="AG557" i="1"/>
  <c r="AG568" i="1" s="1"/>
  <c r="AC557" i="1"/>
  <c r="T568" i="1"/>
  <c r="AJ557" i="1"/>
  <c r="AJ568" i="1" s="1"/>
  <c r="AF557" i="1"/>
  <c r="AF568" i="1" s="1"/>
  <c r="AM1005" i="1"/>
  <c r="AP952" i="1"/>
  <c r="T830" i="1"/>
  <c r="T846" i="1" s="1"/>
  <c r="S846" i="1"/>
  <c r="AM266" i="1"/>
  <c r="AM272" i="1" s="1"/>
  <c r="AD272" i="1"/>
  <c r="AD395" i="1"/>
  <c r="AM361" i="1"/>
  <c r="AE395" i="1"/>
  <c r="AP461" i="1"/>
  <c r="AC476" i="1"/>
  <c r="S666" i="1"/>
  <c r="S848" i="1" s="1"/>
  <c r="T642" i="1"/>
  <c r="T666" i="1" s="1"/>
  <c r="AW991" i="1"/>
  <c r="AX991" i="1"/>
  <c r="AP1172" i="1"/>
  <c r="AQ1156" i="1"/>
  <c r="S1152" i="1"/>
  <c r="T1144" i="1"/>
  <c r="T1152" i="1" s="1"/>
  <c r="T13" i="1"/>
  <c r="S36" i="1"/>
  <c r="T350" i="1"/>
  <c r="AI315" i="1"/>
  <c r="AI350" i="1" s="1"/>
  <c r="AE315" i="1"/>
  <c r="AE350" i="1" s="1"/>
  <c r="AK315" i="1"/>
  <c r="AK350" i="1" s="1"/>
  <c r="AF315" i="1"/>
  <c r="AF350" i="1" s="1"/>
  <c r="AJ315" i="1"/>
  <c r="AJ350" i="1" s="1"/>
  <c r="AD315" i="1"/>
  <c r="AH315" i="1"/>
  <c r="AH350" i="1" s="1"/>
  <c r="AC315" i="1"/>
  <c r="AL315" i="1"/>
  <c r="AL350" i="1" s="1"/>
  <c r="AG315" i="1"/>
  <c r="AG350" i="1" s="1"/>
  <c r="AJ353" i="1"/>
  <c r="AJ358" i="1" s="1"/>
  <c r="AF353" i="1"/>
  <c r="AF358" i="1" s="1"/>
  <c r="AI353" i="1"/>
  <c r="AI358" i="1" s="1"/>
  <c r="AE353" i="1"/>
  <c r="AE358" i="1" s="1"/>
  <c r="T358" i="1"/>
  <c r="AL353" i="1"/>
  <c r="AL358" i="1" s="1"/>
  <c r="AH353" i="1"/>
  <c r="AH358" i="1" s="1"/>
  <c r="AD353" i="1"/>
  <c r="AK353" i="1"/>
  <c r="AK358" i="1" s="1"/>
  <c r="AG353" i="1"/>
  <c r="AG358" i="1" s="1"/>
  <c r="AC353" i="1"/>
  <c r="S508" i="1"/>
  <c r="T502" i="1"/>
  <c r="AM632" i="1"/>
  <c r="AK1404" i="1"/>
  <c r="AR784" i="1"/>
  <c r="AC1174" i="1"/>
  <c r="AC1404" i="1" s="1"/>
  <c r="AM948" i="1"/>
  <c r="AO196" i="2" l="1"/>
  <c r="AP196" i="2" s="1"/>
  <c r="AH581" i="2"/>
  <c r="AE581" i="2"/>
  <c r="AD413" i="2"/>
  <c r="AD415" i="2" s="1"/>
  <c r="AG581" i="2"/>
  <c r="AD455" i="2"/>
  <c r="AL274" i="2"/>
  <c r="AL282" i="2" s="1"/>
  <c r="AF581" i="2"/>
  <c r="AK413" i="2"/>
  <c r="AK415" i="2" s="1"/>
  <c r="AI413" i="2"/>
  <c r="AI415" i="2" s="1"/>
  <c r="AK581" i="2"/>
  <c r="AI455" i="2"/>
  <c r="AK455" i="2"/>
  <c r="AG455" i="2"/>
  <c r="AJ455" i="2"/>
  <c r="AL404" i="2"/>
  <c r="AO404" i="2" s="1"/>
  <c r="AP404" i="2" s="1"/>
  <c r="AO352" i="2"/>
  <c r="AP352" i="2" s="1"/>
  <c r="AF413" i="2"/>
  <c r="AF415" i="2" s="1"/>
  <c r="AC567" i="2"/>
  <c r="AL556" i="2"/>
  <c r="AL567" i="2" s="1"/>
  <c r="AJ581" i="2"/>
  <c r="AE455" i="2"/>
  <c r="AJ413" i="2"/>
  <c r="AJ415" i="2" s="1"/>
  <c r="R635" i="2"/>
  <c r="S415" i="2"/>
  <c r="S635" i="2" s="1"/>
  <c r="AB567" i="2"/>
  <c r="AC173" i="2"/>
  <c r="AL166" i="2"/>
  <c r="AL173" i="2" s="1"/>
  <c r="AL311" i="2"/>
  <c r="AO285" i="2"/>
  <c r="AL487" i="2"/>
  <c r="AC498" i="2"/>
  <c r="AB349" i="2"/>
  <c r="AI581" i="2"/>
  <c r="AL360" i="2"/>
  <c r="AL394" i="2" s="1"/>
  <c r="AG551" i="2"/>
  <c r="AG413" i="2"/>
  <c r="AG415" i="2" s="1"/>
  <c r="AB173" i="2"/>
  <c r="AO148" i="2"/>
  <c r="AL163" i="2"/>
  <c r="AC349" i="2"/>
  <c r="AL314" i="2"/>
  <c r="AL349" i="2" s="1"/>
  <c r="AK551" i="2"/>
  <c r="AE415" i="2"/>
  <c r="AF455" i="2"/>
  <c r="AO176" i="2"/>
  <c r="AO190" i="2" s="1"/>
  <c r="AO510" i="2"/>
  <c r="AP510" i="2" s="1"/>
  <c r="AH455" i="2"/>
  <c r="AD551" i="2"/>
  <c r="AO586" i="2"/>
  <c r="AO599" i="2" s="1"/>
  <c r="AO633" i="2" s="1"/>
  <c r="AH415" i="2"/>
  <c r="AC108" i="2"/>
  <c r="AL96" i="2"/>
  <c r="AL108" i="2" s="1"/>
  <c r="AQ227" i="2"/>
  <c r="AR213" i="2"/>
  <c r="AB401" i="2"/>
  <c r="AB453" i="2"/>
  <c r="AC549" i="2"/>
  <c r="AL537" i="2"/>
  <c r="AL549" i="2" s="1"/>
  <c r="AI111" i="2"/>
  <c r="AI118" i="2" s="1"/>
  <c r="AI192" i="2" s="1"/>
  <c r="AE111" i="2"/>
  <c r="AE118" i="2" s="1"/>
  <c r="AE192" i="2" s="1"/>
  <c r="AK111" i="2"/>
  <c r="AK118" i="2" s="1"/>
  <c r="AK192" i="2" s="1"/>
  <c r="AG111" i="2"/>
  <c r="AG118" i="2" s="1"/>
  <c r="AG192" i="2" s="1"/>
  <c r="AC111" i="2"/>
  <c r="AF111" i="2"/>
  <c r="AF118" i="2" s="1"/>
  <c r="AF192" i="2" s="1"/>
  <c r="AB111" i="2"/>
  <c r="AD111" i="2"/>
  <c r="AD118" i="2" s="1"/>
  <c r="AD192" i="2" s="1"/>
  <c r="AJ111" i="2"/>
  <c r="AJ118" i="2" s="1"/>
  <c r="AJ192" i="2" s="1"/>
  <c r="AH111" i="2"/>
  <c r="AH118" i="2" s="1"/>
  <c r="AH192" i="2" s="1"/>
  <c r="AB579" i="2"/>
  <c r="AC93" i="2"/>
  <c r="AL74" i="2"/>
  <c r="AL93" i="2" s="1"/>
  <c r="AP265" i="2"/>
  <c r="AO271" i="2"/>
  <c r="AB108" i="2"/>
  <c r="AB484" i="2"/>
  <c r="AJ551" i="2"/>
  <c r="AH551" i="2"/>
  <c r="AO360" i="2"/>
  <c r="AL405" i="2"/>
  <c r="AL413" i="2" s="1"/>
  <c r="AC413" i="2"/>
  <c r="AC401" i="2"/>
  <c r="AL397" i="2"/>
  <c r="AL401" i="2" s="1"/>
  <c r="AC453" i="2"/>
  <c r="AL432" i="2"/>
  <c r="AL453" i="2" s="1"/>
  <c r="AB549" i="2"/>
  <c r="AO38" i="2"/>
  <c r="AB507" i="2"/>
  <c r="AB145" i="2"/>
  <c r="AB258" i="2"/>
  <c r="AB260" i="2" s="1"/>
  <c r="AC258" i="2"/>
  <c r="AC260" i="2" s="1"/>
  <c r="AL245" i="2"/>
  <c r="AL258" i="2" s="1"/>
  <c r="AL260" i="2" s="1"/>
  <c r="AB413" i="2"/>
  <c r="AO475" i="2"/>
  <c r="AP460" i="2"/>
  <c r="AO210" i="2"/>
  <c r="AI551" i="2"/>
  <c r="AL478" i="2"/>
  <c r="AL484" i="2" s="1"/>
  <c r="AC484" i="2"/>
  <c r="AL135" i="2"/>
  <c r="AL145" i="2" s="1"/>
  <c r="AC145" i="2"/>
  <c r="AO12" i="2"/>
  <c r="AB93" i="2"/>
  <c r="AQ631" i="2"/>
  <c r="AR602" i="2"/>
  <c r="AC507" i="2"/>
  <c r="AL501" i="2"/>
  <c r="AL507" i="2" s="1"/>
  <c r="AL570" i="2"/>
  <c r="AL579" i="2" s="1"/>
  <c r="AL581" i="2" s="1"/>
  <c r="AC579" i="2"/>
  <c r="AB429" i="2"/>
  <c r="AB455" i="2" s="1"/>
  <c r="AL419" i="2"/>
  <c r="AL429" i="2" s="1"/>
  <c r="AC429" i="2"/>
  <c r="AO121" i="2"/>
  <c r="AE551" i="2"/>
  <c r="AF551" i="2"/>
  <c r="AO230" i="2"/>
  <c r="AI1404" i="1"/>
  <c r="AE1404" i="1"/>
  <c r="AM395" i="1"/>
  <c r="AM228" i="1"/>
  <c r="AM1319" i="1"/>
  <c r="R636" i="1"/>
  <c r="AK488" i="1"/>
  <c r="AK499" i="1" s="1"/>
  <c r="AH488" i="1"/>
  <c r="AH499" i="1" s="1"/>
  <c r="AE488" i="1"/>
  <c r="AE499" i="1" s="1"/>
  <c r="AC488" i="1"/>
  <c r="AC499" i="1" s="1"/>
  <c r="AF488" i="1"/>
  <c r="AF499" i="1" s="1"/>
  <c r="AD488" i="1"/>
  <c r="AG488" i="1"/>
  <c r="AG499" i="1" s="1"/>
  <c r="AL488" i="1"/>
  <c r="AL499" i="1" s="1"/>
  <c r="AI488" i="1"/>
  <c r="AI499" i="1" s="1"/>
  <c r="T499" i="1"/>
  <c r="AJ488" i="1"/>
  <c r="AJ499" i="1" s="1"/>
  <c r="AM1174" i="1"/>
  <c r="AQ884" i="1"/>
  <c r="AP885" i="1"/>
  <c r="S552" i="1"/>
  <c r="AD1218" i="1"/>
  <c r="AD1404" i="1" s="1"/>
  <c r="AP420" i="1"/>
  <c r="AP430" i="1" s="1"/>
  <c r="AP228" i="1"/>
  <c r="AR1363" i="1"/>
  <c r="AQ1368" i="1"/>
  <c r="AQ1402" i="1" s="1"/>
  <c r="AC259" i="1"/>
  <c r="AQ167" i="1"/>
  <c r="AP174" i="1"/>
  <c r="AQ865" i="1"/>
  <c r="AP867" i="1"/>
  <c r="AQ727" i="1"/>
  <c r="AP736" i="1"/>
  <c r="AK75" i="1"/>
  <c r="AK94" i="1" s="1"/>
  <c r="AG75" i="1"/>
  <c r="AG94" i="1" s="1"/>
  <c r="AC75" i="1"/>
  <c r="T94" i="1"/>
  <c r="AL75" i="1"/>
  <c r="AL94" i="1" s="1"/>
  <c r="AH75" i="1"/>
  <c r="AH94" i="1" s="1"/>
  <c r="AD75" i="1"/>
  <c r="AJ75" i="1"/>
  <c r="AJ94" i="1" s="1"/>
  <c r="AI75" i="1"/>
  <c r="AI94" i="1" s="1"/>
  <c r="AF75" i="1"/>
  <c r="AF94" i="1" s="1"/>
  <c r="AE75" i="1"/>
  <c r="AE94" i="1" s="1"/>
  <c r="AQ632" i="1"/>
  <c r="AR603" i="1"/>
  <c r="AQ420" i="1"/>
  <c r="AR214" i="1"/>
  <c r="AQ228" i="1"/>
  <c r="AD358" i="1"/>
  <c r="AM353" i="1"/>
  <c r="AM358" i="1" s="1"/>
  <c r="AD350" i="1"/>
  <c r="AM315" i="1"/>
  <c r="AM350" i="1" s="1"/>
  <c r="AC358" i="1"/>
  <c r="AP353" i="1"/>
  <c r="AP1005" i="1"/>
  <c r="AQ952" i="1"/>
  <c r="AM557" i="1"/>
  <c r="AM568" i="1" s="1"/>
  <c r="AD568" i="1"/>
  <c r="AI97" i="1"/>
  <c r="AI109" i="1" s="1"/>
  <c r="AE97" i="1"/>
  <c r="AE109" i="1" s="1"/>
  <c r="AL97" i="1"/>
  <c r="AL109" i="1" s="1"/>
  <c r="AH97" i="1"/>
  <c r="AH109" i="1" s="1"/>
  <c r="AD97" i="1"/>
  <c r="T109" i="1"/>
  <c r="AK97" i="1"/>
  <c r="AK109" i="1" s="1"/>
  <c r="AG97" i="1"/>
  <c r="AG109" i="1" s="1"/>
  <c r="AC97" i="1"/>
  <c r="AJ97" i="1"/>
  <c r="AJ109" i="1" s="1"/>
  <c r="AF97" i="1"/>
  <c r="AF109" i="1" s="1"/>
  <c r="AR935" i="1"/>
  <c r="AQ948" i="1"/>
  <c r="AQ751" i="1"/>
  <c r="AP754" i="1"/>
  <c r="AQ1011" i="1"/>
  <c r="AP1071" i="1"/>
  <c r="AD414" i="1"/>
  <c r="AM405" i="1"/>
  <c r="AM414" i="1" s="1"/>
  <c r="AJ177" i="1"/>
  <c r="AJ191" i="1" s="1"/>
  <c r="AF177" i="1"/>
  <c r="AF191" i="1" s="1"/>
  <c r="AK177" i="1"/>
  <c r="AK191" i="1" s="1"/>
  <c r="AE177" i="1"/>
  <c r="AE191" i="1" s="1"/>
  <c r="AI177" i="1"/>
  <c r="AI191" i="1" s="1"/>
  <c r="AD177" i="1"/>
  <c r="T191" i="1"/>
  <c r="AH177" i="1"/>
  <c r="AH191" i="1" s="1"/>
  <c r="AC177" i="1"/>
  <c r="AL177" i="1"/>
  <c r="AL191" i="1" s="1"/>
  <c r="AG177" i="1"/>
  <c r="AG191" i="1" s="1"/>
  <c r="AQ1235" i="1"/>
  <c r="AP1240" i="1"/>
  <c r="AQ779" i="1"/>
  <c r="AP781" i="1"/>
  <c r="AP454" i="1"/>
  <c r="AQ433" i="1"/>
  <c r="AQ677" i="1"/>
  <c r="AP711" i="1"/>
  <c r="AC350" i="1"/>
  <c r="AQ1172" i="1"/>
  <c r="AR1156" i="1"/>
  <c r="AC568" i="1"/>
  <c r="AP557" i="1"/>
  <c r="AQ843" i="1"/>
  <c r="AP846" i="1"/>
  <c r="AQ794" i="1"/>
  <c r="AP795" i="1"/>
  <c r="AP164" i="1"/>
  <c r="AQ149" i="1"/>
  <c r="AP1152" i="1"/>
  <c r="AQ1145" i="1"/>
  <c r="AM122" i="1"/>
  <c r="AM133" i="1" s="1"/>
  <c r="AD133" i="1"/>
  <c r="AD146" i="1"/>
  <c r="AM136" i="1"/>
  <c r="AM146" i="1" s="1"/>
  <c r="AC146" i="1"/>
  <c r="AP1302" i="1"/>
  <c r="AQ1297" i="1"/>
  <c r="AQ286" i="1"/>
  <c r="AP312" i="1"/>
  <c r="AP1141" i="1"/>
  <c r="AQ1087" i="1"/>
  <c r="S1174" i="1"/>
  <c r="S1404" i="1" s="1"/>
  <c r="AR1075" i="1"/>
  <c r="AQ1082" i="1"/>
  <c r="AK571" i="1"/>
  <c r="AK580" i="1" s="1"/>
  <c r="AK582" i="1" s="1"/>
  <c r="AG571" i="1"/>
  <c r="AG580" i="1" s="1"/>
  <c r="AG582" i="1" s="1"/>
  <c r="AC571" i="1"/>
  <c r="AJ571" i="1"/>
  <c r="AJ580" i="1" s="1"/>
  <c r="AJ582" i="1" s="1"/>
  <c r="AF571" i="1"/>
  <c r="AF580" i="1" s="1"/>
  <c r="T580" i="1"/>
  <c r="T582" i="1" s="1"/>
  <c r="AI571" i="1"/>
  <c r="AI580" i="1" s="1"/>
  <c r="AI582" i="1" s="1"/>
  <c r="AE571" i="1"/>
  <c r="AE580" i="1" s="1"/>
  <c r="AE582" i="1" s="1"/>
  <c r="AL571" i="1"/>
  <c r="AL580" i="1" s="1"/>
  <c r="AH571" i="1"/>
  <c r="AH580" i="1" s="1"/>
  <c r="AH582" i="1" s="1"/>
  <c r="AD571" i="1"/>
  <c r="AM848" i="1"/>
  <c r="AC600" i="1"/>
  <c r="AC634" i="1" s="1"/>
  <c r="AD600" i="1"/>
  <c r="AD634" i="1" s="1"/>
  <c r="AM587" i="1"/>
  <c r="AM600" i="1" s="1"/>
  <c r="AM634" i="1" s="1"/>
  <c r="S119" i="1"/>
  <c r="S193" i="1" s="1"/>
  <c r="T112" i="1"/>
  <c r="AP1215" i="1"/>
  <c r="AM1216" i="1"/>
  <c r="AQ810" i="1"/>
  <c r="AP817" i="1"/>
  <c r="AP361" i="1"/>
  <c r="AP266" i="1"/>
  <c r="AQ1250" i="1"/>
  <c r="AR1249" i="1"/>
  <c r="AP479" i="1"/>
  <c r="AD456" i="1"/>
  <c r="AQ916" i="1"/>
  <c r="AP919" i="1"/>
  <c r="AP1174" i="1"/>
  <c r="T508" i="1"/>
  <c r="AI502" i="1"/>
  <c r="AI508" i="1" s="1"/>
  <c r="AE502" i="1"/>
  <c r="AE508" i="1" s="1"/>
  <c r="AK502" i="1"/>
  <c r="AK508" i="1" s="1"/>
  <c r="AF502" i="1"/>
  <c r="AF508" i="1" s="1"/>
  <c r="AJ502" i="1"/>
  <c r="AJ508" i="1" s="1"/>
  <c r="AD502" i="1"/>
  <c r="AH502" i="1"/>
  <c r="AH508" i="1" s="1"/>
  <c r="AC502" i="1"/>
  <c r="AL502" i="1"/>
  <c r="AL508" i="1" s="1"/>
  <c r="AG502" i="1"/>
  <c r="AG508" i="1" s="1"/>
  <c r="T36" i="1"/>
  <c r="AK13" i="1"/>
  <c r="AK36" i="1" s="1"/>
  <c r="AC13" i="1"/>
  <c r="AJ13" i="1"/>
  <c r="AJ36" i="1" s="1"/>
  <c r="AE13" i="1"/>
  <c r="AE36" i="1" s="1"/>
  <c r="AL13" i="1"/>
  <c r="AL36" i="1" s="1"/>
  <c r="AH13" i="1"/>
  <c r="AH36" i="1" s="1"/>
  <c r="AD13" i="1"/>
  <c r="AG13" i="1"/>
  <c r="AG36" i="1" s="1"/>
  <c r="AF13" i="1"/>
  <c r="AF36" i="1" s="1"/>
  <c r="AI13" i="1"/>
  <c r="AI36" i="1" s="1"/>
  <c r="T848" i="1"/>
  <c r="AP476" i="1"/>
  <c r="AQ461" i="1"/>
  <c r="AF582" i="1"/>
  <c r="AL582" i="1"/>
  <c r="AI275" i="1"/>
  <c r="AI283" i="1" s="1"/>
  <c r="AI416" i="1" s="1"/>
  <c r="AE275" i="1"/>
  <c r="AE283" i="1" s="1"/>
  <c r="AE416" i="1" s="1"/>
  <c r="AK275" i="1"/>
  <c r="AK283" i="1" s="1"/>
  <c r="AK416" i="1" s="1"/>
  <c r="AF275" i="1"/>
  <c r="AF283" i="1" s="1"/>
  <c r="AF416" i="1" s="1"/>
  <c r="AJ275" i="1"/>
  <c r="AJ283" i="1" s="1"/>
  <c r="AJ416" i="1" s="1"/>
  <c r="AD275" i="1"/>
  <c r="T283" i="1"/>
  <c r="T416" i="1" s="1"/>
  <c r="AH275" i="1"/>
  <c r="AH283" i="1" s="1"/>
  <c r="AH416" i="1" s="1"/>
  <c r="AC275" i="1"/>
  <c r="AL275" i="1"/>
  <c r="AL283" i="1" s="1"/>
  <c r="AL416" i="1" s="1"/>
  <c r="AG275" i="1"/>
  <c r="AG283" i="1" s="1"/>
  <c r="AG416" i="1" s="1"/>
  <c r="T243" i="1"/>
  <c r="T261" i="1" s="1"/>
  <c r="AK231" i="1"/>
  <c r="AK243" i="1" s="1"/>
  <c r="AK261" i="1" s="1"/>
  <c r="AG231" i="1"/>
  <c r="AG243" i="1" s="1"/>
  <c r="AG261" i="1" s="1"/>
  <c r="AC231" i="1"/>
  <c r="AJ231" i="1"/>
  <c r="AJ243" i="1" s="1"/>
  <c r="AJ261" i="1" s="1"/>
  <c r="AF231" i="1"/>
  <c r="AF243" i="1" s="1"/>
  <c r="AF261" i="1" s="1"/>
  <c r="AI231" i="1"/>
  <c r="AI243" i="1" s="1"/>
  <c r="AI261" i="1" s="1"/>
  <c r="AE231" i="1"/>
  <c r="AE243" i="1" s="1"/>
  <c r="AE261" i="1" s="1"/>
  <c r="AL231" i="1"/>
  <c r="AL243" i="1" s="1"/>
  <c r="AL261" i="1" s="1"/>
  <c r="AH231" i="1"/>
  <c r="AH243" i="1" s="1"/>
  <c r="AH261" i="1" s="1"/>
  <c r="AD231" i="1"/>
  <c r="AC133" i="1"/>
  <c r="AV1009" i="1"/>
  <c r="AP39" i="1"/>
  <c r="AM1191" i="1"/>
  <c r="AP1181" i="1"/>
  <c r="T1174" i="1"/>
  <c r="AL538" i="1"/>
  <c r="AL550" i="1" s="1"/>
  <c r="AH538" i="1"/>
  <c r="AH550" i="1" s="1"/>
  <c r="AD538" i="1"/>
  <c r="T550" i="1"/>
  <c r="AK538" i="1"/>
  <c r="AK550" i="1" s="1"/>
  <c r="AG538" i="1"/>
  <c r="AG550" i="1" s="1"/>
  <c r="AC538" i="1"/>
  <c r="AI538" i="1"/>
  <c r="AI550" i="1" s="1"/>
  <c r="AE538" i="1"/>
  <c r="AE550" i="1" s="1"/>
  <c r="AJ538" i="1"/>
  <c r="AJ550" i="1" s="1"/>
  <c r="AF538" i="1"/>
  <c r="AF550" i="1" s="1"/>
  <c r="AC414" i="1"/>
  <c r="AP405" i="1"/>
  <c r="AP197" i="1"/>
  <c r="AD402" i="1"/>
  <c r="AM398" i="1"/>
  <c r="AM402" i="1" s="1"/>
  <c r="AC402" i="1"/>
  <c r="AQ661" i="1"/>
  <c r="AP666" i="1"/>
  <c r="AD259" i="1"/>
  <c r="AM246" i="1"/>
  <c r="AM259" i="1" s="1"/>
  <c r="AM921" i="1"/>
  <c r="R1404" i="1"/>
  <c r="AQ763" i="1"/>
  <c r="AP766" i="1"/>
  <c r="T535" i="1"/>
  <c r="AL511" i="1"/>
  <c r="AL535" i="1" s="1"/>
  <c r="AH511" i="1"/>
  <c r="AH535" i="1" s="1"/>
  <c r="AD511" i="1"/>
  <c r="AI511" i="1"/>
  <c r="AI535" i="1" s="1"/>
  <c r="AC511" i="1"/>
  <c r="AG511" i="1"/>
  <c r="AG535" i="1" s="1"/>
  <c r="AK511" i="1"/>
  <c r="AK535" i="1" s="1"/>
  <c r="AF511" i="1"/>
  <c r="AF535" i="1" s="1"/>
  <c r="AJ511" i="1"/>
  <c r="AJ535" i="1" s="1"/>
  <c r="AE511" i="1"/>
  <c r="AE535" i="1" s="1"/>
  <c r="AM454" i="1"/>
  <c r="AM456" i="1" s="1"/>
  <c r="AC456" i="1"/>
  <c r="AO357" i="2" l="1"/>
  <c r="AD635" i="2"/>
  <c r="AP586" i="2"/>
  <c r="AP599" i="2" s="1"/>
  <c r="AP633" i="2" s="1"/>
  <c r="AO534" i="2"/>
  <c r="AO166" i="2"/>
  <c r="AO173" i="2" s="1"/>
  <c r="AC581" i="2"/>
  <c r="AO274" i="2"/>
  <c r="AB581" i="2"/>
  <c r="AP176" i="2"/>
  <c r="AP190" i="2" s="1"/>
  <c r="AO556" i="2"/>
  <c r="AP556" i="2" s="1"/>
  <c r="AJ635" i="2"/>
  <c r="AO163" i="2"/>
  <c r="AP148" i="2"/>
  <c r="AO567" i="2"/>
  <c r="AO405" i="2"/>
  <c r="AP405" i="2" s="1"/>
  <c r="AQ405" i="2" s="1"/>
  <c r="AR405" i="2" s="1"/>
  <c r="AS405" i="2" s="1"/>
  <c r="AO245" i="2"/>
  <c r="AO258" i="2" s="1"/>
  <c r="AG635" i="2"/>
  <c r="AB415" i="2"/>
  <c r="AP166" i="2"/>
  <c r="AO487" i="2"/>
  <c r="AL498" i="2"/>
  <c r="AL551" i="2" s="1"/>
  <c r="AC455" i="2"/>
  <c r="AF635" i="2"/>
  <c r="AO314" i="2"/>
  <c r="AP285" i="2"/>
  <c r="AO311" i="2"/>
  <c r="AI635" i="2"/>
  <c r="AL455" i="2"/>
  <c r="AO537" i="2"/>
  <c r="AP537" i="2" s="1"/>
  <c r="AL415" i="2"/>
  <c r="AO432" i="2"/>
  <c r="AO453" i="2" s="1"/>
  <c r="AO419" i="2"/>
  <c r="AO429" i="2" s="1"/>
  <c r="AC551" i="2"/>
  <c r="AC415" i="2"/>
  <c r="AK635" i="2"/>
  <c r="AO242" i="2"/>
  <c r="AP230" i="2"/>
  <c r="AP245" i="2"/>
  <c r="AB551" i="2"/>
  <c r="AB118" i="2"/>
  <c r="AB192" i="2" s="1"/>
  <c r="AR227" i="2"/>
  <c r="AS213" i="2"/>
  <c r="AS227" i="2" s="1"/>
  <c r="AO132" i="2"/>
  <c r="AP121" i="2"/>
  <c r="AO74" i="2"/>
  <c r="AO71" i="2"/>
  <c r="AP38" i="2"/>
  <c r="AH635" i="2"/>
  <c r="AR631" i="2"/>
  <c r="AS602" i="2"/>
  <c r="AS631" i="2" s="1"/>
  <c r="AO35" i="2"/>
  <c r="AP12" i="2"/>
  <c r="AQ176" i="2"/>
  <c r="AQ196" i="2"/>
  <c r="AP210" i="2"/>
  <c r="AP475" i="2"/>
  <c r="AQ460" i="2"/>
  <c r="AO394" i="2"/>
  <c r="AP360" i="2"/>
  <c r="AO96" i="2"/>
  <c r="AC118" i="2"/>
  <c r="AC192" i="2" s="1"/>
  <c r="AL111" i="2"/>
  <c r="AL118" i="2" s="1"/>
  <c r="AL192" i="2" s="1"/>
  <c r="AE635" i="2"/>
  <c r="AO397" i="2"/>
  <c r="AP357" i="2"/>
  <c r="AQ352" i="2"/>
  <c r="AQ404" i="2"/>
  <c r="AO135" i="2"/>
  <c r="AQ510" i="2"/>
  <c r="AP534" i="2"/>
  <c r="AO570" i="2"/>
  <c r="AO501" i="2"/>
  <c r="AO478" i="2"/>
  <c r="AQ265" i="2"/>
  <c r="AP271" i="2"/>
  <c r="AP848" i="1"/>
  <c r="AP122" i="1"/>
  <c r="AM1218" i="1"/>
  <c r="AM488" i="1"/>
  <c r="AD499" i="1"/>
  <c r="AP398" i="1"/>
  <c r="S636" i="1"/>
  <c r="AR884" i="1"/>
  <c r="AQ885" i="1"/>
  <c r="AC535" i="1"/>
  <c r="AD535" i="1"/>
  <c r="AM511" i="1"/>
  <c r="AM535" i="1" s="1"/>
  <c r="AR661" i="1"/>
  <c r="AQ666" i="1"/>
  <c r="AC550" i="1"/>
  <c r="AD550" i="1"/>
  <c r="AM538" i="1"/>
  <c r="AM550" i="1" s="1"/>
  <c r="AQ1181" i="1"/>
  <c r="AP1191" i="1"/>
  <c r="AX1009" i="1"/>
  <c r="AC283" i="1"/>
  <c r="AC416" i="1" s="1"/>
  <c r="AQ476" i="1"/>
  <c r="AR461" i="1"/>
  <c r="AC508" i="1"/>
  <c r="AF552" i="1"/>
  <c r="T552" i="1"/>
  <c r="AR916" i="1"/>
  <c r="AQ919" i="1"/>
  <c r="AR810" i="1"/>
  <c r="AQ817" i="1"/>
  <c r="AQ312" i="1"/>
  <c r="AR286" i="1"/>
  <c r="AP136" i="1"/>
  <c r="AQ1152" i="1"/>
  <c r="AR1145" i="1"/>
  <c r="AP315" i="1"/>
  <c r="AQ1240" i="1"/>
  <c r="AR1235" i="1"/>
  <c r="AR1011" i="1"/>
  <c r="AQ1071" i="1"/>
  <c r="AR948" i="1"/>
  <c r="AV935" i="1"/>
  <c r="AQ1005" i="1"/>
  <c r="AR952" i="1"/>
  <c r="AP456" i="1"/>
  <c r="AR763" i="1"/>
  <c r="AQ766" i="1"/>
  <c r="AQ197" i="1"/>
  <c r="AP211" i="1"/>
  <c r="AC243" i="1"/>
  <c r="AC261" i="1" s="1"/>
  <c r="AH552" i="1"/>
  <c r="AK552" i="1"/>
  <c r="AQ266" i="1"/>
  <c r="AP272" i="1"/>
  <c r="AM1404" i="1"/>
  <c r="AQ1141" i="1"/>
  <c r="AR1087" i="1"/>
  <c r="AQ1302" i="1"/>
  <c r="AR1297" i="1"/>
  <c r="AR794" i="1"/>
  <c r="AQ795" i="1"/>
  <c r="AQ557" i="1"/>
  <c r="AP568" i="1"/>
  <c r="AV1156" i="1"/>
  <c r="AR1172" i="1"/>
  <c r="AR677" i="1"/>
  <c r="AQ711" i="1"/>
  <c r="AQ430" i="1"/>
  <c r="AR420" i="1"/>
  <c r="AD94" i="1"/>
  <c r="AM75" i="1"/>
  <c r="AM94" i="1" s="1"/>
  <c r="AC94" i="1"/>
  <c r="AR727" i="1"/>
  <c r="AQ736" i="1"/>
  <c r="AQ174" i="1"/>
  <c r="AR167" i="1"/>
  <c r="AR1368" i="1"/>
  <c r="AR1402" i="1" s="1"/>
  <c r="AV1363" i="1"/>
  <c r="AP402" i="1"/>
  <c r="AQ398" i="1"/>
  <c r="AQ405" i="1"/>
  <c r="AP414" i="1"/>
  <c r="AP72" i="1"/>
  <c r="AQ39" i="1"/>
  <c r="AQ122" i="1"/>
  <c r="AP133" i="1"/>
  <c r="AD243" i="1"/>
  <c r="AD261" i="1" s="1"/>
  <c r="AM231" i="1"/>
  <c r="AM243" i="1" s="1"/>
  <c r="AM261" i="1" s="1"/>
  <c r="T1404" i="1"/>
  <c r="AD36" i="1"/>
  <c r="AM13" i="1"/>
  <c r="AM36" i="1" s="1"/>
  <c r="AG552" i="1"/>
  <c r="AM502" i="1"/>
  <c r="AM508" i="1" s="1"/>
  <c r="AD508" i="1"/>
  <c r="AE552" i="1"/>
  <c r="AQ479" i="1"/>
  <c r="AP485" i="1"/>
  <c r="AP395" i="1"/>
  <c r="AQ361" i="1"/>
  <c r="AP1216" i="1"/>
  <c r="AQ1215" i="1"/>
  <c r="AD580" i="1"/>
  <c r="AD582" i="1" s="1"/>
  <c r="AM571" i="1"/>
  <c r="AM580" i="1" s="1"/>
  <c r="AM582" i="1" s="1"/>
  <c r="AC580" i="1"/>
  <c r="AC582" i="1" s="1"/>
  <c r="AR1082" i="1"/>
  <c r="AV1075" i="1"/>
  <c r="AQ164" i="1"/>
  <c r="AR149" i="1"/>
  <c r="AQ454" i="1"/>
  <c r="AR433" i="1"/>
  <c r="AR779" i="1"/>
  <c r="AQ781" i="1"/>
  <c r="AD191" i="1"/>
  <c r="AM177" i="1"/>
  <c r="AM191" i="1" s="1"/>
  <c r="AR751" i="1"/>
  <c r="AQ754" i="1"/>
  <c r="AR632" i="1"/>
  <c r="AS603" i="1"/>
  <c r="AP921" i="1"/>
  <c r="AD283" i="1"/>
  <c r="AD416" i="1" s="1"/>
  <c r="AM275" i="1"/>
  <c r="AM283" i="1" s="1"/>
  <c r="AM416" i="1" s="1"/>
  <c r="AC36" i="1"/>
  <c r="AP13" i="1"/>
  <c r="AL552" i="1"/>
  <c r="AJ552" i="1"/>
  <c r="AI552" i="1"/>
  <c r="AR1250" i="1"/>
  <c r="AV1249" i="1"/>
  <c r="AI112" i="1"/>
  <c r="AI119" i="1" s="1"/>
  <c r="AI193" i="1" s="1"/>
  <c r="AE112" i="1"/>
  <c r="AE119" i="1" s="1"/>
  <c r="AE193" i="1" s="1"/>
  <c r="AE636" i="1" s="1"/>
  <c r="T119" i="1"/>
  <c r="T193" i="1" s="1"/>
  <c r="AL112" i="1"/>
  <c r="AL119" i="1" s="1"/>
  <c r="AL193" i="1" s="1"/>
  <c r="AL636" i="1" s="1"/>
  <c r="AH112" i="1"/>
  <c r="AH119" i="1" s="1"/>
  <c r="AH193" i="1" s="1"/>
  <c r="AD112" i="1"/>
  <c r="AK112" i="1"/>
  <c r="AK119" i="1" s="1"/>
  <c r="AK193" i="1" s="1"/>
  <c r="AK636" i="1" s="1"/>
  <c r="AG112" i="1"/>
  <c r="AG119" i="1" s="1"/>
  <c r="AG193" i="1" s="1"/>
  <c r="AC112" i="1"/>
  <c r="AJ112" i="1"/>
  <c r="AJ119" i="1" s="1"/>
  <c r="AJ193" i="1" s="1"/>
  <c r="AJ636" i="1" s="1"/>
  <c r="AF112" i="1"/>
  <c r="AF119" i="1" s="1"/>
  <c r="AF193" i="1" s="1"/>
  <c r="AF636" i="1" s="1"/>
  <c r="AP587" i="1"/>
  <c r="AR843" i="1"/>
  <c r="AQ846" i="1"/>
  <c r="AP1319" i="1"/>
  <c r="AC191" i="1"/>
  <c r="AC109" i="1"/>
  <c r="AD109" i="1"/>
  <c r="AM97" i="1"/>
  <c r="AM109" i="1" s="1"/>
  <c r="AP358" i="1"/>
  <c r="AQ353" i="1"/>
  <c r="AR228" i="1"/>
  <c r="AS214" i="1"/>
  <c r="AR865" i="1"/>
  <c r="AQ867" i="1"/>
  <c r="AP246" i="1"/>
  <c r="AO413" i="2" l="1"/>
  <c r="AP432" i="2"/>
  <c r="AP453" i="2" s="1"/>
  <c r="AQ586" i="2"/>
  <c r="AQ599" i="2" s="1"/>
  <c r="AQ633" i="2" s="1"/>
  <c r="AP274" i="2"/>
  <c r="AO282" i="2"/>
  <c r="AO549" i="2"/>
  <c r="AO349" i="2"/>
  <c r="AP314" i="2"/>
  <c r="AP487" i="2"/>
  <c r="AO498" i="2"/>
  <c r="AP413" i="2"/>
  <c r="AP419" i="2"/>
  <c r="AQ419" i="2" s="1"/>
  <c r="AQ166" i="2"/>
  <c r="AP173" i="2"/>
  <c r="AQ148" i="2"/>
  <c r="AP163" i="2"/>
  <c r="AO260" i="2"/>
  <c r="AQ285" i="2"/>
  <c r="AP311" i="2"/>
  <c r="AQ556" i="2"/>
  <c r="AP567" i="2"/>
  <c r="AC635" i="2"/>
  <c r="AB635" i="2"/>
  <c r="AL635" i="2"/>
  <c r="AO484" i="2"/>
  <c r="AP478" i="2"/>
  <c r="AQ534" i="2"/>
  <c r="AR510" i="2"/>
  <c r="AR352" i="2"/>
  <c r="AQ357" i="2"/>
  <c r="AQ210" i="2"/>
  <c r="AR196" i="2"/>
  <c r="AQ12" i="2"/>
  <c r="AR12" i="2" s="1"/>
  <c r="AP35" i="2"/>
  <c r="AP132" i="2"/>
  <c r="AQ121" i="2"/>
  <c r="AQ537" i="2"/>
  <c r="AP549" i="2"/>
  <c r="AQ230" i="2"/>
  <c r="AP242" i="2"/>
  <c r="AQ271" i="2"/>
  <c r="AR265" i="2"/>
  <c r="AP135" i="2"/>
  <c r="AO145" i="2"/>
  <c r="AR460" i="2"/>
  <c r="AQ475" i="2"/>
  <c r="AQ38" i="2"/>
  <c r="AP71" i="2"/>
  <c r="AP501" i="2"/>
  <c r="AO507" i="2"/>
  <c r="AO579" i="2"/>
  <c r="AO581" i="2" s="1"/>
  <c r="AP570" i="2"/>
  <c r="AR404" i="2"/>
  <c r="AQ413" i="2"/>
  <c r="AP397" i="2"/>
  <c r="AO401" i="2"/>
  <c r="AQ190" i="2"/>
  <c r="AR176" i="2"/>
  <c r="AP96" i="2"/>
  <c r="AO108" i="2"/>
  <c r="AP394" i="2"/>
  <c r="AQ360" i="2"/>
  <c r="AP74" i="2"/>
  <c r="AO93" i="2"/>
  <c r="AO111" i="2"/>
  <c r="AP258" i="2"/>
  <c r="AQ245" i="2"/>
  <c r="AO455" i="2"/>
  <c r="AQ1174" i="1"/>
  <c r="AI636" i="1"/>
  <c r="AD552" i="1"/>
  <c r="AG636" i="1"/>
  <c r="AH636" i="1"/>
  <c r="AV884" i="1"/>
  <c r="AR885" i="1"/>
  <c r="AM499" i="1"/>
  <c r="AM552" i="1" s="1"/>
  <c r="AP488" i="1"/>
  <c r="AP75" i="1"/>
  <c r="AP511" i="1"/>
  <c r="AQ511" i="1" s="1"/>
  <c r="AQ921" i="1"/>
  <c r="AP97" i="1"/>
  <c r="T636" i="1"/>
  <c r="AP502" i="1"/>
  <c r="AQ502" i="1" s="1"/>
  <c r="AS228" i="1"/>
  <c r="AT214" i="1"/>
  <c r="AT228" i="1" s="1"/>
  <c r="AR1141" i="1"/>
  <c r="AV1087" i="1"/>
  <c r="AV763" i="1"/>
  <c r="AR766" i="1"/>
  <c r="AV948" i="1"/>
  <c r="AX935" i="1"/>
  <c r="AX948" i="1" s="1"/>
  <c r="AP259" i="1"/>
  <c r="AQ246" i="1"/>
  <c r="AP177" i="1"/>
  <c r="AV843" i="1"/>
  <c r="AR846" i="1"/>
  <c r="AC119" i="1"/>
  <c r="AV779" i="1"/>
  <c r="AR781" i="1"/>
  <c r="AS149" i="1"/>
  <c r="AR164" i="1"/>
  <c r="AP571" i="1"/>
  <c r="AR1215" i="1"/>
  <c r="AQ1216" i="1"/>
  <c r="AV1368" i="1"/>
  <c r="AV1402" i="1" s="1"/>
  <c r="AX1363" i="1"/>
  <c r="AX1368" i="1" s="1"/>
  <c r="AX1402" i="1" s="1"/>
  <c r="AV1172" i="1"/>
  <c r="AX1156" i="1"/>
  <c r="AX1172" i="1" s="1"/>
  <c r="AV794" i="1"/>
  <c r="AR795" i="1"/>
  <c r="AQ1319" i="1"/>
  <c r="AP146" i="1"/>
  <c r="AQ136" i="1"/>
  <c r="AV810" i="1"/>
  <c r="AR817" i="1"/>
  <c r="AP275" i="1"/>
  <c r="AP1218" i="1"/>
  <c r="AP1404" i="1" s="1"/>
  <c r="AP538" i="1"/>
  <c r="AQ97" i="1"/>
  <c r="AP109" i="1"/>
  <c r="AQ587" i="1"/>
  <c r="AP600" i="1"/>
  <c r="AP634" i="1" s="1"/>
  <c r="AV1250" i="1"/>
  <c r="AX1249" i="1"/>
  <c r="AX1250" i="1" s="1"/>
  <c r="AR454" i="1"/>
  <c r="AS433" i="1"/>
  <c r="AQ485" i="1"/>
  <c r="AR479" i="1"/>
  <c r="AR122" i="1"/>
  <c r="AQ133" i="1"/>
  <c r="AR405" i="1"/>
  <c r="AQ414" i="1"/>
  <c r="AV727" i="1"/>
  <c r="AR736" i="1"/>
  <c r="AR1302" i="1"/>
  <c r="AV1297" i="1"/>
  <c r="AR197" i="1"/>
  <c r="AQ211" i="1"/>
  <c r="AV952" i="1"/>
  <c r="AR1005" i="1"/>
  <c r="AP350" i="1"/>
  <c r="AQ315" i="1"/>
  <c r="AS286" i="1"/>
  <c r="AR312" i="1"/>
  <c r="AR1181" i="1"/>
  <c r="AQ1191" i="1"/>
  <c r="AV865" i="1"/>
  <c r="AR867" i="1"/>
  <c r="AP36" i="1"/>
  <c r="AQ13" i="1"/>
  <c r="AT603" i="1"/>
  <c r="AT632" i="1" s="1"/>
  <c r="AS632" i="1"/>
  <c r="AV751" i="1"/>
  <c r="AR754" i="1"/>
  <c r="AV1082" i="1"/>
  <c r="AX1075" i="1"/>
  <c r="AX1082" i="1" s="1"/>
  <c r="AQ395" i="1"/>
  <c r="AR361" i="1"/>
  <c r="AR39" i="1"/>
  <c r="AQ72" i="1"/>
  <c r="AQ402" i="1"/>
  <c r="AR398" i="1"/>
  <c r="AR174" i="1"/>
  <c r="AS167" i="1"/>
  <c r="AP94" i="1"/>
  <c r="AQ75" i="1"/>
  <c r="AR430" i="1"/>
  <c r="AS420" i="1"/>
  <c r="AV677" i="1"/>
  <c r="AR711" i="1"/>
  <c r="AR557" i="1"/>
  <c r="AQ568" i="1"/>
  <c r="AV1011" i="1"/>
  <c r="AR1071" i="1"/>
  <c r="AR1152" i="1"/>
  <c r="AV1145" i="1"/>
  <c r="AV916" i="1"/>
  <c r="AR919" i="1"/>
  <c r="AC552" i="1"/>
  <c r="AR476" i="1"/>
  <c r="AS461" i="1"/>
  <c r="AQ848" i="1"/>
  <c r="AP535" i="1"/>
  <c r="AQ358" i="1"/>
  <c r="AR353" i="1"/>
  <c r="AM112" i="1"/>
  <c r="AM119" i="1" s="1"/>
  <c r="AM193" i="1" s="1"/>
  <c r="AD119" i="1"/>
  <c r="AD193" i="1" s="1"/>
  <c r="AD636" i="1" s="1"/>
  <c r="AC193" i="1"/>
  <c r="AQ456" i="1"/>
  <c r="AQ272" i="1"/>
  <c r="AR266" i="1"/>
  <c r="AP231" i="1"/>
  <c r="AR1240" i="1"/>
  <c r="AV1235" i="1"/>
  <c r="AV661" i="1"/>
  <c r="AR666" i="1"/>
  <c r="AQ432" i="2" l="1"/>
  <c r="AQ453" i="2" s="1"/>
  <c r="AR586" i="2"/>
  <c r="AR599" i="2" s="1"/>
  <c r="AR633" i="2" s="1"/>
  <c r="AP260" i="2"/>
  <c r="AO415" i="2"/>
  <c r="AP282" i="2"/>
  <c r="AQ274" i="2"/>
  <c r="AP429" i="2"/>
  <c r="AP455" i="2" s="1"/>
  <c r="AQ173" i="2"/>
  <c r="AR166" i="2"/>
  <c r="AQ567" i="2"/>
  <c r="AR556" i="2"/>
  <c r="AP498" i="2"/>
  <c r="AQ487" i="2"/>
  <c r="AQ163" i="2"/>
  <c r="AR148" i="2"/>
  <c r="AP349" i="2"/>
  <c r="AQ314" i="2"/>
  <c r="AQ311" i="2"/>
  <c r="AR285" i="2"/>
  <c r="AQ258" i="2"/>
  <c r="AR245" i="2"/>
  <c r="AP108" i="2"/>
  <c r="AQ96" i="2"/>
  <c r="AR413" i="2"/>
  <c r="AS404" i="2"/>
  <c r="AS413" i="2" s="1"/>
  <c r="AP579" i="2"/>
  <c r="AP581" i="2" s="1"/>
  <c r="AQ570" i="2"/>
  <c r="AR537" i="2"/>
  <c r="AQ549" i="2"/>
  <c r="AQ478" i="2"/>
  <c r="AP484" i="2"/>
  <c r="AR360" i="2"/>
  <c r="AQ394" i="2"/>
  <c r="AS176" i="2"/>
  <c r="AS190" i="2" s="1"/>
  <c r="AR190" i="2"/>
  <c r="AR432" i="2"/>
  <c r="AR121" i="2"/>
  <c r="AQ132" i="2"/>
  <c r="AQ35" i="2"/>
  <c r="AR357" i="2"/>
  <c r="AS352" i="2"/>
  <c r="AS357" i="2" s="1"/>
  <c r="AO551" i="2"/>
  <c r="AQ429" i="2"/>
  <c r="AR419" i="2"/>
  <c r="AP401" i="2"/>
  <c r="AQ397" i="2"/>
  <c r="AR475" i="2"/>
  <c r="AS460" i="2"/>
  <c r="AS475" i="2" s="1"/>
  <c r="AQ242" i="2"/>
  <c r="AR230" i="2"/>
  <c r="AR210" i="2"/>
  <c r="AS196" i="2"/>
  <c r="AS210" i="2" s="1"/>
  <c r="AS510" i="2"/>
  <c r="AS534" i="2" s="1"/>
  <c r="AR534" i="2"/>
  <c r="AO118" i="2"/>
  <c r="AO192" i="2" s="1"/>
  <c r="AP111" i="2"/>
  <c r="AP93" i="2"/>
  <c r="AQ74" i="2"/>
  <c r="AP507" i="2"/>
  <c r="AQ501" i="2"/>
  <c r="AQ71" i="2"/>
  <c r="AR38" i="2"/>
  <c r="AP145" i="2"/>
  <c r="AQ135" i="2"/>
  <c r="AR271" i="2"/>
  <c r="AS265" i="2"/>
  <c r="AS271" i="2" s="1"/>
  <c r="AQ1218" i="1"/>
  <c r="AR1319" i="1"/>
  <c r="AP508" i="1"/>
  <c r="AM636" i="1"/>
  <c r="AQ1404" i="1"/>
  <c r="AR1174" i="1"/>
  <c r="AR848" i="1"/>
  <c r="AV885" i="1"/>
  <c r="AX884" i="1"/>
  <c r="AX885" i="1" s="1"/>
  <c r="AR921" i="1"/>
  <c r="AQ488" i="1"/>
  <c r="AP499" i="1"/>
  <c r="AV1240" i="1"/>
  <c r="AV1319" i="1" s="1"/>
  <c r="AX1235" i="1"/>
  <c r="AX1240" i="1" s="1"/>
  <c r="AX1145" i="1"/>
  <c r="AX1152" i="1" s="1"/>
  <c r="AV1152" i="1"/>
  <c r="AX661" i="1"/>
  <c r="AX666" i="1" s="1"/>
  <c r="AV666" i="1"/>
  <c r="AP243" i="1"/>
  <c r="AP261" i="1" s="1"/>
  <c r="AQ231" i="1"/>
  <c r="AS430" i="1"/>
  <c r="AT420" i="1"/>
  <c r="AT430" i="1" s="1"/>
  <c r="AR502" i="1"/>
  <c r="AQ508" i="1"/>
  <c r="AQ350" i="1"/>
  <c r="AR315" i="1"/>
  <c r="AR414" i="1"/>
  <c r="AS405" i="1"/>
  <c r="AR97" i="1"/>
  <c r="AQ109" i="1"/>
  <c r="AX794" i="1"/>
  <c r="AX795" i="1" s="1"/>
  <c r="AV795" i="1"/>
  <c r="AV1215" i="1"/>
  <c r="AR1216" i="1"/>
  <c r="AP112" i="1"/>
  <c r="AQ177" i="1"/>
  <c r="AP191" i="1"/>
  <c r="AS266" i="1"/>
  <c r="AR272" i="1"/>
  <c r="AC636" i="1"/>
  <c r="AR568" i="1"/>
  <c r="AS557" i="1"/>
  <c r="AR456" i="1"/>
  <c r="AS39" i="1"/>
  <c r="AR72" i="1"/>
  <c r="AX865" i="1"/>
  <c r="AX867" i="1" s="1"/>
  <c r="AV867" i="1"/>
  <c r="AW865" i="1"/>
  <c r="AW867" i="1" s="1"/>
  <c r="AW921" i="1" s="1"/>
  <c r="AR211" i="1"/>
  <c r="AS197" i="1"/>
  <c r="AS454" i="1"/>
  <c r="AT433" i="1"/>
  <c r="AT454" i="1" s="1"/>
  <c r="AQ538" i="1"/>
  <c r="AP550" i="1"/>
  <c r="AW810" i="1"/>
  <c r="AW817" i="1" s="1"/>
  <c r="AV817" i="1"/>
  <c r="AX810" i="1"/>
  <c r="AX817" i="1" s="1"/>
  <c r="AQ571" i="1"/>
  <c r="AP580" i="1"/>
  <c r="AP582" i="1" s="1"/>
  <c r="AX779" i="1"/>
  <c r="AX781" i="1" s="1"/>
  <c r="AV781" i="1"/>
  <c r="AQ259" i="1"/>
  <c r="AR246" i="1"/>
  <c r="AQ535" i="1"/>
  <c r="AR511" i="1"/>
  <c r="AS476" i="1"/>
  <c r="AT461" i="1"/>
  <c r="AT476" i="1" s="1"/>
  <c r="AV919" i="1"/>
  <c r="AX916" i="1"/>
  <c r="AX919" i="1" s="1"/>
  <c r="AX1011" i="1"/>
  <c r="AX1071" i="1" s="1"/>
  <c r="AV1071" i="1"/>
  <c r="AQ94" i="1"/>
  <c r="AR75" i="1"/>
  <c r="AR402" i="1"/>
  <c r="AS398" i="1"/>
  <c r="AS361" i="1"/>
  <c r="AR395" i="1"/>
  <c r="AQ36" i="1"/>
  <c r="AR13" i="1"/>
  <c r="AX1297" i="1"/>
  <c r="AX1302" i="1" s="1"/>
  <c r="AW1297" i="1"/>
  <c r="AW1302" i="1" s="1"/>
  <c r="AW1319" i="1" s="1"/>
  <c r="AV1302" i="1"/>
  <c r="AV736" i="1"/>
  <c r="AW727" i="1"/>
  <c r="AW736" i="1" s="1"/>
  <c r="AX727" i="1"/>
  <c r="AX736" i="1" s="1"/>
  <c r="AR133" i="1"/>
  <c r="AS122" i="1"/>
  <c r="AQ600" i="1"/>
  <c r="AQ634" i="1" s="1"/>
  <c r="AR587" i="1"/>
  <c r="AQ146" i="1"/>
  <c r="AR136" i="1"/>
  <c r="AV766" i="1"/>
  <c r="AX763" i="1"/>
  <c r="AX766" i="1" s="1"/>
  <c r="AX751" i="1"/>
  <c r="AX754" i="1" s="1"/>
  <c r="AV754" i="1"/>
  <c r="AW751" i="1"/>
  <c r="AW754" i="1" s="1"/>
  <c r="AR1191" i="1"/>
  <c r="AR1218" i="1" s="1"/>
  <c r="AR1404" i="1" s="1"/>
  <c r="AV1181" i="1"/>
  <c r="AT286" i="1"/>
  <c r="AT312" i="1" s="1"/>
  <c r="AS312" i="1"/>
  <c r="AV1005" i="1"/>
  <c r="AW952" i="1"/>
  <c r="AW1005" i="1" s="1"/>
  <c r="AW1174" i="1" s="1"/>
  <c r="AX952" i="1"/>
  <c r="AX1005" i="1" s="1"/>
  <c r="AR485" i="1"/>
  <c r="AS479" i="1"/>
  <c r="AQ275" i="1"/>
  <c r="AP283" i="1"/>
  <c r="AP416" i="1" s="1"/>
  <c r="AS164" i="1"/>
  <c r="AT149" i="1"/>
  <c r="AT164" i="1" s="1"/>
  <c r="AV846" i="1"/>
  <c r="AX843" i="1"/>
  <c r="AX846" i="1" s="1"/>
  <c r="AX1087" i="1"/>
  <c r="AX1141" i="1" s="1"/>
  <c r="AV1141" i="1"/>
  <c r="AV711" i="1"/>
  <c r="AX677" i="1"/>
  <c r="AX711" i="1" s="1"/>
  <c r="AR358" i="1"/>
  <c r="AS353" i="1"/>
  <c r="AT167" i="1"/>
  <c r="AT174" i="1" s="1"/>
  <c r="AS174" i="1"/>
  <c r="AS586" i="2" l="1"/>
  <c r="AS599" i="2" s="1"/>
  <c r="AS633" i="2" s="1"/>
  <c r="AQ260" i="2"/>
  <c r="AO635" i="2"/>
  <c r="AO9" i="2" s="1"/>
  <c r="AQ282" i="2"/>
  <c r="AR274" i="2"/>
  <c r="AP415" i="2"/>
  <c r="AR163" i="2"/>
  <c r="AS148" i="2"/>
  <c r="AS163" i="2" s="1"/>
  <c r="AR567" i="2"/>
  <c r="AS556" i="2"/>
  <c r="AS567" i="2" s="1"/>
  <c r="AQ349" i="2"/>
  <c r="AR314" i="2"/>
  <c r="AQ498" i="2"/>
  <c r="AR487" i="2"/>
  <c r="AR173" i="2"/>
  <c r="AS166" i="2"/>
  <c r="AS173" i="2" s="1"/>
  <c r="AR311" i="2"/>
  <c r="AS285" i="2"/>
  <c r="AS311" i="2" s="1"/>
  <c r="AR71" i="2"/>
  <c r="AS38" i="2"/>
  <c r="AS71" i="2" s="1"/>
  <c r="AS230" i="2"/>
  <c r="AS242" i="2" s="1"/>
  <c r="AR242" i="2"/>
  <c r="AS419" i="2"/>
  <c r="AS429" i="2" s="1"/>
  <c r="AR429" i="2"/>
  <c r="AR394" i="2"/>
  <c r="AS360" i="2"/>
  <c r="AS394" i="2" s="1"/>
  <c r="AR258" i="2"/>
  <c r="AS245" i="2"/>
  <c r="AS258" i="2" s="1"/>
  <c r="AQ455" i="2"/>
  <c r="AR35" i="2"/>
  <c r="AS12" i="2"/>
  <c r="AS35" i="2" s="1"/>
  <c r="AR453" i="2"/>
  <c r="AS432" i="2"/>
  <c r="AS453" i="2" s="1"/>
  <c r="AP551" i="2"/>
  <c r="AR549" i="2"/>
  <c r="AS537" i="2"/>
  <c r="AS549" i="2" s="1"/>
  <c r="AQ579" i="2"/>
  <c r="AQ581" i="2" s="1"/>
  <c r="AR570" i="2"/>
  <c r="AQ93" i="2"/>
  <c r="AR74" i="2"/>
  <c r="AR135" i="2"/>
  <c r="AQ145" i="2"/>
  <c r="AR501" i="2"/>
  <c r="AQ507" i="2"/>
  <c r="AP118" i="2"/>
  <c r="AP192" i="2" s="1"/>
  <c r="AQ111" i="2"/>
  <c r="AR397" i="2"/>
  <c r="AQ401" i="2"/>
  <c r="AQ484" i="2"/>
  <c r="AR478" i="2"/>
  <c r="AR96" i="2"/>
  <c r="AQ108" i="2"/>
  <c r="AS121" i="2"/>
  <c r="AS132" i="2" s="1"/>
  <c r="AR132" i="2"/>
  <c r="AX1174" i="1"/>
  <c r="AP552" i="1"/>
  <c r="AV1174" i="1"/>
  <c r="AR488" i="1"/>
  <c r="AQ499" i="1"/>
  <c r="AW848" i="1"/>
  <c r="AW1404" i="1" s="1"/>
  <c r="AS395" i="1"/>
  <c r="AT361" i="1"/>
  <c r="AT395" i="1" s="1"/>
  <c r="AQ550" i="1"/>
  <c r="AQ552" i="1" s="1"/>
  <c r="AR538" i="1"/>
  <c r="AR508" i="1"/>
  <c r="AS502" i="1"/>
  <c r="AS358" i="1"/>
  <c r="AT353" i="1"/>
  <c r="AT358" i="1" s="1"/>
  <c r="AR146" i="1"/>
  <c r="AS136" i="1"/>
  <c r="AR36" i="1"/>
  <c r="AS13" i="1"/>
  <c r="AT398" i="1"/>
  <c r="AT402" i="1" s="1"/>
  <c r="AS402" i="1"/>
  <c r="AX1215" i="1"/>
  <c r="AX1216" i="1" s="1"/>
  <c r="AV1216" i="1"/>
  <c r="AT456" i="1"/>
  <c r="AR275" i="1"/>
  <c r="AQ283" i="1"/>
  <c r="AQ416" i="1" s="1"/>
  <c r="AV1191" i="1"/>
  <c r="AV1218" i="1" s="1"/>
  <c r="AX1181" i="1"/>
  <c r="AX1191" i="1" s="1"/>
  <c r="AR259" i="1"/>
  <c r="AS246" i="1"/>
  <c r="AV921" i="1"/>
  <c r="AQ191" i="1"/>
  <c r="AR177" i="1"/>
  <c r="AT405" i="1"/>
  <c r="AT414" i="1" s="1"/>
  <c r="AS414" i="1"/>
  <c r="AS456" i="1"/>
  <c r="AV848" i="1"/>
  <c r="AV1404" i="1" s="1"/>
  <c r="AX1319" i="1"/>
  <c r="AS485" i="1"/>
  <c r="AT479" i="1"/>
  <c r="AT485" i="1" s="1"/>
  <c r="AR600" i="1"/>
  <c r="AR634" i="1" s="1"/>
  <c r="AS587" i="1"/>
  <c r="AR94" i="1"/>
  <c r="AS75" i="1"/>
  <c r="AS511" i="1"/>
  <c r="AR535" i="1"/>
  <c r="AQ580" i="1"/>
  <c r="AQ582" i="1" s="1"/>
  <c r="AR571" i="1"/>
  <c r="AS211" i="1"/>
  <c r="AT197" i="1"/>
  <c r="AT211" i="1" s="1"/>
  <c r="AX921" i="1"/>
  <c r="AS568" i="1"/>
  <c r="AT557" i="1"/>
  <c r="AT568" i="1" s="1"/>
  <c r="AS272" i="1"/>
  <c r="AT266" i="1"/>
  <c r="AT272" i="1" s="1"/>
  <c r="AP119" i="1"/>
  <c r="AP193" i="1" s="1"/>
  <c r="AP636" i="1" s="1"/>
  <c r="AQ112" i="1"/>
  <c r="AX848" i="1"/>
  <c r="AR231" i="1"/>
  <c r="AQ243" i="1"/>
  <c r="AQ261" i="1" s="1"/>
  <c r="AS133" i="1"/>
  <c r="AT122" i="1"/>
  <c r="AT133" i="1" s="1"/>
  <c r="AS72" i="1"/>
  <c r="AT39" i="1"/>
  <c r="AT72" i="1" s="1"/>
  <c r="AR109" i="1"/>
  <c r="AS97" i="1"/>
  <c r="AR350" i="1"/>
  <c r="AS315" i="1"/>
  <c r="AQ551" i="2" l="1"/>
  <c r="AQ415" i="2"/>
  <c r="AS274" i="2"/>
  <c r="AS282" i="2" s="1"/>
  <c r="AR282" i="2"/>
  <c r="AR260" i="2"/>
  <c r="AS260" i="2"/>
  <c r="AS487" i="2"/>
  <c r="AS498" i="2" s="1"/>
  <c r="AR498" i="2"/>
  <c r="AS314" i="2"/>
  <c r="AS349" i="2" s="1"/>
  <c r="AR349" i="2"/>
  <c r="AP635" i="2"/>
  <c r="AP9" i="2" s="1"/>
  <c r="AR108" i="2"/>
  <c r="AS96" i="2"/>
  <c r="AS108" i="2" s="1"/>
  <c r="AQ118" i="2"/>
  <c r="AQ192" i="2" s="1"/>
  <c r="AQ635" i="2" s="1"/>
  <c r="AQ9" i="2" s="1"/>
  <c r="AR111" i="2"/>
  <c r="AR484" i="2"/>
  <c r="AS478" i="2"/>
  <c r="AS484" i="2" s="1"/>
  <c r="AR401" i="2"/>
  <c r="AS397" i="2"/>
  <c r="AS401" i="2" s="1"/>
  <c r="AR145" i="2"/>
  <c r="AS135" i="2"/>
  <c r="AS145" i="2" s="1"/>
  <c r="AS570" i="2"/>
  <c r="AS579" i="2" s="1"/>
  <c r="AS581" i="2" s="1"/>
  <c r="AR579" i="2"/>
  <c r="AR581" i="2" s="1"/>
  <c r="AR455" i="2"/>
  <c r="AR93" i="2"/>
  <c r="AS74" i="2"/>
  <c r="AS93" i="2" s="1"/>
  <c r="AS455" i="2"/>
  <c r="AR507" i="2"/>
  <c r="AS501" i="2"/>
  <c r="AS507" i="2" s="1"/>
  <c r="AX1218" i="1"/>
  <c r="AX1404" i="1" s="1"/>
  <c r="AS488" i="1"/>
  <c r="AR499" i="1"/>
  <c r="AS535" i="1"/>
  <c r="AT511" i="1"/>
  <c r="AT535" i="1" s="1"/>
  <c r="AR580" i="1"/>
  <c r="AR582" i="1" s="1"/>
  <c r="AS571" i="1"/>
  <c r="AT13" i="1"/>
  <c r="AT36" i="1" s="1"/>
  <c r="AS36" i="1"/>
  <c r="AR550" i="1"/>
  <c r="AS538" i="1"/>
  <c r="AS600" i="1"/>
  <c r="AS634" i="1" s="1"/>
  <c r="AT587" i="1"/>
  <c r="AT600" i="1" s="1"/>
  <c r="AT634" i="1" s="1"/>
  <c r="AR283" i="1"/>
  <c r="AR416" i="1" s="1"/>
  <c r="AS275" i="1"/>
  <c r="AS177" i="1"/>
  <c r="AR191" i="1"/>
  <c r="AS259" i="1"/>
  <c r="AT246" i="1"/>
  <c r="AT259" i="1" s="1"/>
  <c r="AT136" i="1"/>
  <c r="AT146" i="1" s="1"/>
  <c r="AS146" i="1"/>
  <c r="AS508" i="1"/>
  <c r="AT502" i="1"/>
  <c r="AT508" i="1" s="1"/>
  <c r="AS350" i="1"/>
  <c r="AT315" i="1"/>
  <c r="AT350" i="1" s="1"/>
  <c r="AS231" i="1"/>
  <c r="AR243" i="1"/>
  <c r="AR261" i="1" s="1"/>
  <c r="AQ119" i="1"/>
  <c r="AQ193" i="1" s="1"/>
  <c r="AQ636" i="1" s="1"/>
  <c r="AR112" i="1"/>
  <c r="AT97" i="1"/>
  <c r="AT109" i="1" s="1"/>
  <c r="AS109" i="1"/>
  <c r="AT75" i="1"/>
  <c r="AT94" i="1" s="1"/>
  <c r="AS94" i="1"/>
  <c r="AR415" i="2" l="1"/>
  <c r="AS415" i="2"/>
  <c r="AS551" i="2"/>
  <c r="AR551" i="2"/>
  <c r="AS111" i="2"/>
  <c r="AS118" i="2" s="1"/>
  <c r="AS192" i="2" s="1"/>
  <c r="AR118" i="2"/>
  <c r="AR192" i="2" s="1"/>
  <c r="AR552" i="1"/>
  <c r="AS499" i="1"/>
  <c r="AT488" i="1"/>
  <c r="AT499" i="1" s="1"/>
  <c r="AT552" i="1" s="1"/>
  <c r="AS552" i="1"/>
  <c r="AT538" i="1"/>
  <c r="AT550" i="1" s="1"/>
  <c r="AS550" i="1"/>
  <c r="AT231" i="1"/>
  <c r="AT243" i="1" s="1"/>
  <c r="AT261" i="1" s="1"/>
  <c r="AS243" i="1"/>
  <c r="AS261" i="1" s="1"/>
  <c r="AT571" i="1"/>
  <c r="AT580" i="1" s="1"/>
  <c r="AT582" i="1" s="1"/>
  <c r="AS580" i="1"/>
  <c r="AS582" i="1" s="1"/>
  <c r="AT275" i="1"/>
  <c r="AT283" i="1" s="1"/>
  <c r="AT416" i="1" s="1"/>
  <c r="AS283" i="1"/>
  <c r="AS416" i="1" s="1"/>
  <c r="AR119" i="1"/>
  <c r="AR193" i="1" s="1"/>
  <c r="AR636" i="1" s="1"/>
  <c r="AS112" i="1"/>
  <c r="AT177" i="1"/>
  <c r="AT191" i="1" s="1"/>
  <c r="AS191" i="1"/>
  <c r="AS635" i="2" l="1"/>
  <c r="AS9" i="2" s="1"/>
  <c r="AR635" i="2"/>
  <c r="AR9" i="2" s="1"/>
  <c r="AS119" i="1"/>
  <c r="AS193" i="1" s="1"/>
  <c r="AS636" i="1" s="1"/>
  <c r="AS1404" i="1" s="1"/>
  <c r="AT112" i="1"/>
  <c r="AT119" i="1" s="1"/>
  <c r="AT193" i="1" s="1"/>
  <c r="AT636" i="1" s="1"/>
  <c r="AT1404" i="1" s="1"/>
</calcChain>
</file>

<file path=xl/sharedStrings.xml><?xml version="1.0" encoding="utf-8"?>
<sst xmlns="http://schemas.openxmlformats.org/spreadsheetml/2006/main" count="2089" uniqueCount="804">
  <si>
    <t>`</t>
  </si>
  <si>
    <t>POTENSI KAPASITAS TERPASANG PEMBANGKIT LISTRIK</t>
  </si>
  <si>
    <t>SEKTOR SAMPAH KOTA</t>
  </si>
  <si>
    <t>Jumlah Penduduk</t>
  </si>
  <si>
    <t>Estimasi Produksi Sampah Kota</t>
  </si>
  <si>
    <t>Estimasi Koleksi Sampah Kota</t>
  </si>
  <si>
    <t>TEMPAT PEMBUANGAN AKHIR (TPA)</t>
  </si>
  <si>
    <t>Pemanfaatan Menjadi Pembangkit Listrik</t>
  </si>
  <si>
    <t>KOMPOSISI JENIS SAMPAH KOTA</t>
  </si>
  <si>
    <t>KARAKTERISTIK RDF</t>
  </si>
  <si>
    <t>KONVERSI BIOMASSA KE ENERGI LISTRIK (GROSS)</t>
  </si>
  <si>
    <t xml:space="preserve">EFISIENSI SISTEM PEMBANGKITAN </t>
  </si>
  <si>
    <t>POTENSI UMUM</t>
  </si>
  <si>
    <t>POTENSI TEKNO-EKONOMI</t>
  </si>
  <si>
    <t>KETERANGAN</t>
  </si>
  <si>
    <t>No</t>
  </si>
  <si>
    <t>Kabupaten/Kota</t>
  </si>
  <si>
    <t>Maximum</t>
  </si>
  <si>
    <t>Ton per Tahun</t>
  </si>
  <si>
    <t>Ton per Hari</t>
  </si>
  <si>
    <t>Nama TPA</t>
  </si>
  <si>
    <t>Luas Areal TPA</t>
  </si>
  <si>
    <t>Kapasitas TPA</t>
  </si>
  <si>
    <t>Kontak Person, Alamat, Tel, &amp; Fax</t>
  </si>
  <si>
    <t>Alamat dan Koordinat Lokasi TPA</t>
  </si>
  <si>
    <t>Skema Pengelolaan TPA</t>
  </si>
  <si>
    <t>Skema Off-Grid</t>
  </si>
  <si>
    <t>Skema On Grid</t>
  </si>
  <si>
    <t>Organik basah</t>
  </si>
  <si>
    <t>plastik</t>
  </si>
  <si>
    <t>kertas</t>
  </si>
  <si>
    <t>kayu</t>
  </si>
  <si>
    <t>tekstil</t>
  </si>
  <si>
    <t>karet</t>
  </si>
  <si>
    <t>stereofoam</t>
  </si>
  <si>
    <t>logam</t>
  </si>
  <si>
    <t>kaca</t>
  </si>
  <si>
    <t>lain-lain</t>
  </si>
  <si>
    <t>RDF</t>
  </si>
  <si>
    <t>MSW</t>
  </si>
  <si>
    <t>MSW / RDF</t>
  </si>
  <si>
    <t>Total POTENSI UMUM</t>
  </si>
  <si>
    <t>LFG</t>
  </si>
  <si>
    <t>RDF Viable</t>
  </si>
  <si>
    <t>Total POTENSI TEKNO-EKONOMI</t>
  </si>
  <si>
    <t>Jiwa</t>
  </si>
  <si>
    <t>ha</t>
  </si>
  <si>
    <t>MW</t>
  </si>
  <si>
    <t>ton</t>
  </si>
  <si>
    <t>Nilai Kalori (kkal/kg)</t>
  </si>
  <si>
    <t>Moisture (%)</t>
  </si>
  <si>
    <t>MJ</t>
  </si>
  <si>
    <t>MWh</t>
  </si>
  <si>
    <t>MWe</t>
  </si>
  <si>
    <t>Mwe</t>
  </si>
  <si>
    <t>Potensi Sampah Kota</t>
  </si>
  <si>
    <t>asumsi 0.28 ton/jiwa/tahun dan rasio koleksi 70% (indonesia 0.23 ton/jiwa/thn)</t>
  </si>
  <si>
    <t>metropolitan (&gt; 1.5 jt jiwa)</t>
  </si>
  <si>
    <t>kota besar (1 - 1.5 jt jiwa)</t>
  </si>
  <si>
    <t>kota sedang (0.5 - 1 jt jiwa)</t>
  </si>
  <si>
    <t>kota kecil (&lt; 0.5 jt jiwa)</t>
  </si>
  <si>
    <t>WILAYAH SUMATERA</t>
  </si>
  <si>
    <t>ACEH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</si>
  <si>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</si>
  <si>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</si>
  <si>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</si>
  <si>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</si>
  <si>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</si>
  <si>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</si>
  <si>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</si>
  <si>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</si>
  <si>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Aceh Pidie</t>
  </si>
  <si>
    <t>Bireun</t>
  </si>
  <si>
    <t>Aceh Utara</t>
  </si>
  <si>
    <t>Aceh Barat Daya</t>
  </si>
  <si>
    <t>Gayo Lues</t>
  </si>
  <si>
    <t>Aceh Tamiang</t>
  </si>
  <si>
    <t>Aceh Jaya</t>
  </si>
  <si>
    <t>Nagan Raya</t>
  </si>
  <si>
    <t>Bener Meriah</t>
  </si>
  <si>
    <t>Pidie Jaya</t>
  </si>
  <si>
    <t>Kota Banda Aceh</t>
  </si>
  <si>
    <t>Kota Sabang</t>
  </si>
  <si>
    <t>Kota Lhokseumawe</t>
  </si>
  <si>
    <t>Kota Langsa</t>
  </si>
  <si>
    <t>Subulussalam</t>
  </si>
  <si>
    <t>Total Aceh</t>
  </si>
  <si>
    <t>SUMATERA UTARA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</si>
  <si>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</si>
  <si>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</si>
  <si>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</si>
  <si>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</si>
  <si>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</si>
  <si>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</si>
  <si>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</si>
  <si>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</si>
  <si>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</si>
  <si>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</si>
  <si>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</si>
  <si>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</si>
  <si>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</si>
  <si>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</si>
  <si>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</si>
  <si>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 pak Barat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</si>
  <si>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</si>
  <si>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</si>
  <si>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</si>
  <si>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</si>
  <si>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</si>
  <si>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</si>
  <si>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</si>
  <si>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</si>
  <si>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</si>
  <si>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Sibolga</t>
  </si>
  <si>
    <t>Kota Tanjung Balai</t>
  </si>
  <si>
    <t>Kota Pematang Siantar</t>
  </si>
  <si>
    <t>Kota Tebing Tinggi</t>
  </si>
  <si>
    <t>Kota Medan</t>
  </si>
  <si>
    <t>Kota Binjai</t>
  </si>
  <si>
    <t>Kota Padang Sidimpuan</t>
  </si>
  <si>
    <t>Gunung Sitoli</t>
  </si>
  <si>
    <t>Total Sumut</t>
  </si>
  <si>
    <t>SUMATERA BARAT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</si>
  <si>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</si>
  <si>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</si>
  <si>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</si>
  <si>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</si>
  <si>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</si>
  <si>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</si>
  <si>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</si>
  <si>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</si>
  <si>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</si>
  <si>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</si>
  <si>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 Raya</t>
  </si>
  <si>
    <t>Pasaman Barat</t>
  </si>
  <si>
    <t>Kota Padang</t>
  </si>
  <si>
    <t>Kota Solok</t>
  </si>
  <si>
    <t>Kota Sawah Lunto</t>
  </si>
  <si>
    <t>Kota Padang Panjang</t>
  </si>
  <si>
    <t>Kota Bukit Tinggi</t>
  </si>
  <si>
    <t>Kota Payakumbuh</t>
  </si>
  <si>
    <t>Kota Pariaman</t>
  </si>
  <si>
    <t>Total Sumbar</t>
  </si>
  <si>
    <t>RIAU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</si>
  <si>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</si>
  <si>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</si>
  <si>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</si>
  <si>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</si>
  <si>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</si>
  <si>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</si>
  <si>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</si>
  <si>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</si>
  <si>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</si>
  <si>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Kep. Meranti</t>
  </si>
  <si>
    <t>Kota Pekanbaru</t>
  </si>
  <si>
    <t>Kota Dumai</t>
  </si>
  <si>
    <t>Total Riau</t>
  </si>
  <si>
    <t>KEPULAUAN RIAU</t>
  </si>
  <si>
    <t>Karimun</t>
  </si>
  <si>
    <t>Bintan</t>
  </si>
  <si>
    <t>Natuna</t>
  </si>
  <si>
    <t>Lingga</t>
  </si>
  <si>
    <t>Kepulauan Anambas</t>
  </si>
  <si>
    <t>Kota Tanjung Pinang</t>
  </si>
  <si>
    <t>Batam</t>
  </si>
  <si>
    <t>Total Kepri</t>
  </si>
  <si>
    <t>JAMBI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</si>
  <si>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</si>
  <si>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</si>
  <si>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</si>
  <si>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</si>
  <si>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</si>
  <si>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</si>
  <si>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</si>
  <si>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</si>
  <si>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</si>
  <si>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</si>
  <si>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Sungai Penuh</t>
  </si>
  <si>
    <t>Total Jambi</t>
  </si>
  <si>
    <t>BENGKULU</t>
  </si>
  <si>
    <t>Bengkulu Selatan</t>
  </si>
  <si>
    <t>Rejang Lebong</t>
  </si>
  <si>
    <t>Bengkulu Utara</t>
  </si>
  <si>
    <t>Kaur</t>
  </si>
  <si>
    <t>Seluma</t>
  </si>
  <si>
    <t>Muko Muko</t>
  </si>
  <si>
    <t>Lebong</t>
  </si>
  <si>
    <t>Kepahiang</t>
  </si>
  <si>
    <t>Bengkulu Tengah</t>
  </si>
  <si>
    <t>Kota Bengkulu</t>
  </si>
  <si>
    <t>Total Bengkulu</t>
  </si>
  <si>
    <t>SUMATERA SELATAN</t>
  </si>
  <si>
    <t>Ogan Komering Ulu</t>
  </si>
  <si>
    <t>Ogan Komering Ilir</t>
  </si>
  <si>
    <t>Muara Enim</t>
  </si>
  <si>
    <t>Lahat</t>
  </si>
  <si>
    <t>Musi Rawas</t>
  </si>
  <si>
    <t>Musi Banyu Asin</t>
  </si>
  <si>
    <t>Banyu Asin</t>
  </si>
  <si>
    <t>Oku Selatan</t>
  </si>
  <si>
    <t>Oku Timur</t>
  </si>
  <si>
    <t>Ogan Ilir</t>
  </si>
  <si>
    <t>Empat Lawang</t>
  </si>
  <si>
    <t>Kota Palembang</t>
  </si>
  <si>
    <t>Kota Prabumulih</t>
  </si>
  <si>
    <t>Kota Pagaralam</t>
  </si>
  <si>
    <t>Kota Lubuk Linggau</t>
  </si>
  <si>
    <t>Total Sumsel</t>
  </si>
  <si>
    <t>BANGKA BELITUNG</t>
  </si>
  <si>
    <t>Bangka</t>
  </si>
  <si>
    <t>Belitung</t>
  </si>
  <si>
    <t>Bangka Barat</t>
  </si>
  <si>
    <t>Bangka Tengah</t>
  </si>
  <si>
    <t>Bangka Selatan</t>
  </si>
  <si>
    <t>Belitung Timur</t>
  </si>
  <si>
    <t>Pangkal Pinang</t>
  </si>
  <si>
    <t>Total Babel</t>
  </si>
  <si>
    <t>LAMPUNG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</si>
  <si>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</si>
  <si>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</si>
  <si>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</si>
  <si>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</si>
  <si>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</si>
  <si>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</si>
  <si>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</si>
  <si>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</si>
  <si>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</si>
  <si>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</si>
  <si>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</si>
  <si>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</si>
  <si>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Kota Bandar Lampung</t>
  </si>
  <si>
    <t>Kota Metro</t>
  </si>
  <si>
    <t>Total Lampung</t>
  </si>
  <si>
    <t>Total SUMATERA</t>
  </si>
  <si>
    <t>WILAYAH KALIMANTAN</t>
  </si>
  <si>
    <t>KALIMANTAN BARAT</t>
  </si>
  <si>
    <t xml:space="preserve">Kab. Sambas </t>
  </si>
  <si>
    <t>Kab. Bengkayang</t>
  </si>
  <si>
    <t>Kab. Landak</t>
  </si>
  <si>
    <t xml:space="preserve">Kab. Pontianak 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</si>
  <si>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</si>
  <si>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</si>
  <si>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</si>
  <si>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</si>
  <si>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</si>
  <si>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</si>
  <si>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</si>
  <si>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</si>
  <si>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</si>
  <si>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</si>
  <si>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Total Kalimantan Barat</t>
  </si>
  <si>
    <t>KALIMANTAN TENGAH</t>
  </si>
  <si>
    <t>Kota Waringin Barat</t>
  </si>
  <si>
    <t>Kota 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</si>
  <si>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</si>
  <si>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</si>
  <si>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</si>
  <si>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</si>
  <si>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</si>
  <si>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</si>
  <si>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</si>
  <si>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</si>
  <si>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</si>
  <si>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</si>
  <si>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</si>
  <si>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Palangkaraya</t>
  </si>
  <si>
    <t>Total Kalimantan Tengah</t>
  </si>
  <si>
    <t>KALIMANTAN TIMUR</t>
  </si>
  <si>
    <t>Paser</t>
  </si>
  <si>
    <t>Kutai Barat</t>
  </si>
  <si>
    <t>Kutai Timur</t>
  </si>
  <si>
    <t>Berau</t>
  </si>
  <si>
    <t>Malinau</t>
  </si>
  <si>
    <t>Bulungan</t>
  </si>
  <si>
    <t>Nunukan</t>
  </si>
  <si>
    <t>Kab. Penajam Paser Utara</t>
  </si>
  <si>
    <t>Kab. Tana Tidung</t>
  </si>
  <si>
    <t>Kota Balikpapan</t>
  </si>
  <si>
    <t>Kota Samarinda</t>
  </si>
  <si>
    <t>Bontang</t>
  </si>
  <si>
    <t>Total Kalimantan Timur</t>
  </si>
  <si>
    <t>KALIMANTAN SELATAN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</si>
  <si>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</si>
  <si>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</si>
  <si>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</si>
  <si>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</si>
  <si>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</si>
  <si>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</si>
  <si>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</si>
  <si>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</si>
  <si>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</si>
  <si>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</si>
  <si>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Kota Banjarmasin</t>
  </si>
  <si>
    <t>Kota Banjarbaru</t>
  </si>
  <si>
    <t>Balangan</t>
  </si>
  <si>
    <t>Total Kalimantan Selatan</t>
  </si>
  <si>
    <t>Total Kalimantan</t>
  </si>
  <si>
    <t>WILAYAH JAWA-MADURA-BALI</t>
  </si>
  <si>
    <t>DKI JAKARTA</t>
  </si>
  <si>
    <t>Jakarta Selatan</t>
  </si>
  <si>
    <t>Jakarta Timur</t>
  </si>
  <si>
    <t>Jakarta Pusat</t>
  </si>
  <si>
    <t>Jakarta Barat</t>
  </si>
  <si>
    <t>Jakarta Utara</t>
  </si>
  <si>
    <t>Kepulauan Seribu</t>
  </si>
  <si>
    <t>Total DKI Jakarta</t>
  </si>
  <si>
    <t>BANTEN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</si>
  <si>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</si>
  <si>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</si>
  <si>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</si>
  <si>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</si>
  <si>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</si>
  <si>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</si>
  <si>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</si>
  <si>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</si>
  <si>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Total Banten</t>
  </si>
  <si>
    <t>JAWA BARAT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</si>
  <si>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</si>
  <si>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</si>
  <si>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</si>
  <si>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</si>
  <si>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</si>
  <si>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</si>
  <si>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</si>
  <si>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</si>
  <si>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</si>
  <si>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</si>
  <si>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</si>
  <si>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</si>
  <si>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</si>
  <si>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</si>
  <si>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</si>
  <si>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</si>
  <si>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</si>
  <si>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Kota Bogor</t>
  </si>
  <si>
    <t>Kota Sukabumi</t>
  </si>
  <si>
    <t>Kota Bandung</t>
  </si>
  <si>
    <t>Kota Cirebon</t>
  </si>
  <si>
    <t>Kota Bekasi</t>
  </si>
  <si>
    <t>Kota Depok</t>
  </si>
  <si>
    <t>Kota Tasikmalaya</t>
  </si>
  <si>
    <t>Kota Cimahi</t>
  </si>
  <si>
    <t>Kota Banjar</t>
  </si>
  <si>
    <t>Total Jawa Barat</t>
  </si>
  <si>
    <t>JAWA TENGAH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</si>
  <si>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</si>
  <si>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</si>
  <si>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</si>
  <si>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</si>
  <si>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</si>
  <si>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</si>
  <si>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</si>
  <si>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</si>
  <si>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</si>
  <si>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</si>
  <si>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</si>
  <si>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</si>
  <si>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</si>
  <si>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</si>
  <si>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</si>
  <si>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</si>
  <si>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</si>
  <si>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</si>
  <si>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</si>
  <si>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</si>
  <si>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</si>
  <si>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</si>
  <si>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</si>
  <si>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</si>
  <si>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</si>
  <si>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</si>
  <si>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</si>
  <si>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</si>
  <si>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</si>
  <si>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</si>
  <si>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</si>
  <si>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</si>
  <si>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</si>
  <si>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</si>
  <si>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</si>
  <si>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Total Jawa Tengah</t>
  </si>
  <si>
    <t>D.I. YOGYAKARTA</t>
  </si>
  <si>
    <t>Kabupaten Kulonprogo</t>
  </si>
  <si>
    <t>Kabupaten Bantul</t>
  </si>
  <si>
    <t>Kabupaten Sleman</t>
  </si>
  <si>
    <t>Kabupaten Gunung Kidul</t>
  </si>
  <si>
    <t>Kota Yogyakarta</t>
  </si>
  <si>
    <t>Total D.I. Yogyakarta</t>
  </si>
  <si>
    <t>JAWA TIMUR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</si>
  <si>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</si>
  <si>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</si>
  <si>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</si>
  <si>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</si>
  <si>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</si>
  <si>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</si>
  <si>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</si>
  <si>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</si>
  <si>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</si>
  <si>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</si>
  <si>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</si>
  <si>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</si>
  <si>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</si>
  <si>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</si>
  <si>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</si>
  <si>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</si>
  <si>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</si>
  <si>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</si>
  <si>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</si>
  <si>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</si>
  <si>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</si>
  <si>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</si>
  <si>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</si>
  <si>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</si>
  <si>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</si>
  <si>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</si>
  <si>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</si>
  <si>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</si>
  <si>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</si>
  <si>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</si>
  <si>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</si>
  <si>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</si>
  <si>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</si>
  <si>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</si>
  <si>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Total Jawa Timur</t>
  </si>
  <si>
    <t>JAWA TIMUR-MADURA</t>
  </si>
  <si>
    <t>Kabupaten Bangkalan</t>
  </si>
  <si>
    <t>Kabupaten Sampang</t>
  </si>
  <si>
    <t>Kabupaten Pamekasan</t>
  </si>
  <si>
    <t>Kabupaten Sumenep</t>
  </si>
  <si>
    <t>BALI</t>
  </si>
  <si>
    <t>Kabupaten Jembrana</t>
  </si>
  <si>
    <t>Kabupatena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</si>
  <si>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</si>
  <si>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</si>
  <si>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</si>
  <si>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</si>
  <si>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</si>
  <si>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</si>
  <si>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</si>
  <si>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Total Bali</t>
  </si>
  <si>
    <t>Total JAWA-MADURA-BALI</t>
  </si>
  <si>
    <t>WILAYAH NUSA TENGGARA</t>
  </si>
  <si>
    <t>NUSA TENGGARA BARAT</t>
  </si>
  <si>
    <t>Kabupaten Lombok Barat</t>
  </si>
  <si>
    <t>Kabupaten Lombok Tengah</t>
  </si>
  <si>
    <t>Kabupaten Lombok Timur</t>
  </si>
  <si>
    <t>Kabupaten Lombok Utara</t>
  </si>
  <si>
    <t>Kota Mataram</t>
  </si>
  <si>
    <t>Kabupaten Sumbawa Barat</t>
  </si>
  <si>
    <t>Kabupaten Sumbawa</t>
  </si>
  <si>
    <t>Kabupaten Dompu</t>
  </si>
  <si>
    <t>Kabupaten Bima</t>
  </si>
  <si>
    <t>Kota Bima</t>
  </si>
  <si>
    <t>Total NTB</t>
  </si>
  <si>
    <t>NUSA TENGGARA TIMUR</t>
  </si>
  <si>
    <t>Kabupaten Manggarai Barat</t>
  </si>
  <si>
    <t>Kabupaten Manggarai</t>
  </si>
  <si>
    <t>Kabupaten Manggarai Timur</t>
  </si>
  <si>
    <t>Kabupaten Ngada</t>
  </si>
  <si>
    <t>Kabupaten Nagekeo</t>
  </si>
  <si>
    <t>Kabupaten Ende</t>
  </si>
  <si>
    <t>Kabupaten Sikka</t>
  </si>
  <si>
    <t>Kabupaten Flores Timur</t>
  </si>
  <si>
    <t>Kabupaten Lembata</t>
  </si>
  <si>
    <t>Kabupaten Alor</t>
  </si>
  <si>
    <t>Kabupaten Sumba Barat Daya</t>
  </si>
  <si>
    <t>Kabupaten Sumba Barat</t>
  </si>
  <si>
    <t>Kabupaten Sumba Tengah</t>
  </si>
  <si>
    <t>Kabupaten Sumba Timur</t>
  </si>
  <si>
    <t>Kabupaten Sabu Raijua</t>
  </si>
  <si>
    <t>Kabupaten Rote Ndao</t>
  </si>
  <si>
    <t>Kabupaten Kupang</t>
  </si>
  <si>
    <t>Kota Kupang</t>
  </si>
  <si>
    <t>Kabupaten Timor Tengah Selatan</t>
  </si>
  <si>
    <t>Kabupaten Timor Tengah Utara</t>
  </si>
  <si>
    <t>Kabupaten Belu</t>
  </si>
  <si>
    <t>Total NTT</t>
  </si>
  <si>
    <t>Total Nusa Tenggara</t>
  </si>
  <si>
    <t>WILAYAH SULAWESI</t>
  </si>
  <si>
    <t>SULAWESI UTARA</t>
  </si>
  <si>
    <t>Kab. Bolaang Mongondow</t>
  </si>
  <si>
    <t>Kab. Bolaang Mongondow Selatan</t>
  </si>
  <si>
    <t>Kab. Bolaang Mongondow Timur</t>
  </si>
  <si>
    <t>Kab. Bolaang Mongondow Utara</t>
  </si>
  <si>
    <t>Kabupaten Kepulauan Sangihe</t>
  </si>
  <si>
    <t>Kabupaten Kep.Siau Tagulandang Biaro</t>
  </si>
  <si>
    <t>Kabupaten Kepulauan Talaud</t>
  </si>
  <si>
    <t>Kabupaten Minahasa</t>
  </si>
  <si>
    <t>Kabupaten Minahasa Selatan</t>
  </si>
  <si>
    <t>Kabupaten Minahasa Tenggara</t>
  </si>
  <si>
    <t>Kabupaten Minahasa Utara</t>
  </si>
  <si>
    <t>Kota Bitung</t>
  </si>
  <si>
    <t>Kota Kotamobagu</t>
  </si>
  <si>
    <t>Kota Manado</t>
  </si>
  <si>
    <t>Kota Tomohon</t>
  </si>
  <si>
    <t>Total Sulawesi Utara</t>
  </si>
  <si>
    <t>GORONTALO</t>
  </si>
  <si>
    <t>Kabupaten Boalemo</t>
  </si>
  <si>
    <t>Kabupaten Bone Bolango</t>
  </si>
  <si>
    <t>Kabupaten Gorontalo</t>
  </si>
  <si>
    <t>Kabupaten Gorontalo Utara</t>
  </si>
  <si>
    <t>Kabupaten Pohuwato</t>
  </si>
  <si>
    <t>Kota Gorontalo</t>
  </si>
  <si>
    <t>Total Gorontalo</t>
  </si>
  <si>
    <t>SULAWESI TENGAH</t>
  </si>
  <si>
    <t>Kabupaten Banggai</t>
  </si>
  <si>
    <t>Kabupaten Banggai Kepulauan</t>
  </si>
  <si>
    <t>Kabupaten Buol</t>
  </si>
  <si>
    <t>Kabupaten Donggala</t>
  </si>
  <si>
    <t>Kabupaten Morowali</t>
  </si>
  <si>
    <t>Kabupaten Parigi Moutong</t>
  </si>
  <si>
    <t>Kabupaten Poso</t>
  </si>
  <si>
    <t>Kabupaten Sigi</t>
  </si>
  <si>
    <t>Kabupaten Tojo Una-Una</t>
  </si>
  <si>
    <t>Kabupaten Tolitoli</t>
  </si>
  <si>
    <t>Kota Palu</t>
  </si>
  <si>
    <t>Total Sulawesi Tengah</t>
  </si>
  <si>
    <t>SULAWESI BARAT</t>
  </si>
  <si>
    <t>Kabupaten Majene</t>
  </si>
  <si>
    <t>Kabupaten Mamasa</t>
  </si>
  <si>
    <t>Kabupaten Mamuju</t>
  </si>
  <si>
    <t>Kabupaten Mamuju Utara</t>
  </si>
  <si>
    <t>Kabupaten Polewali Mandar</t>
  </si>
  <si>
    <t>Kabupaten Mamuju Tengah</t>
  </si>
  <si>
    <t>Total Sulawesi Barat</t>
  </si>
  <si>
    <t>SULAWESI SELATAN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</si>
  <si>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</si>
  <si>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</si>
  <si>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</si>
  <si>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</si>
  <si>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</si>
  <si>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</si>
  <si>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</si>
  <si>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</si>
  <si>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Pangkajene Dan Kepulauan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</si>
  <si>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</si>
  <si>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</si>
  <si>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</si>
  <si>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</si>
  <si>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</si>
  <si>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</si>
  <si>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</si>
  <si>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</si>
  <si>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</si>
  <si>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</si>
  <si>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</si>
  <si>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Kota Makassar</t>
  </si>
  <si>
    <t>Kota Pare-pare</t>
  </si>
  <si>
    <t>Kota Palopo</t>
  </si>
  <si>
    <t>Toraja Utara</t>
  </si>
  <si>
    <t>Total Sulawesi Selatan</t>
  </si>
  <si>
    <t>SULAWESI TENGGARA</t>
  </si>
  <si>
    <t>Kabupaten Bombana</t>
  </si>
  <si>
    <t>Kabupaten Buton</t>
  </si>
  <si>
    <t>Kabupaten Buton Utara</t>
  </si>
  <si>
    <t>Kabupaten Kolaka</t>
  </si>
  <si>
    <t>Kabupaten Kolaka Utara</t>
  </si>
  <si>
    <t>Kabupaten Konawe</t>
  </si>
  <si>
    <t>Kabupaten Konawe Selatan</t>
  </si>
  <si>
    <t>Kabupaten Konawe Utara</t>
  </si>
  <si>
    <t>Kabupaten Muna</t>
  </si>
  <si>
    <t>Kabupaten Wakatobi</t>
  </si>
  <si>
    <t>Kota Bau-Bau</t>
  </si>
  <si>
    <t>Kota Kendari</t>
  </si>
  <si>
    <t>Total Sulawesi Tenggara</t>
  </si>
  <si>
    <t>Total Sulawesi</t>
  </si>
  <si>
    <t>WILAYAH MALUKU</t>
  </si>
  <si>
    <t>MALUKU</t>
  </si>
  <si>
    <t>Kabupaten Buru</t>
  </si>
  <si>
    <t>Kabupaten Buru Selatan</t>
  </si>
  <si>
    <t>Kota Ambon</t>
  </si>
  <si>
    <t>Kabupaten Seram Bagian Barat</t>
  </si>
  <si>
    <t>Kabupaten Maluku Tengah</t>
  </si>
  <si>
    <t>Kabupaten Seram Bagian Timur</t>
  </si>
  <si>
    <t>Kabupaten Maluku Barat Daya</t>
  </si>
  <si>
    <t>Kabupaten Maluku Tenggara Barat</t>
  </si>
  <si>
    <t>Kabupaten Maluku Tenggara</t>
  </si>
  <si>
    <t>Kota Tual</t>
  </si>
  <si>
    <t>Kabupaten Kepulauan Aru</t>
  </si>
  <si>
    <t>Total Maluku</t>
  </si>
  <si>
    <t>MALUKU UTARA</t>
  </si>
  <si>
    <t>Kabupaten Pulau Morotai</t>
  </si>
  <si>
    <t>Kabupaten Halmahera Barat</t>
  </si>
  <si>
    <t>Kabupaten Halmahera Utara</t>
  </si>
  <si>
    <t>Kabupaten Halmahera Timur</t>
  </si>
  <si>
    <t>Kabupaten Halmahera Tengah</t>
  </si>
  <si>
    <t>Kabupaten Halmahera Selatan</t>
  </si>
  <si>
    <t>Kota Tidore Kepulauan</t>
  </si>
  <si>
    <t>Kota Ternate</t>
  </si>
  <si>
    <t>Kabupaten Kepulauan Sula</t>
  </si>
  <si>
    <t>Total Maluku Utara</t>
  </si>
  <si>
    <t>WILAYAH PAPUA</t>
  </si>
  <si>
    <t>PAPUA BARAT</t>
  </si>
  <si>
    <t>Kab. Fak-fak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</si>
  <si>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</si>
  <si>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</si>
  <si>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</si>
  <si>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</si>
  <si>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</si>
  <si>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</si>
  <si>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</si>
  <si>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Kota. Sorong</t>
  </si>
  <si>
    <t>Kabupaten Manokwari Selatan</t>
  </si>
  <si>
    <t>Kabupaten Maybrat</t>
  </si>
  <si>
    <t>Kabupaten Pegunungan Arfak</t>
  </si>
  <si>
    <t>Kabupaten Tambrauw</t>
  </si>
  <si>
    <t>Total Papua Barat</t>
  </si>
  <si>
    <t>PAPUA</t>
  </si>
  <si>
    <t>Kabupaten Asmat</t>
  </si>
  <si>
    <t>Kabupaten Biak Numfor</t>
  </si>
  <si>
    <t>Kabupaten Boven Digoel</t>
  </si>
  <si>
    <t>Kabupaten Deiyai</t>
  </si>
  <si>
    <t>Kabupaten Dogiyai</t>
  </si>
  <si>
    <t>Kabupaten Intan Jaya</t>
  </si>
  <si>
    <t>Kabupaten Jayapura</t>
  </si>
  <si>
    <t>Kabupaten Jayawijaya</t>
  </si>
  <si>
    <t>Kabupaten Keerom</t>
  </si>
  <si>
    <t>Kabupaten Kep. Yapen Waropen</t>
  </si>
  <si>
    <t>Kabupaten Lanny Jaya</t>
  </si>
  <si>
    <t>Kabupaten Mamberamo Raya</t>
  </si>
  <si>
    <t>Kabupaten Mamberamo Tengah</t>
  </si>
  <si>
    <t>Kabupaten Mappi</t>
  </si>
  <si>
    <t>Kabupaten Merauke</t>
  </si>
  <si>
    <t>Kabupaten Mimika</t>
  </si>
  <si>
    <t>Kabupaten Nabire</t>
  </si>
  <si>
    <t>Kabupaten Nduga</t>
  </si>
  <si>
    <t>Kabupaten Paniai</t>
  </si>
  <si>
    <t>Kabupaten Pegunungan Bintang</t>
  </si>
  <si>
    <t>Kabupaten Puncak</t>
  </si>
  <si>
    <t>Kabupaten Puncak Jaya</t>
  </si>
  <si>
    <t>Kabupaten Sarmi</t>
  </si>
  <si>
    <t>Kabupaten Supiori</t>
  </si>
  <si>
    <t>Kabupaten Tolikara</t>
  </si>
  <si>
    <t>Kabupaten Waropen</t>
  </si>
  <si>
    <t>Kabupaten Yahukimo</t>
  </si>
  <si>
    <t>Kabupaten Yalimo</t>
  </si>
  <si>
    <t>Kota Jayapura</t>
  </si>
  <si>
    <t>Total Papua</t>
  </si>
  <si>
    <t>TOTAL NASIONAL</t>
  </si>
  <si>
    <t>Potensi TPA</t>
  </si>
  <si>
    <t>TPA Blang Mangat</t>
  </si>
  <si>
    <t>TPA Sidoadi</t>
  </si>
  <si>
    <t>TPA Kaban Jahe</t>
  </si>
  <si>
    <t>Siantar Martoba</t>
  </si>
  <si>
    <t>TPA Pertayuan</t>
  </si>
  <si>
    <t>Tanjung Pinggir</t>
  </si>
  <si>
    <t>Namu Bintang</t>
  </si>
  <si>
    <t>Pemda</t>
  </si>
  <si>
    <t>Terjun</t>
  </si>
  <si>
    <t>Mencirim</t>
  </si>
  <si>
    <t>TPA Batu Bola</t>
  </si>
  <si>
    <t>Air Dingin</t>
  </si>
  <si>
    <t>Kelurahan Air Dingin, Kecamatan Koto Tangah. ± 17 km dari pusat kota Padang</t>
  </si>
  <si>
    <t>TPA Kubu Gadang</t>
  </si>
  <si>
    <t>TPA Desa Binasi</t>
  </si>
  <si>
    <t>Taman Sari - Bantan Tua</t>
  </si>
  <si>
    <t>Muara Fajar</t>
  </si>
  <si>
    <t xml:space="preserve"> 0°38'43"N   101°26'31"E </t>
  </si>
  <si>
    <t xml:space="preserve">TPA </t>
  </si>
  <si>
    <t>TPA</t>
  </si>
  <si>
    <t>Telaga Punggur</t>
  </si>
  <si>
    <t xml:space="preserve">N 1o03’10,90 N and E 104o07’18,16. </t>
  </si>
  <si>
    <t>Talang Gulo</t>
  </si>
  <si>
    <t>Suka Winantan</t>
  </si>
  <si>
    <t>Kel. Sukajaya Kec. Sukarami</t>
  </si>
  <si>
    <t>Pemda dan kerjasama swasta PT.Gikoko Kogyo  untuk pengembangan sistem LFG-CDM</t>
  </si>
  <si>
    <t>Karya Jaya</t>
  </si>
  <si>
    <t>Kel. Karya Jaya Kec. Kertapati</t>
  </si>
  <si>
    <t>TPA Sukajadi</t>
  </si>
  <si>
    <t>TPA Petanang</t>
  </si>
  <si>
    <t>Bakung</t>
  </si>
  <si>
    <t>TPA Karang Rejo</t>
  </si>
  <si>
    <t>Batulayang</t>
  </si>
  <si>
    <t>Kerjasama Swasta untuk LFG-CDM Project</t>
  </si>
  <si>
    <t>TPA km 14</t>
  </si>
  <si>
    <t>Manggar</t>
  </si>
  <si>
    <t>Bukit Pinang</t>
  </si>
  <si>
    <t>l Pangeran Suryanata, Kelurahan Bukit Pinang, Kecamatan Samarinda Ulu</t>
  </si>
  <si>
    <t>Basirih</t>
  </si>
  <si>
    <t>TPA Bangkonol</t>
  </si>
  <si>
    <t>TPA Jatiwaringin</t>
  </si>
  <si>
    <t>TPA Cilowong</t>
  </si>
  <si>
    <t>TPA Rawa Kucing</t>
  </si>
  <si>
    <t>TPA Badegung</t>
  </si>
  <si>
    <t>TPA Cipeucang</t>
  </si>
  <si>
    <t>TPA Galuga</t>
  </si>
  <si>
    <t>TPA Bojong</t>
  </si>
  <si>
    <t>TPA Pasir Jeding</t>
  </si>
  <si>
    <t>TPA Pasir Hayam / Pasir Sembung</t>
  </si>
  <si>
    <t>TPA Pasir Bejing</t>
  </si>
  <si>
    <t>TPA Ciangir</t>
  </si>
  <si>
    <t>TPA Purbahayu</t>
  </si>
  <si>
    <t>TPA Ciniru</t>
  </si>
  <si>
    <t>TPA Gunung Santri</t>
  </si>
  <si>
    <t>TPA Heuleut</t>
  </si>
  <si>
    <t>TPA Talaga</t>
  </si>
  <si>
    <t>TPA Cibeureum</t>
  </si>
  <si>
    <t>TPA Pecuk</t>
  </si>
  <si>
    <t>TPA Caringin / Cimanggu</t>
  </si>
  <si>
    <t>TPA Cikolotok</t>
  </si>
  <si>
    <t>TPA Jalupang</t>
  </si>
  <si>
    <t>TPA Leuwisisir (baru)</t>
  </si>
  <si>
    <t>TPA Burangkeng</t>
  </si>
  <si>
    <t>TPA Sarimukti</t>
  </si>
  <si>
    <t>TPA Cikundul</t>
  </si>
  <si>
    <t>TPA Leuwigajah</t>
  </si>
  <si>
    <t>TPA Jelekong</t>
  </si>
  <si>
    <t>TPA Pasir Impun</t>
  </si>
  <si>
    <t>TPA Argasurya</t>
  </si>
  <si>
    <t>TPA Bantar Gebang</t>
  </si>
  <si>
    <t>TPA Sumur Batu</t>
  </si>
  <si>
    <t>TPA Cipayung</t>
  </si>
  <si>
    <t>TPA Jeruk Legi</t>
  </si>
  <si>
    <t>TPA Gunugn Tugel</t>
  </si>
  <si>
    <t>TPA Winong</t>
  </si>
  <si>
    <t>TPA Kaligending</t>
  </si>
  <si>
    <t>TPA Semali</t>
  </si>
  <si>
    <t>TPA Gunung Tumpeng</t>
  </si>
  <si>
    <t>TPA Wonorejo</t>
  </si>
  <si>
    <t>TPA Banyu Urip</t>
  </si>
  <si>
    <t>TPA Mojorejo</t>
  </si>
  <si>
    <t>TPA Sukosari</t>
  </si>
  <si>
    <t>TPA Tanggan</t>
  </si>
  <si>
    <t>TPA Ngembak</t>
  </si>
  <si>
    <t>TPA Basirih</t>
  </si>
  <si>
    <t>TPA Landoh</t>
  </si>
  <si>
    <t>TPA Margorejo</t>
  </si>
  <si>
    <t>TPA Tanjungrejo</t>
  </si>
  <si>
    <t>TPA Bandengan</t>
  </si>
  <si>
    <t>TPA Kalikondang</t>
  </si>
  <si>
    <t>TPA Kertosari (Ungaran)</t>
  </si>
  <si>
    <t>TPA Jatisari</t>
  </si>
  <si>
    <t>TPA Degayu</t>
  </si>
  <si>
    <t>TPA Pegongsoran</t>
  </si>
  <si>
    <t>TPA Muara Reja</t>
  </si>
  <si>
    <t>TPA Kalijurang</t>
  </si>
  <si>
    <t>TPA Putri Cempo</t>
  </si>
  <si>
    <t>TPA Ngonggo</t>
  </si>
  <si>
    <t>TPA Jatibarang</t>
  </si>
  <si>
    <t>TPA Banyuroto</t>
  </si>
  <si>
    <t>TPA Piyungan</t>
  </si>
  <si>
    <t>TPA Wukirsari</t>
  </si>
  <si>
    <t>TPA Mrican</t>
  </si>
  <si>
    <t>TPA Segawe</t>
  </si>
  <si>
    <t>TPA Talangagung</t>
  </si>
  <si>
    <t>TPA Besuk</t>
  </si>
  <si>
    <t>TPA Kertosari</t>
  </si>
  <si>
    <t>TPA Sukabumi</t>
  </si>
  <si>
    <t>TPA Blandongan</t>
  </si>
  <si>
    <t>TPA Jabon</t>
  </si>
  <si>
    <t>TPA Kedundung</t>
  </si>
  <si>
    <t>TPA Banjar Dowo</t>
  </si>
  <si>
    <t>TPA Kedungdowo</t>
  </si>
  <si>
    <t>TPA Banaran</t>
  </si>
  <si>
    <t>TPA Berbek</t>
  </si>
  <si>
    <t>TPA Gunung Panggung</t>
  </si>
  <si>
    <t>TPA Ngipik</t>
  </si>
  <si>
    <t>TPA Pojok</t>
  </si>
  <si>
    <t>TPA Sawetar / Kademangan</t>
  </si>
  <si>
    <t>TPA Supit Urang</t>
  </si>
  <si>
    <t>TPA Mojosari</t>
  </si>
  <si>
    <t>TPA Winongo</t>
  </si>
  <si>
    <t>TPA Benowo</t>
  </si>
  <si>
    <t>TPA Ngaglik</t>
  </si>
  <si>
    <t>TPA Buluh</t>
  </si>
  <si>
    <t>TPA Gunung Maddah</t>
  </si>
  <si>
    <t>TPA Angsanah</t>
  </si>
  <si>
    <t>TPA Torbang Batuan</t>
  </si>
  <si>
    <t>Total Madura</t>
  </si>
  <si>
    <t>TPA Peh</t>
  </si>
  <si>
    <t>Kabupaten Tabanan</t>
  </si>
  <si>
    <t>TPA Mandung</t>
  </si>
  <si>
    <t>TPA Temesi</t>
  </si>
  <si>
    <t>TPA Sante</t>
  </si>
  <si>
    <t>TPA Regional Bangli</t>
  </si>
  <si>
    <t>TPA Linggasana</t>
  </si>
  <si>
    <t>TPA Bungkulan / Benggala</t>
  </si>
  <si>
    <t>TPA Suwung</t>
  </si>
  <si>
    <t>TPA Gapuk</t>
  </si>
  <si>
    <t>TPA Oi Mbo</t>
  </si>
  <si>
    <t>TPA Kebon Kongo</t>
  </si>
  <si>
    <t>TPA Alak</t>
  </si>
  <si>
    <t>TPA Tewaan</t>
  </si>
  <si>
    <t>TPA Sumompo</t>
  </si>
  <si>
    <t>TPA Pohe</t>
  </si>
  <si>
    <t>TPA Tamangapa</t>
  </si>
  <si>
    <t>TPA Lapade</t>
  </si>
  <si>
    <t>TPA Sorong Makbon</t>
  </si>
  <si>
    <t xml:space="preserve"> 40.000 -  50.000 = 0.5 MWe</t>
  </si>
  <si>
    <t>350.000 - 400.000 = 4.0 Mwe</t>
  </si>
  <si>
    <t xml:space="preserve"> 50.000 - 100.000 = 1.0 Mwe</t>
  </si>
  <si>
    <t>400.000 - 450.000 = 4.5 Mwe</t>
  </si>
  <si>
    <t>100.000 - 150.000 = 1.5 Mwe</t>
  </si>
  <si>
    <t>450.000 - 500.000 = 5.0 MWe</t>
  </si>
  <si>
    <t>150.000 - 200.000 = 2.0 Mwe</t>
  </si>
  <si>
    <t>500.000 - 550.000 = 5.5 Mwe</t>
  </si>
  <si>
    <t>200.000 - 250.000 = 2.5 Mwe</t>
  </si>
  <si>
    <t>550.000 - 600.000 = 6.0 Mwe</t>
  </si>
  <si>
    <t>250.000 - 300.000 = 3.0 Mwe</t>
  </si>
  <si>
    <t>600.000 - 650.000 = 6.5 Mwe</t>
  </si>
  <si>
    <t>300.000 - 350.000 = 3.5 Mwe</t>
  </si>
  <si>
    <t>950.000 - 1.000.000 = 10</t>
  </si>
  <si>
    <t>POTENSI SAMPAH KOTA DI INDONESIA (MW)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</si>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</sst>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(* #,##0.0000000000_);_(* \(#,##0.0000000000\);_(* &quot;-&quot;??_);_(@_)"/>
    <numFmt numFmtId="168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sz val="8"/>
      <name val="Calibri"/>
      <family val="2"/>
    </font>
    <font>
      <sz val="8"/>
      <color indexed="56"/>
      <name val="Arial"/>
      <family val="1"/>
      <charset val="204"/>
    </font>
    <font>
      <b/>
      <sz val="12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5">
    <xf numFmtId="0" fontId="0" fillId="0" borderId="0" xfId="0"/>
    <xf numFmtId="164" fontId="2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horizontal="left" vertical="center"/>
    </xf>
    <xf numFmtId="43" fontId="2" fillId="2" borderId="1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left" vertical="center" wrapText="1"/>
    </xf>
    <xf numFmtId="164" fontId="6" fillId="3" borderId="2" xfId="1" applyNumberFormat="1" applyFont="1" applyFill="1" applyBorder="1" applyAlignment="1">
      <alignment vertical="center"/>
    </xf>
    <xf numFmtId="164" fontId="7" fillId="3" borderId="4" xfId="1" applyNumberFormat="1" applyFont="1" applyFill="1" applyBorder="1" applyAlignment="1">
      <alignment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lef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64" fontId="2" fillId="4" borderId="6" xfId="1" applyNumberFormat="1" applyFont="1" applyFill="1" applyBorder="1" applyAlignment="1">
      <alignment horizontal="left" vertical="center" wrapText="1"/>
    </xf>
    <xf numFmtId="0" fontId="2" fillId="4" borderId="5" xfId="1" applyNumberFormat="1" applyFont="1" applyFill="1" applyBorder="1" applyAlignment="1">
      <alignment horizontal="center" vertical="center" wrapText="1"/>
    </xf>
    <xf numFmtId="0" fontId="2" fillId="4" borderId="7" xfId="1" applyNumberFormat="1" applyFont="1" applyFill="1" applyBorder="1" applyAlignment="1">
      <alignment horizontal="center" vertical="center" wrapText="1"/>
    </xf>
    <xf numFmtId="164" fontId="3" fillId="4" borderId="8" xfId="1" applyNumberFormat="1" applyFont="1" applyFill="1" applyBorder="1" applyAlignment="1">
      <alignment horizontal="center" vertical="center" wrapText="1"/>
    </xf>
    <xf numFmtId="164" fontId="7" fillId="4" borderId="9" xfId="1" applyNumberFormat="1" applyFont="1" applyFill="1" applyBorder="1" applyAlignment="1">
      <alignment horizontal="center" vertical="center" wrapText="1"/>
    </xf>
    <xf numFmtId="164" fontId="7" fillId="4" borderId="10" xfId="1" applyNumberFormat="1" applyFont="1" applyFill="1" applyBorder="1" applyAlignment="1">
      <alignment horizontal="center" vertical="center" wrapText="1"/>
    </xf>
    <xf numFmtId="164" fontId="3" fillId="4" borderId="11" xfId="1" applyNumberFormat="1" applyFont="1" applyFill="1" applyBorder="1" applyAlignment="1">
      <alignment horizontal="center" vertical="center" wrapText="1"/>
    </xf>
    <xf numFmtId="0" fontId="2" fillId="4" borderId="11" xfId="1" applyNumberFormat="1" applyFont="1" applyFill="1" applyBorder="1" applyAlignment="1">
      <alignment horizontal="center" vertical="center" wrapText="1"/>
    </xf>
    <xf numFmtId="164" fontId="2" fillId="4" borderId="7" xfId="1" applyNumberFormat="1" applyFont="1" applyFill="1" applyBorder="1" applyAlignment="1">
      <alignment horizontal="center" vertical="center" wrapText="1"/>
    </xf>
    <xf numFmtId="164" fontId="2" fillId="4" borderId="6" xfId="1" applyNumberFormat="1" applyFont="1" applyFill="1" applyBorder="1" applyAlignment="1">
      <alignment horizontal="center" vertical="center" wrapText="1"/>
    </xf>
    <xf numFmtId="43" fontId="2" fillId="4" borderId="7" xfId="1" applyNumberFormat="1" applyFont="1" applyFill="1" applyBorder="1" applyAlignment="1">
      <alignment horizontal="center" vertical="center" wrapText="1"/>
    </xf>
    <xf numFmtId="0" fontId="7" fillId="4" borderId="7" xfId="1" applyNumberFormat="1" applyFont="1" applyFill="1" applyBorder="1" applyAlignment="1">
      <alignment horizontal="center" vertical="center" wrapText="1"/>
    </xf>
    <xf numFmtId="0" fontId="3" fillId="4" borderId="6" xfId="1" applyNumberFormat="1" applyFont="1" applyFill="1" applyBorder="1" applyAlignment="1">
      <alignment horizontal="center" vertical="center" wrapText="1"/>
    </xf>
    <xf numFmtId="164" fontId="2" fillId="4" borderId="12" xfId="1" applyNumberFormat="1" applyFont="1" applyFill="1" applyBorder="1" applyAlignment="1">
      <alignment horizontal="center" vertical="center" wrapText="1"/>
    </xf>
    <xf numFmtId="165" fontId="2" fillId="4" borderId="12" xfId="1" applyNumberFormat="1" applyFont="1" applyFill="1" applyBorder="1" applyAlignment="1">
      <alignment horizontal="center" vertical="center" wrapText="1"/>
    </xf>
    <xf numFmtId="164" fontId="2" fillId="4" borderId="13" xfId="1" applyNumberFormat="1" applyFont="1" applyFill="1" applyBorder="1" applyAlignment="1">
      <alignment horizontal="center" vertical="center" wrapText="1"/>
    </xf>
    <xf numFmtId="43" fontId="2" fillId="4" borderId="7" xfId="1" applyFont="1" applyFill="1" applyBorder="1" applyAlignment="1">
      <alignment horizontal="center" vertical="center" wrapText="1"/>
    </xf>
    <xf numFmtId="164" fontId="2" fillId="4" borderId="11" xfId="1" applyNumberFormat="1" applyFont="1" applyFill="1" applyBorder="1" applyAlignment="1">
      <alignment horizontal="center" vertical="center" wrapText="1"/>
    </xf>
    <xf numFmtId="164" fontId="2" fillId="4" borderId="14" xfId="1" applyNumberFormat="1" applyFont="1" applyFill="1" applyBorder="1" applyAlignment="1">
      <alignment horizontal="center" vertical="center" wrapText="1"/>
    </xf>
    <xf numFmtId="164" fontId="2" fillId="4" borderId="10" xfId="1" applyNumberFormat="1" applyFont="1" applyFill="1" applyBorder="1" applyAlignment="1">
      <alignment vertical="center" wrapText="1"/>
    </xf>
    <xf numFmtId="164" fontId="2" fillId="0" borderId="0" xfId="1" applyNumberFormat="1" applyFont="1" applyFill="1" applyBorder="1" applyAlignment="1">
      <alignment horizontal="left" vertical="center" wrapText="1"/>
    </xf>
    <xf numFmtId="164" fontId="2" fillId="4" borderId="15" xfId="1" applyNumberFormat="1" applyFont="1" applyFill="1" applyBorder="1" applyAlignment="1">
      <alignment horizontal="left" vertical="center" wrapText="1"/>
    </xf>
    <xf numFmtId="164" fontId="2" fillId="4" borderId="16" xfId="1" applyNumberFormat="1" applyFont="1" applyFill="1" applyBorder="1" applyAlignment="1">
      <alignment horizontal="left" vertical="center" wrapText="1"/>
    </xf>
    <xf numFmtId="164" fontId="2" fillId="4" borderId="15" xfId="1" applyNumberFormat="1" applyFont="1" applyFill="1" applyBorder="1" applyAlignment="1">
      <alignment horizontal="center" vertical="center" wrapText="1"/>
    </xf>
    <xf numFmtId="164" fontId="2" fillId="4" borderId="17" xfId="1" applyNumberFormat="1" applyFont="1" applyFill="1" applyBorder="1" applyAlignment="1">
      <alignment horizontal="center" vertical="center" wrapText="1"/>
    </xf>
    <xf numFmtId="164" fontId="2" fillId="4" borderId="16" xfId="1" applyNumberFormat="1" applyFont="1" applyFill="1" applyBorder="1" applyAlignment="1">
      <alignment horizontal="center" vertical="center" wrapText="1"/>
    </xf>
    <xf numFmtId="164" fontId="2" fillId="4" borderId="18" xfId="1" applyNumberFormat="1" applyFont="1" applyFill="1" applyBorder="1" applyAlignment="1">
      <alignment horizontal="center" vertical="center" wrapText="1"/>
    </xf>
    <xf numFmtId="164" fontId="3" fillId="4" borderId="9" xfId="1" applyNumberFormat="1" applyFont="1" applyFill="1" applyBorder="1" applyAlignment="1">
      <alignment horizontal="center" vertical="center"/>
    </xf>
    <xf numFmtId="164" fontId="3" fillId="4" borderId="19" xfId="1" applyNumberFormat="1" applyFont="1" applyFill="1" applyBorder="1" applyAlignment="1">
      <alignment horizontal="center" vertical="center" wrapText="1"/>
    </xf>
    <xf numFmtId="0" fontId="2" fillId="4" borderId="17" xfId="1" applyNumberFormat="1" applyFont="1" applyFill="1" applyBorder="1" applyAlignment="1">
      <alignment horizontal="center" vertical="center" wrapText="1"/>
    </xf>
    <xf numFmtId="164" fontId="2" fillId="4" borderId="17" xfId="1" applyNumberFormat="1" applyFont="1" applyFill="1" applyBorder="1" applyAlignment="1">
      <alignment horizontal="left" vertical="center"/>
    </xf>
    <xf numFmtId="43" fontId="2" fillId="4" borderId="17" xfId="1" applyNumberFormat="1" applyFont="1" applyFill="1" applyBorder="1" applyAlignment="1">
      <alignment horizontal="center" vertical="center"/>
    </xf>
    <xf numFmtId="0" fontId="2" fillId="4" borderId="16" xfId="1" applyNumberFormat="1" applyFont="1" applyFill="1" applyBorder="1" applyAlignment="1">
      <alignment horizontal="center" vertical="center" wrapText="1"/>
    </xf>
    <xf numFmtId="164" fontId="2" fillId="4" borderId="20" xfId="1" applyNumberFormat="1" applyFont="1" applyFill="1" applyBorder="1" applyAlignment="1">
      <alignment horizontal="center" vertical="center" wrapText="1"/>
    </xf>
    <xf numFmtId="164" fontId="2" fillId="4" borderId="21" xfId="1" applyNumberFormat="1" applyFont="1" applyFill="1" applyBorder="1" applyAlignment="1">
      <alignment horizontal="center" vertical="center" wrapText="1"/>
    </xf>
    <xf numFmtId="43" fontId="2" fillId="4" borderId="17" xfId="1" applyNumberFormat="1" applyFont="1" applyFill="1" applyBorder="1" applyAlignment="1">
      <alignment horizontal="center" vertical="center" wrapText="1"/>
    </xf>
    <xf numFmtId="165" fontId="2" fillId="4" borderId="15" xfId="1" applyNumberFormat="1" applyFont="1" applyFill="1" applyBorder="1" applyAlignment="1">
      <alignment horizontal="center" vertical="center" wrapText="1"/>
    </xf>
    <xf numFmtId="164" fontId="2" fillId="4" borderId="19" xfId="1" applyNumberFormat="1" applyFont="1" applyFill="1" applyBorder="1" applyAlignment="1">
      <alignment horizontal="center" vertical="center" wrapText="1"/>
    </xf>
    <xf numFmtId="43" fontId="2" fillId="4" borderId="17" xfId="1" applyFont="1" applyFill="1" applyBorder="1" applyAlignment="1">
      <alignment horizontal="center" vertical="center" wrapText="1"/>
    </xf>
    <xf numFmtId="164" fontId="2" fillId="4" borderId="22" xfId="1" applyNumberFormat="1" applyFont="1" applyFill="1" applyBorder="1" applyAlignment="1">
      <alignment horizontal="center" vertical="center" wrapText="1"/>
    </xf>
    <xf numFmtId="164" fontId="2" fillId="4" borderId="9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left" vertical="center"/>
    </xf>
    <xf numFmtId="164" fontId="2" fillId="4" borderId="15" xfId="1" applyNumberFormat="1" applyFont="1" applyFill="1" applyBorder="1" applyAlignment="1">
      <alignment vertical="center"/>
    </xf>
    <xf numFmtId="164" fontId="2" fillId="4" borderId="16" xfId="1" applyNumberFormat="1" applyFont="1" applyFill="1" applyBorder="1" applyAlignment="1">
      <alignment vertical="center"/>
    </xf>
    <xf numFmtId="164" fontId="2" fillId="4" borderId="15" xfId="1" applyNumberFormat="1" applyFont="1" applyFill="1" applyBorder="1" applyAlignment="1">
      <alignment horizontal="left" vertical="center"/>
    </xf>
    <xf numFmtId="164" fontId="2" fillId="4" borderId="18" xfId="1" applyNumberFormat="1" applyFont="1" applyFill="1" applyBorder="1" applyAlignment="1">
      <alignment horizontal="left" vertical="center"/>
    </xf>
    <xf numFmtId="164" fontId="3" fillId="4" borderId="22" xfId="1" applyNumberFormat="1" applyFont="1" applyFill="1" applyBorder="1" applyAlignment="1">
      <alignment horizontal="left" vertical="center"/>
    </xf>
    <xf numFmtId="0" fontId="3" fillId="4" borderId="22" xfId="1" applyNumberFormat="1" applyFont="1" applyFill="1" applyBorder="1" applyAlignment="1">
      <alignment horizontal="center" vertical="center"/>
    </xf>
    <xf numFmtId="9" fontId="2" fillId="4" borderId="17" xfId="2" applyFont="1" applyFill="1" applyBorder="1" applyAlignment="1">
      <alignment horizontal="center" vertical="center"/>
    </xf>
    <xf numFmtId="164" fontId="2" fillId="4" borderId="16" xfId="1" applyNumberFormat="1" applyFont="1" applyFill="1" applyBorder="1" applyAlignment="1">
      <alignment horizontal="left" vertical="center"/>
    </xf>
    <xf numFmtId="9" fontId="2" fillId="4" borderId="17" xfId="2" applyFont="1" applyFill="1" applyBorder="1" applyAlignment="1">
      <alignment horizontal="left" vertical="center"/>
    </xf>
    <xf numFmtId="9" fontId="2" fillId="4" borderId="17" xfId="1" applyNumberFormat="1" applyFont="1" applyFill="1" applyBorder="1" applyAlignment="1">
      <alignment horizontal="left" vertical="center"/>
    </xf>
    <xf numFmtId="9" fontId="7" fillId="4" borderId="15" xfId="1" applyNumberFormat="1" applyFont="1" applyFill="1" applyBorder="1" applyAlignment="1">
      <alignment horizontal="center" vertical="center"/>
    </xf>
    <xf numFmtId="9" fontId="7" fillId="4" borderId="17" xfId="1" applyNumberFormat="1" applyFont="1" applyFill="1" applyBorder="1" applyAlignment="1">
      <alignment horizontal="center" vertical="center"/>
    </xf>
    <xf numFmtId="0" fontId="7" fillId="4" borderId="16" xfId="1" applyNumberFormat="1" applyFont="1" applyFill="1" applyBorder="1" applyAlignment="1">
      <alignment horizontal="center" vertical="center"/>
    </xf>
    <xf numFmtId="164" fontId="2" fillId="4" borderId="15" xfId="1" applyNumberFormat="1" applyFont="1" applyFill="1" applyBorder="1" applyAlignment="1">
      <alignment horizontal="center" vertical="center"/>
    </xf>
    <xf numFmtId="164" fontId="2" fillId="4" borderId="17" xfId="1" applyNumberFormat="1" applyFont="1" applyFill="1" applyBorder="1" applyAlignment="1">
      <alignment horizontal="center" vertical="center"/>
    </xf>
    <xf numFmtId="166" fontId="2" fillId="4" borderId="15" xfId="1" applyNumberFormat="1" applyFont="1" applyFill="1" applyBorder="1" applyAlignment="1">
      <alignment horizontal="center" vertical="center"/>
    </xf>
    <xf numFmtId="167" fontId="2" fillId="4" borderId="17" xfId="1" applyNumberFormat="1" applyFont="1" applyFill="1" applyBorder="1" applyAlignment="1">
      <alignment horizontal="center" vertical="center"/>
    </xf>
    <xf numFmtId="9" fontId="2" fillId="4" borderId="20" xfId="2" applyFont="1" applyFill="1" applyBorder="1" applyAlignment="1">
      <alignment horizontal="center" vertical="center"/>
    </xf>
    <xf numFmtId="164" fontId="2" fillId="4" borderId="5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43" fontId="2" fillId="4" borderId="7" xfId="1" applyFont="1" applyFill="1" applyBorder="1" applyAlignment="1">
      <alignment horizontal="center" vertical="center"/>
    </xf>
    <xf numFmtId="164" fontId="2" fillId="4" borderId="11" xfId="1" applyNumberFormat="1" applyFont="1" applyFill="1" applyBorder="1" applyAlignment="1">
      <alignment horizontal="center" vertical="center"/>
    </xf>
    <xf numFmtId="164" fontId="2" fillId="4" borderId="14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left" vertical="center"/>
    </xf>
    <xf numFmtId="164" fontId="2" fillId="4" borderId="23" xfId="1" applyNumberFormat="1" applyFont="1" applyFill="1" applyBorder="1" applyAlignment="1">
      <alignment horizontal="left" vertical="center"/>
    </xf>
    <xf numFmtId="164" fontId="2" fillId="4" borderId="24" xfId="1" applyNumberFormat="1" applyFont="1" applyFill="1" applyBorder="1" applyAlignment="1">
      <alignment horizontal="left" vertical="center"/>
    </xf>
    <xf numFmtId="164" fontId="2" fillId="4" borderId="24" xfId="1" applyNumberFormat="1" applyFont="1" applyFill="1" applyBorder="1" applyAlignment="1">
      <alignment horizontal="center" vertical="center" wrapText="1"/>
    </xf>
    <xf numFmtId="43" fontId="2" fillId="4" borderId="17" xfId="1" applyNumberFormat="1" applyFont="1" applyFill="1" applyBorder="1" applyAlignment="1">
      <alignment horizontal="left" vertical="center"/>
    </xf>
    <xf numFmtId="165" fontId="2" fillId="4" borderId="5" xfId="1" applyNumberFormat="1" applyFont="1" applyFill="1" applyBorder="1" applyAlignment="1">
      <alignment horizontal="center" vertical="center"/>
    </xf>
    <xf numFmtId="164" fontId="2" fillId="4" borderId="22" xfId="1" applyNumberFormat="1" applyFont="1" applyFill="1" applyBorder="1" applyAlignment="1">
      <alignment horizontal="center" vertical="center"/>
    </xf>
    <xf numFmtId="164" fontId="2" fillId="4" borderId="19" xfId="1" applyNumberFormat="1" applyFont="1" applyFill="1" applyBorder="1" applyAlignment="1">
      <alignment horizontal="center" vertical="center"/>
    </xf>
    <xf numFmtId="164" fontId="2" fillId="4" borderId="16" xfId="1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vertical="center"/>
    </xf>
    <xf numFmtId="164" fontId="7" fillId="3" borderId="0" xfId="1" applyNumberFormat="1" applyFont="1" applyFill="1" applyBorder="1" applyAlignment="1">
      <alignment vertical="center" wrapText="1"/>
    </xf>
    <xf numFmtId="164" fontId="2" fillId="4" borderId="19" xfId="1" applyNumberFormat="1" applyFont="1" applyFill="1" applyBorder="1" applyAlignment="1">
      <alignment horizontal="left" vertical="center"/>
    </xf>
    <xf numFmtId="165" fontId="3" fillId="4" borderId="17" xfId="1" applyNumberFormat="1" applyFont="1" applyFill="1" applyBorder="1" applyAlignment="1">
      <alignment horizontal="left" vertical="center"/>
    </xf>
    <xf numFmtId="164" fontId="2" fillId="4" borderId="17" xfId="1" applyNumberFormat="1" applyFont="1" applyFill="1" applyBorder="1" applyAlignment="1">
      <alignment horizontal="left" vertical="center" wrapText="1"/>
    </xf>
    <xf numFmtId="2" fontId="3" fillId="4" borderId="9" xfId="1" applyNumberFormat="1" applyFont="1" applyFill="1" applyBorder="1" applyAlignment="1">
      <alignment horizontal="center" vertical="center"/>
    </xf>
    <xf numFmtId="164" fontId="2" fillId="4" borderId="21" xfId="1" applyNumberFormat="1" applyFont="1" applyFill="1" applyBorder="1" applyAlignment="1">
      <alignment horizontal="left" vertical="center"/>
    </xf>
    <xf numFmtId="9" fontId="2" fillId="4" borderId="21" xfId="2" applyFont="1" applyFill="1" applyBorder="1" applyAlignment="1">
      <alignment horizontal="left" vertical="center"/>
    </xf>
    <xf numFmtId="43" fontId="2" fillId="4" borderId="22" xfId="1" applyNumberFormat="1" applyFont="1" applyFill="1" applyBorder="1" applyAlignment="1">
      <alignment horizontal="left" vertical="center"/>
    </xf>
    <xf numFmtId="164" fontId="2" fillId="4" borderId="22" xfId="1" applyNumberFormat="1" applyFont="1" applyFill="1" applyBorder="1" applyAlignment="1">
      <alignment horizontal="left" vertical="center"/>
    </xf>
    <xf numFmtId="166" fontId="2" fillId="4" borderId="22" xfId="1" applyNumberFormat="1" applyFont="1" applyFill="1" applyBorder="1" applyAlignment="1">
      <alignment horizontal="center" vertical="center"/>
    </xf>
    <xf numFmtId="9" fontId="2" fillId="4" borderId="19" xfId="2" applyFont="1" applyFill="1" applyBorder="1" applyAlignment="1">
      <alignment horizontal="center" vertical="center"/>
    </xf>
    <xf numFmtId="165" fontId="2" fillId="4" borderId="11" xfId="1" applyNumberFormat="1" applyFont="1" applyFill="1" applyBorder="1" applyAlignment="1">
      <alignment horizontal="center" vertical="center"/>
    </xf>
    <xf numFmtId="164" fontId="2" fillId="4" borderId="21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left" vertical="center"/>
    </xf>
    <xf numFmtId="164" fontId="9" fillId="2" borderId="25" xfId="1" applyNumberFormat="1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 wrapText="1"/>
    </xf>
    <xf numFmtId="164" fontId="8" fillId="2" borderId="15" xfId="1" applyNumberFormat="1" applyFont="1" applyFill="1" applyBorder="1" applyAlignment="1">
      <alignment horizontal="left" vertical="center"/>
    </xf>
    <xf numFmtId="164" fontId="8" fillId="2" borderId="17" xfId="1" applyNumberFormat="1" applyFont="1" applyFill="1" applyBorder="1" applyAlignment="1">
      <alignment horizontal="left" vertical="center"/>
    </xf>
    <xf numFmtId="164" fontId="9" fillId="2" borderId="17" xfId="1" applyNumberFormat="1" applyFont="1" applyFill="1" applyBorder="1" applyAlignment="1">
      <alignment horizontal="left" vertical="center"/>
    </xf>
    <xf numFmtId="164" fontId="8" fillId="2" borderId="16" xfId="1" applyNumberFormat="1" applyFont="1" applyFill="1" applyBorder="1" applyAlignment="1">
      <alignment horizontal="left" vertical="center"/>
    </xf>
    <xf numFmtId="164" fontId="8" fillId="2" borderId="15" xfId="1" applyNumberFormat="1" applyFont="1" applyFill="1" applyBorder="1" applyAlignment="1">
      <alignment horizontal="right" vertical="center"/>
    </xf>
    <xf numFmtId="164" fontId="8" fillId="2" borderId="17" xfId="1" applyNumberFormat="1" applyFont="1" applyFill="1" applyBorder="1" applyAlignment="1">
      <alignment horizontal="right" vertical="center"/>
    </xf>
    <xf numFmtId="9" fontId="8" fillId="2" borderId="17" xfId="2" applyFont="1" applyFill="1" applyBorder="1" applyAlignment="1">
      <alignment horizontal="center" vertical="center"/>
    </xf>
    <xf numFmtId="167" fontId="8" fillId="2" borderId="0" xfId="1" applyNumberFormat="1" applyFont="1" applyFill="1" applyBorder="1" applyAlignment="1">
      <alignment horizontal="left" vertical="center"/>
    </xf>
    <xf numFmtId="164" fontId="3" fillId="4" borderId="15" xfId="1" applyNumberFormat="1" applyFont="1" applyFill="1" applyBorder="1" applyAlignment="1">
      <alignment horizontal="left" vertical="center"/>
    </xf>
    <xf numFmtId="164" fontId="3" fillId="4" borderId="16" xfId="1" applyNumberFormat="1" applyFont="1" applyFill="1" applyBorder="1" applyAlignment="1">
      <alignment horizontal="left" vertical="center"/>
    </xf>
    <xf numFmtId="164" fontId="3" fillId="4" borderId="15" xfId="1" applyNumberFormat="1" applyFont="1" applyFill="1" applyBorder="1" applyAlignment="1">
      <alignment horizontal="center" vertical="center"/>
    </xf>
    <xf numFmtId="164" fontId="3" fillId="4" borderId="17" xfId="1" applyNumberFormat="1" applyFont="1" applyFill="1" applyBorder="1" applyAlignment="1">
      <alignment horizontal="center" vertical="center"/>
    </xf>
    <xf numFmtId="164" fontId="3" fillId="4" borderId="18" xfId="1" applyNumberFormat="1" applyFont="1" applyFill="1" applyBorder="1" applyAlignment="1">
      <alignment horizontal="center" vertical="center"/>
    </xf>
    <xf numFmtId="164" fontId="3" fillId="4" borderId="16" xfId="1" applyNumberFormat="1" applyFont="1" applyFill="1" applyBorder="1" applyAlignment="1">
      <alignment horizontal="center" vertical="center"/>
    </xf>
    <xf numFmtId="164" fontId="3" fillId="4" borderId="17" xfId="1" applyNumberFormat="1" applyFont="1" applyFill="1" applyBorder="1" applyAlignment="1">
      <alignment horizontal="left" vertical="center"/>
    </xf>
    <xf numFmtId="43" fontId="3" fillId="4" borderId="17" xfId="1" applyNumberFormat="1" applyFont="1" applyFill="1" applyBorder="1" applyAlignment="1">
      <alignment horizontal="left" vertical="center"/>
    </xf>
    <xf numFmtId="164" fontId="2" fillId="4" borderId="17" xfId="1" applyNumberFormat="1" applyFont="1" applyFill="1" applyBorder="1" applyAlignment="1">
      <alignment vertical="center"/>
    </xf>
    <xf numFmtId="164" fontId="10" fillId="4" borderId="15" xfId="1" applyNumberFormat="1" applyFont="1" applyFill="1" applyBorder="1" applyAlignment="1">
      <alignment horizontal="center" vertical="center"/>
    </xf>
    <xf numFmtId="43" fontId="10" fillId="4" borderId="17" xfId="1" applyNumberFormat="1" applyFont="1" applyFill="1" applyBorder="1" applyAlignment="1">
      <alignment horizontal="center" vertical="center"/>
    </xf>
    <xf numFmtId="164" fontId="10" fillId="4" borderId="20" xfId="1" applyNumberFormat="1" applyFont="1" applyFill="1" applyBorder="1" applyAlignment="1">
      <alignment horizontal="center" vertical="center"/>
    </xf>
    <xf numFmtId="165" fontId="10" fillId="4" borderId="15" xfId="1" applyNumberFormat="1" applyFont="1" applyFill="1" applyBorder="1" applyAlignment="1">
      <alignment horizontal="center" vertical="center"/>
    </xf>
    <xf numFmtId="164" fontId="10" fillId="4" borderId="21" xfId="1" applyNumberFormat="1" applyFont="1" applyFill="1" applyBorder="1" applyAlignment="1">
      <alignment horizontal="center" vertical="center"/>
    </xf>
    <xf numFmtId="43" fontId="10" fillId="4" borderId="17" xfId="1" applyFont="1" applyFill="1" applyBorder="1" applyAlignment="1">
      <alignment horizontal="center" vertical="center"/>
    </xf>
    <xf numFmtId="164" fontId="10" fillId="4" borderId="22" xfId="1" applyNumberFormat="1" applyFont="1" applyFill="1" applyBorder="1" applyAlignment="1">
      <alignment horizontal="center" vertical="center"/>
    </xf>
    <xf numFmtId="164" fontId="10" fillId="4" borderId="19" xfId="1" applyNumberFormat="1" applyFont="1" applyFill="1" applyBorder="1" applyAlignment="1">
      <alignment horizontal="center" vertical="center"/>
    </xf>
    <xf numFmtId="164" fontId="10" fillId="4" borderId="16" xfId="1" applyNumberFormat="1" applyFont="1" applyFill="1" applyBorder="1" applyAlignment="1">
      <alignment horizontal="center" vertical="center"/>
    </xf>
    <xf numFmtId="164" fontId="10" fillId="4" borderId="9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vertical="center"/>
    </xf>
    <xf numFmtId="0" fontId="2" fillId="4" borderId="15" xfId="1" applyNumberFormat="1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vertical="center" wrapText="1"/>
    </xf>
    <xf numFmtId="164" fontId="3" fillId="5" borderId="15" xfId="1" applyNumberFormat="1" applyFont="1" applyFill="1" applyBorder="1" applyAlignment="1">
      <alignment horizontal="center" vertical="center"/>
    </xf>
    <xf numFmtId="164" fontId="3" fillId="5" borderId="17" xfId="1" applyNumberFormat="1" applyFont="1" applyFill="1" applyBorder="1" applyAlignment="1">
      <alignment horizontal="center" vertical="center"/>
    </xf>
    <xf numFmtId="164" fontId="2" fillId="5" borderId="17" xfId="1" applyNumberFormat="1" applyFont="1" applyFill="1" applyBorder="1" applyAlignment="1">
      <alignment horizontal="right" vertical="top" wrapText="1"/>
    </xf>
    <xf numFmtId="164" fontId="3" fillId="5" borderId="21" xfId="1" applyNumberFormat="1" applyFont="1" applyFill="1" applyBorder="1" applyAlignment="1">
      <alignment horizontal="center" vertical="center"/>
    </xf>
    <xf numFmtId="164" fontId="2" fillId="6" borderId="16" xfId="1" applyNumberFormat="1" applyFont="1" applyFill="1" applyBorder="1" applyAlignment="1">
      <alignment horizontal="center" vertical="center"/>
    </xf>
    <xf numFmtId="164" fontId="2" fillId="6" borderId="18" xfId="1" applyNumberFormat="1" applyFont="1" applyFill="1" applyBorder="1" applyAlignment="1">
      <alignment horizontal="center" vertical="center"/>
    </xf>
    <xf numFmtId="164" fontId="2" fillId="6" borderId="9" xfId="1" applyNumberFormat="1" applyFont="1" applyFill="1" applyBorder="1" applyAlignment="1">
      <alignment horizontal="center" vertical="center"/>
    </xf>
    <xf numFmtId="164" fontId="3" fillId="0" borderId="22" xfId="1" applyNumberFormat="1" applyFont="1" applyFill="1" applyBorder="1" applyAlignment="1">
      <alignment horizontal="left" vertical="center"/>
    </xf>
    <xf numFmtId="0" fontId="2" fillId="0" borderId="22" xfId="1" applyNumberFormat="1" applyFont="1" applyFill="1" applyBorder="1" applyAlignment="1">
      <alignment horizontal="center" vertical="center"/>
    </xf>
    <xf numFmtId="164" fontId="2" fillId="0" borderId="17" xfId="1" applyNumberFormat="1" applyFont="1" applyFill="1" applyBorder="1" applyAlignment="1">
      <alignment vertical="center"/>
    </xf>
    <xf numFmtId="164" fontId="2" fillId="0" borderId="16" xfId="1" applyNumberFormat="1" applyFont="1" applyFill="1" applyBorder="1" applyAlignment="1">
      <alignment vertical="center"/>
    </xf>
    <xf numFmtId="164" fontId="2" fillId="0" borderId="17" xfId="1" applyNumberFormat="1" applyFont="1" applyFill="1" applyBorder="1" applyAlignment="1">
      <alignment horizontal="left" vertical="center"/>
    </xf>
    <xf numFmtId="43" fontId="2" fillId="0" borderId="17" xfId="1" applyNumberFormat="1" applyFont="1" applyFill="1" applyBorder="1" applyAlignment="1">
      <alignment horizontal="left" vertical="center"/>
    </xf>
    <xf numFmtId="168" fontId="2" fillId="6" borderId="15" xfId="1" applyNumberFormat="1" applyFont="1" applyFill="1" applyBorder="1" applyAlignment="1">
      <alignment vertical="center"/>
    </xf>
    <xf numFmtId="168" fontId="2" fillId="6" borderId="17" xfId="1" applyNumberFormat="1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center" vertical="center"/>
    </xf>
    <xf numFmtId="164" fontId="2" fillId="7" borderId="15" xfId="1" applyNumberFormat="1" applyFont="1" applyFill="1" applyBorder="1" applyAlignment="1">
      <alignment horizontal="center" vertical="center"/>
    </xf>
    <xf numFmtId="9" fontId="2" fillId="7" borderId="17" xfId="2" applyNumberFormat="1" applyFont="1" applyFill="1" applyBorder="1" applyAlignment="1">
      <alignment horizontal="center" vertical="center"/>
    </xf>
    <xf numFmtId="164" fontId="2" fillId="6" borderId="15" xfId="1" applyNumberFormat="1" applyFont="1" applyFill="1" applyBorder="1" applyAlignment="1">
      <alignment horizontal="center" vertical="center"/>
    </xf>
    <xf numFmtId="43" fontId="2" fillId="6" borderId="17" xfId="1" applyNumberFormat="1" applyFont="1" applyFill="1" applyBorder="1" applyAlignment="1">
      <alignment horizontal="center" vertical="center"/>
    </xf>
    <xf numFmtId="43" fontId="2" fillId="6" borderId="20" xfId="1" applyNumberFormat="1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21" xfId="1" applyNumberFormat="1" applyFont="1" applyFill="1" applyBorder="1" applyAlignment="1">
      <alignment horizontal="center" vertical="center"/>
    </xf>
    <xf numFmtId="43" fontId="2" fillId="6" borderId="17" xfId="1" applyFont="1" applyFill="1" applyBorder="1" applyAlignment="1">
      <alignment horizontal="center" vertical="center"/>
    </xf>
    <xf numFmtId="164" fontId="2" fillId="6" borderId="22" xfId="1" applyNumberFormat="1" applyFont="1" applyFill="1" applyBorder="1" applyAlignment="1">
      <alignment horizontal="center" vertical="center"/>
    </xf>
    <xf numFmtId="164" fontId="2" fillId="6" borderId="19" xfId="1" applyNumberFormat="1" applyFont="1" applyFill="1" applyBorder="1" applyAlignment="1">
      <alignment horizontal="center" vertical="center"/>
    </xf>
    <xf numFmtId="164" fontId="2" fillId="5" borderId="9" xfId="1" applyNumberFormat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vertical="center" wrapText="1"/>
    </xf>
    <xf numFmtId="0" fontId="2" fillId="4" borderId="28" xfId="0" applyFont="1" applyFill="1" applyBorder="1" applyAlignment="1">
      <alignment vertical="center" wrapText="1"/>
    </xf>
    <xf numFmtId="164" fontId="11" fillId="5" borderId="17" xfId="1" applyNumberFormat="1" applyFont="1" applyFill="1" applyBorder="1" applyAlignment="1">
      <alignment horizontal="right" vertical="top" wrapText="1"/>
    </xf>
    <xf numFmtId="0" fontId="2" fillId="4" borderId="29" xfId="0" applyFont="1" applyFill="1" applyBorder="1" applyAlignment="1">
      <alignment vertical="center" wrapText="1"/>
    </xf>
    <xf numFmtId="164" fontId="3" fillId="2" borderId="0" xfId="1" applyNumberFormat="1" applyFont="1" applyFill="1" applyBorder="1" applyAlignment="1">
      <alignment vertical="center"/>
    </xf>
    <xf numFmtId="164" fontId="3" fillId="4" borderId="30" xfId="1" applyNumberFormat="1" applyFont="1" applyFill="1" applyBorder="1" applyAlignment="1">
      <alignment horizontal="left" vertical="center"/>
    </xf>
    <xf numFmtId="164" fontId="3" fillId="4" borderId="31" xfId="1" applyNumberFormat="1" applyFont="1" applyFill="1" applyBorder="1" applyAlignment="1">
      <alignment horizontal="left" vertical="center"/>
    </xf>
    <xf numFmtId="164" fontId="3" fillId="6" borderId="30" xfId="1" applyNumberFormat="1" applyFont="1" applyFill="1" applyBorder="1" applyAlignment="1">
      <alignment horizontal="center" vertical="center"/>
    </xf>
    <xf numFmtId="164" fontId="3" fillId="6" borderId="32" xfId="1" applyNumberFormat="1" applyFont="1" applyFill="1" applyBorder="1" applyAlignment="1">
      <alignment horizontal="center" vertical="center"/>
    </xf>
    <xf numFmtId="164" fontId="3" fillId="6" borderId="31" xfId="1" applyNumberFormat="1" applyFont="1" applyFill="1" applyBorder="1" applyAlignment="1">
      <alignment horizontal="center" vertical="center"/>
    </xf>
    <xf numFmtId="0" fontId="3" fillId="0" borderId="22" xfId="1" applyNumberFormat="1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horizontal="left" vertical="center"/>
    </xf>
    <xf numFmtId="43" fontId="3" fillId="0" borderId="17" xfId="1" applyNumberFormat="1" applyFont="1" applyFill="1" applyBorder="1" applyAlignment="1">
      <alignment horizontal="left" vertical="center"/>
    </xf>
    <xf numFmtId="10" fontId="2" fillId="7" borderId="17" xfId="2" applyNumberFormat="1" applyFont="1" applyFill="1" applyBorder="1" applyAlignment="1">
      <alignment horizontal="center" vertical="center"/>
    </xf>
    <xf numFmtId="164" fontId="3" fillId="6" borderId="15" xfId="1" applyNumberFormat="1" applyFont="1" applyFill="1" applyBorder="1" applyAlignment="1">
      <alignment horizontal="center" vertical="center"/>
    </xf>
    <xf numFmtId="168" fontId="3" fillId="6" borderId="15" xfId="1" applyNumberFormat="1" applyFont="1" applyFill="1" applyBorder="1" applyAlignment="1">
      <alignment horizontal="center" vertical="center"/>
    </xf>
    <xf numFmtId="168" fontId="3" fillId="6" borderId="20" xfId="1" applyNumberFormat="1" applyFont="1" applyFill="1" applyBorder="1" applyAlignment="1">
      <alignment horizontal="center" vertical="center"/>
    </xf>
    <xf numFmtId="43" fontId="3" fillId="6" borderId="17" xfId="1" applyFont="1" applyFill="1" applyBorder="1" applyAlignment="1">
      <alignment horizontal="center" vertical="center"/>
    </xf>
    <xf numFmtId="164" fontId="3" fillId="6" borderId="22" xfId="1" applyNumberFormat="1" applyFont="1" applyFill="1" applyBorder="1" applyAlignment="1">
      <alignment horizontal="center" vertical="center"/>
    </xf>
    <xf numFmtId="164" fontId="3" fillId="5" borderId="9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vertical="center"/>
    </xf>
    <xf numFmtId="164" fontId="3" fillId="0" borderId="5" xfId="1" applyNumberFormat="1" applyFont="1" applyFill="1" applyBorder="1" applyAlignment="1">
      <alignment horizontal="left" vertical="center"/>
    </xf>
    <xf numFmtId="164" fontId="2" fillId="0" borderId="29" xfId="1" applyNumberFormat="1" applyFont="1" applyFill="1" applyBorder="1" applyAlignment="1">
      <alignment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horizontal="center" vertical="center"/>
    </xf>
    <xf numFmtId="164" fontId="2" fillId="0" borderId="6" xfId="1" applyNumberFormat="1" applyFont="1" applyFill="1" applyBorder="1" applyAlignment="1">
      <alignment horizontal="center" vertical="center"/>
    </xf>
    <xf numFmtId="164" fontId="3" fillId="0" borderId="15" xfId="1" applyNumberFormat="1" applyFont="1" applyFill="1" applyBorder="1" applyAlignment="1">
      <alignment horizontal="left" vertical="center"/>
    </xf>
    <xf numFmtId="164" fontId="2" fillId="0" borderId="33" xfId="1" applyNumberFormat="1" applyFont="1" applyFill="1" applyBorder="1" applyAlignment="1">
      <alignment vertical="center"/>
    </xf>
    <xf numFmtId="43" fontId="2" fillId="0" borderId="34" xfId="1" applyNumberFormat="1" applyFont="1" applyFill="1" applyBorder="1" applyAlignment="1">
      <alignment vertical="center"/>
    </xf>
    <xf numFmtId="164" fontId="3" fillId="0" borderId="35" xfId="1" applyNumberFormat="1" applyFont="1" applyFill="1" applyBorder="1" applyAlignment="1">
      <alignment horizontal="center" vertical="center"/>
    </xf>
    <xf numFmtId="164" fontId="2" fillId="0" borderId="15" xfId="1" applyNumberFormat="1" applyFont="1" applyFill="1" applyBorder="1" applyAlignment="1">
      <alignment horizontal="center" vertical="center"/>
    </xf>
    <xf numFmtId="10" fontId="2" fillId="0" borderId="17" xfId="2" applyNumberFormat="1" applyFont="1" applyFill="1" applyBorder="1" applyAlignment="1">
      <alignment horizontal="center" vertical="center"/>
    </xf>
    <xf numFmtId="43" fontId="2" fillId="0" borderId="17" xfId="1" applyNumberFormat="1" applyFont="1" applyFill="1" applyBorder="1" applyAlignment="1">
      <alignment horizontal="center" vertical="center"/>
    </xf>
    <xf numFmtId="43" fontId="2" fillId="0" borderId="15" xfId="1" applyNumberFormat="1" applyFont="1" applyFill="1" applyBorder="1" applyAlignment="1">
      <alignment horizontal="center" vertical="center"/>
    </xf>
    <xf numFmtId="165" fontId="2" fillId="0" borderId="11" xfId="1" applyNumberFormat="1" applyFont="1" applyFill="1" applyBorder="1" applyAlignment="1">
      <alignment horizontal="center" vertical="center"/>
    </xf>
    <xf numFmtId="165" fontId="2" fillId="0" borderId="6" xfId="1" applyNumberFormat="1" applyFont="1" applyFill="1" applyBorder="1" applyAlignment="1">
      <alignment horizontal="center" vertical="center"/>
    </xf>
    <xf numFmtId="43" fontId="2" fillId="0" borderId="14" xfId="1" applyFont="1" applyFill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164" fontId="3" fillId="0" borderId="9" xfId="1" applyNumberFormat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/>
    </xf>
    <xf numFmtId="164" fontId="3" fillId="0" borderId="16" xfId="1" applyNumberFormat="1" applyFont="1" applyFill="1" applyBorder="1" applyAlignment="1">
      <alignment horizontal="center" vertical="center"/>
    </xf>
    <xf numFmtId="43" fontId="2" fillId="4" borderId="17" xfId="1" applyNumberFormat="1" applyFont="1" applyFill="1" applyBorder="1" applyAlignment="1">
      <alignment vertical="center"/>
    </xf>
    <xf numFmtId="10" fontId="2" fillId="4" borderId="17" xfId="2" applyNumberFormat="1" applyFont="1" applyFill="1" applyBorder="1" applyAlignment="1">
      <alignment horizontal="center" vertical="center"/>
    </xf>
    <xf numFmtId="43" fontId="2" fillId="4" borderId="9" xfId="1" applyNumberFormat="1" applyFont="1" applyFill="1" applyBorder="1" applyAlignment="1">
      <alignment horizontal="center" vertical="center"/>
    </xf>
    <xf numFmtId="165" fontId="2" fillId="4" borderId="22" xfId="1" applyNumberFormat="1" applyFont="1" applyFill="1" applyBorder="1" applyAlignment="1">
      <alignment horizontal="center" vertical="center"/>
    </xf>
    <xf numFmtId="165" fontId="2" fillId="4" borderId="21" xfId="1" applyNumberFormat="1" applyFont="1" applyFill="1" applyBorder="1" applyAlignment="1">
      <alignment horizontal="center" vertical="center"/>
    </xf>
    <xf numFmtId="43" fontId="2" fillId="4" borderId="17" xfId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vertical="center" wrapText="1"/>
    </xf>
    <xf numFmtId="164" fontId="2" fillId="5" borderId="17" xfId="1" applyNumberFormat="1" applyFont="1" applyFill="1" applyBorder="1" applyAlignment="1">
      <alignment horizontal="center" vertical="center"/>
    </xf>
    <xf numFmtId="164" fontId="2" fillId="6" borderId="17" xfId="1" applyNumberFormat="1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vertical="center" wrapText="1"/>
    </xf>
    <xf numFmtId="0" fontId="3" fillId="4" borderId="15" xfId="1" applyNumberFormat="1" applyFont="1" applyFill="1" applyBorder="1" applyAlignment="1">
      <alignment horizontal="center" vertical="center"/>
    </xf>
    <xf numFmtId="164" fontId="3" fillId="0" borderId="17" xfId="1" applyNumberFormat="1" applyFont="1" applyFill="1" applyBorder="1" applyAlignment="1">
      <alignment vertical="center"/>
    </xf>
    <xf numFmtId="164" fontId="3" fillId="0" borderId="16" xfId="1" applyNumberFormat="1" applyFont="1" applyFill="1" applyBorder="1" applyAlignment="1">
      <alignment vertical="center"/>
    </xf>
    <xf numFmtId="168" fontId="3" fillId="6" borderId="15" xfId="1" applyNumberFormat="1" applyFont="1" applyFill="1" applyBorder="1" applyAlignment="1">
      <alignment vertical="center"/>
    </xf>
    <xf numFmtId="168" fontId="3" fillId="6" borderId="17" xfId="1" applyNumberFormat="1" applyFont="1" applyFill="1" applyBorder="1" applyAlignment="1">
      <alignment vertical="center"/>
    </xf>
    <xf numFmtId="9" fontId="3" fillId="7" borderId="17" xfId="2" applyNumberFormat="1" applyFont="1" applyFill="1" applyBorder="1" applyAlignment="1">
      <alignment horizontal="center" vertical="center"/>
    </xf>
    <xf numFmtId="164" fontId="3" fillId="6" borderId="19" xfId="1" applyNumberFormat="1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vertical="center" wrapText="1"/>
    </xf>
    <xf numFmtId="168" fontId="3" fillId="6" borderId="21" xfId="1" applyNumberFormat="1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vertical="center" wrapText="1"/>
    </xf>
    <xf numFmtId="164" fontId="2" fillId="5" borderId="15" xfId="1" applyNumberFormat="1" applyFont="1" applyFill="1" applyBorder="1" applyAlignment="1">
      <alignment vertical="center"/>
    </xf>
    <xf numFmtId="164" fontId="2" fillId="5" borderId="17" xfId="1" applyNumberFormat="1" applyFont="1" applyFill="1" applyBorder="1" applyAlignment="1">
      <alignment vertical="center"/>
    </xf>
    <xf numFmtId="164" fontId="2" fillId="5" borderId="21" xfId="1" applyNumberFormat="1" applyFont="1" applyFill="1" applyBorder="1" applyAlignment="1">
      <alignment vertical="center"/>
    </xf>
    <xf numFmtId="0" fontId="3" fillId="4" borderId="16" xfId="0" applyFont="1" applyFill="1" applyBorder="1" applyAlignment="1">
      <alignment vertical="center" wrapText="1"/>
    </xf>
    <xf numFmtId="0" fontId="2" fillId="4" borderId="38" xfId="0" applyFont="1" applyFill="1" applyBorder="1" applyAlignment="1">
      <alignment vertical="center" wrapText="1"/>
    </xf>
    <xf numFmtId="164" fontId="3" fillId="6" borderId="15" xfId="1" applyNumberFormat="1" applyFont="1" applyFill="1" applyBorder="1" applyAlignment="1">
      <alignment vertical="center"/>
    </xf>
    <xf numFmtId="0" fontId="3" fillId="0" borderId="15" xfId="1" applyNumberFormat="1" applyFont="1" applyFill="1" applyBorder="1" applyAlignment="1">
      <alignment horizontal="center" vertical="center"/>
    </xf>
    <xf numFmtId="164" fontId="3" fillId="0" borderId="15" xfId="1" applyNumberFormat="1" applyFont="1" applyFill="1" applyBorder="1" applyAlignment="1">
      <alignment vertical="center"/>
    </xf>
    <xf numFmtId="43" fontId="3" fillId="0" borderId="15" xfId="1" applyNumberFormat="1" applyFont="1" applyFill="1" applyBorder="1" applyAlignment="1">
      <alignment horizontal="left" vertical="center"/>
    </xf>
    <xf numFmtId="164" fontId="3" fillId="6" borderId="17" xfId="1" applyNumberFormat="1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vertical="center"/>
    </xf>
    <xf numFmtId="168" fontId="3" fillId="6" borderId="22" xfId="1" applyNumberFormat="1" applyFont="1" applyFill="1" applyBorder="1" applyAlignment="1">
      <alignment horizontal="center" vertical="center"/>
    </xf>
    <xf numFmtId="164" fontId="2" fillId="0" borderId="15" xfId="1" applyNumberFormat="1" applyFont="1" applyFill="1" applyBorder="1" applyAlignment="1">
      <alignment vertical="center"/>
    </xf>
    <xf numFmtId="164" fontId="2" fillId="0" borderId="21" xfId="1" applyNumberFormat="1" applyFont="1" applyFill="1" applyBorder="1" applyAlignment="1">
      <alignment vertical="center"/>
    </xf>
    <xf numFmtId="164" fontId="2" fillId="0" borderId="17" xfId="1" applyNumberFormat="1" applyFont="1" applyFill="1" applyBorder="1" applyAlignment="1">
      <alignment horizontal="center" vertical="center"/>
    </xf>
    <xf numFmtId="164" fontId="2" fillId="0" borderId="21" xfId="1" applyNumberFormat="1" applyFont="1" applyFill="1" applyBorder="1" applyAlignment="1">
      <alignment horizontal="center" vertical="center"/>
    </xf>
    <xf numFmtId="164" fontId="2" fillId="0" borderId="16" xfId="1" applyNumberFormat="1" applyFont="1" applyFill="1" applyBorder="1" applyAlignment="1">
      <alignment horizontal="center" vertical="center"/>
    </xf>
    <xf numFmtId="43" fontId="2" fillId="0" borderId="17" xfId="1" applyNumberFormat="1" applyFont="1" applyFill="1" applyBorder="1" applyAlignment="1">
      <alignment vertical="center"/>
    </xf>
    <xf numFmtId="165" fontId="2" fillId="0" borderId="22" xfId="1" applyNumberFormat="1" applyFont="1" applyFill="1" applyBorder="1" applyAlignment="1">
      <alignment horizontal="center" vertical="center"/>
    </xf>
    <xf numFmtId="165" fontId="2" fillId="0" borderId="16" xfId="1" applyNumberFormat="1" applyFont="1" applyFill="1" applyBorder="1" applyAlignment="1">
      <alignment horizontal="center" vertical="center"/>
    </xf>
    <xf numFmtId="43" fontId="2" fillId="0" borderId="19" xfId="1" applyFont="1" applyFill="1" applyBorder="1" applyAlignment="1">
      <alignment horizontal="center" vertical="center"/>
    </xf>
    <xf numFmtId="164" fontId="3" fillId="0" borderId="15" xfId="1" applyNumberFormat="1" applyFont="1" applyFill="1" applyBorder="1" applyAlignment="1">
      <alignment horizontal="center" vertical="center"/>
    </xf>
    <xf numFmtId="164" fontId="3" fillId="0" borderId="19" xfId="1" applyNumberFormat="1" applyFont="1" applyFill="1" applyBorder="1" applyAlignment="1">
      <alignment horizontal="center" vertical="center"/>
    </xf>
    <xf numFmtId="164" fontId="3" fillId="4" borderId="16" xfId="1" applyNumberFormat="1" applyFont="1" applyFill="1" applyBorder="1" applyAlignment="1">
      <alignment vertical="center"/>
    </xf>
    <xf numFmtId="43" fontId="2" fillId="4" borderId="15" xfId="1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164" fontId="3" fillId="7" borderId="15" xfId="1" applyNumberFormat="1" applyFont="1" applyFill="1" applyBorder="1" applyAlignment="1">
      <alignment horizontal="center" vertical="center"/>
    </xf>
    <xf numFmtId="10" fontId="3" fillId="7" borderId="17" xfId="2" applyNumberFormat="1" applyFont="1" applyFill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43" fontId="2" fillId="5" borderId="17" xfId="1" applyNumberFormat="1" applyFont="1" applyFill="1" applyBorder="1" applyAlignment="1">
      <alignment vertical="center"/>
    </xf>
    <xf numFmtId="0" fontId="12" fillId="0" borderId="0" xfId="0" applyFont="1" applyFill="1" applyAlignment="1">
      <alignment horizontal="left" vertical="top"/>
    </xf>
    <xf numFmtId="0" fontId="2" fillId="0" borderId="15" xfId="1" applyNumberFormat="1" applyFont="1" applyFill="1" applyBorder="1" applyAlignment="1">
      <alignment horizontal="center" vertical="center"/>
    </xf>
    <xf numFmtId="164" fontId="2" fillId="0" borderId="19" xfId="1" applyNumberFormat="1" applyFont="1" applyFill="1" applyBorder="1" applyAlignment="1">
      <alignment horizontal="center" vertical="center"/>
    </xf>
    <xf numFmtId="164" fontId="2" fillId="0" borderId="9" xfId="1" applyNumberFormat="1" applyFont="1" applyFill="1" applyBorder="1" applyAlignment="1">
      <alignment horizontal="center" vertical="center"/>
    </xf>
    <xf numFmtId="164" fontId="13" fillId="2" borderId="0" xfId="1" applyNumberFormat="1" applyFont="1" applyFill="1" applyBorder="1" applyAlignment="1">
      <alignment vertical="center"/>
    </xf>
    <xf numFmtId="0" fontId="13" fillId="4" borderId="15" xfId="1" applyNumberFormat="1" applyFont="1" applyFill="1" applyBorder="1" applyAlignment="1">
      <alignment horizontal="center" vertical="center"/>
    </xf>
    <xf numFmtId="164" fontId="13" fillId="4" borderId="16" xfId="1" applyNumberFormat="1" applyFont="1" applyFill="1" applyBorder="1" applyAlignment="1">
      <alignment vertical="center"/>
    </xf>
    <xf numFmtId="164" fontId="13" fillId="6" borderId="15" xfId="1" applyNumberFormat="1" applyFont="1" applyFill="1" applyBorder="1" applyAlignment="1">
      <alignment vertical="center"/>
    </xf>
    <xf numFmtId="164" fontId="13" fillId="6" borderId="17" xfId="1" applyNumberFormat="1" applyFont="1" applyFill="1" applyBorder="1" applyAlignment="1">
      <alignment vertical="center"/>
    </xf>
    <xf numFmtId="164" fontId="13" fillId="6" borderId="21" xfId="1" applyNumberFormat="1" applyFont="1" applyFill="1" applyBorder="1" applyAlignment="1">
      <alignment vertical="center"/>
    </xf>
    <xf numFmtId="164" fontId="13" fillId="6" borderId="16" xfId="1" applyNumberFormat="1" applyFont="1" applyFill="1" applyBorder="1" applyAlignment="1">
      <alignment horizontal="center" vertical="center"/>
    </xf>
    <xf numFmtId="164" fontId="13" fillId="0" borderId="15" xfId="1" applyNumberFormat="1" applyFont="1" applyFill="1" applyBorder="1" applyAlignment="1">
      <alignment horizontal="left" vertical="center"/>
    </xf>
    <xf numFmtId="0" fontId="13" fillId="0" borderId="22" xfId="1" applyNumberFormat="1" applyFont="1" applyFill="1" applyBorder="1" applyAlignment="1">
      <alignment horizontal="center" vertical="center"/>
    </xf>
    <xf numFmtId="164" fontId="13" fillId="0" borderId="17" xfId="1" applyNumberFormat="1" applyFont="1" applyFill="1" applyBorder="1" applyAlignment="1">
      <alignment horizontal="center" vertical="center"/>
    </xf>
    <xf numFmtId="164" fontId="13" fillId="0" borderId="16" xfId="1" applyNumberFormat="1" applyFont="1" applyFill="1" applyBorder="1" applyAlignment="1">
      <alignment vertical="center"/>
    </xf>
    <xf numFmtId="164" fontId="13" fillId="0" borderId="17" xfId="1" applyNumberFormat="1" applyFont="1" applyFill="1" applyBorder="1" applyAlignment="1">
      <alignment horizontal="left" vertical="center"/>
    </xf>
    <xf numFmtId="43" fontId="13" fillId="0" borderId="17" xfId="1" applyNumberFormat="1" applyFont="1" applyFill="1" applyBorder="1" applyAlignment="1">
      <alignment horizontal="left" vertical="center"/>
    </xf>
    <xf numFmtId="164" fontId="13" fillId="6" borderId="15" xfId="1" applyNumberFormat="1" applyFont="1" applyFill="1" applyBorder="1" applyAlignment="1">
      <alignment horizontal="center" vertical="center"/>
    </xf>
    <xf numFmtId="164" fontId="13" fillId="6" borderId="17" xfId="1" applyNumberFormat="1" applyFont="1" applyFill="1" applyBorder="1" applyAlignment="1">
      <alignment horizontal="center" vertical="center"/>
    </xf>
    <xf numFmtId="164" fontId="13" fillId="7" borderId="15" xfId="1" applyNumberFormat="1" applyFont="1" applyFill="1" applyBorder="1" applyAlignment="1">
      <alignment horizontal="center" vertical="center"/>
    </xf>
    <xf numFmtId="10" fontId="13" fillId="7" borderId="17" xfId="2" applyNumberFormat="1" applyFont="1" applyFill="1" applyBorder="1" applyAlignment="1">
      <alignment horizontal="center" vertical="center"/>
    </xf>
    <xf numFmtId="168" fontId="13" fillId="6" borderId="17" xfId="1" applyNumberFormat="1" applyFont="1" applyFill="1" applyBorder="1" applyAlignment="1">
      <alignment horizontal="center" vertical="center"/>
    </xf>
    <xf numFmtId="43" fontId="13" fillId="6" borderId="17" xfId="1" applyFont="1" applyFill="1" applyBorder="1" applyAlignment="1">
      <alignment horizontal="center" vertical="center"/>
    </xf>
    <xf numFmtId="164" fontId="13" fillId="5" borderId="9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164" fontId="9" fillId="0" borderId="21" xfId="1" applyNumberFormat="1" applyFont="1" applyBorder="1" applyAlignment="1">
      <alignment vertical="center"/>
    </xf>
    <xf numFmtId="164" fontId="8" fillId="2" borderId="17" xfId="1" applyNumberFormat="1" applyFont="1" applyFill="1" applyBorder="1" applyAlignment="1">
      <alignment vertical="center"/>
    </xf>
    <xf numFmtId="164" fontId="8" fillId="2" borderId="22" xfId="1" applyNumberFormat="1" applyFont="1" applyFill="1" applyBorder="1" applyAlignment="1">
      <alignment vertical="center"/>
    </xf>
    <xf numFmtId="164" fontId="9" fillId="2" borderId="17" xfId="1" applyNumberFormat="1" applyFont="1" applyFill="1" applyBorder="1" applyAlignment="1">
      <alignment vertical="center"/>
    </xf>
    <xf numFmtId="164" fontId="8" fillId="2" borderId="21" xfId="1" applyNumberFormat="1" applyFont="1" applyFill="1" applyBorder="1" applyAlignment="1">
      <alignment vertical="center"/>
    </xf>
    <xf numFmtId="164" fontId="8" fillId="2" borderId="16" xfId="1" applyNumberFormat="1" applyFont="1" applyFill="1" applyBorder="1" applyAlignment="1">
      <alignment vertical="center"/>
    </xf>
    <xf numFmtId="164" fontId="8" fillId="2" borderId="17" xfId="1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14" fillId="4" borderId="17" xfId="0" applyFont="1" applyFill="1" applyBorder="1" applyAlignment="1">
      <alignment horizontal="left" wrapText="1" indent="1"/>
    </xf>
    <xf numFmtId="164" fontId="2" fillId="5" borderId="22" xfId="1" applyNumberFormat="1" applyFont="1" applyFill="1" applyBorder="1" applyAlignment="1">
      <alignment vertical="center"/>
    </xf>
    <xf numFmtId="164" fontId="2" fillId="5" borderId="17" xfId="1" applyNumberFormat="1" applyFont="1" applyFill="1" applyBorder="1" applyAlignment="1">
      <alignment horizontal="right" indent="3"/>
    </xf>
    <xf numFmtId="164" fontId="2" fillId="4" borderId="28" xfId="1" applyNumberFormat="1" applyFont="1" applyFill="1" applyBorder="1" applyAlignment="1">
      <alignment vertical="center"/>
    </xf>
    <xf numFmtId="164" fontId="3" fillId="6" borderId="21" xfId="1" applyNumberFormat="1" applyFont="1" applyFill="1" applyBorder="1" applyAlignment="1">
      <alignment vertical="center"/>
    </xf>
    <xf numFmtId="164" fontId="3" fillId="6" borderId="17" xfId="1" applyNumberFormat="1" applyFont="1" applyFill="1" applyBorder="1" applyAlignment="1">
      <alignment horizontal="center" vertical="center"/>
    </xf>
    <xf numFmtId="164" fontId="2" fillId="4" borderId="29" xfId="1" applyNumberFormat="1" applyFont="1" applyFill="1" applyBorder="1" applyAlignment="1">
      <alignment vertical="center"/>
    </xf>
    <xf numFmtId="164" fontId="2" fillId="5" borderId="39" xfId="1" applyNumberFormat="1" applyFont="1" applyFill="1" applyBorder="1" applyAlignment="1">
      <alignment horizontal="right" wrapText="1"/>
    </xf>
    <xf numFmtId="164" fontId="2" fillId="5" borderId="39" xfId="1" applyNumberFormat="1" applyFont="1" applyFill="1" applyBorder="1" applyAlignment="1">
      <alignment horizontal="center" wrapText="1"/>
    </xf>
    <xf numFmtId="164" fontId="3" fillId="4" borderId="15" xfId="1" applyNumberFormat="1" applyFont="1" applyFill="1" applyBorder="1" applyAlignment="1">
      <alignment vertical="center"/>
    </xf>
    <xf numFmtId="164" fontId="13" fillId="4" borderId="15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43" fontId="2" fillId="0" borderId="0" xfId="1" applyNumberFormat="1" applyFont="1" applyFill="1" applyBorder="1" applyAlignment="1">
      <alignment horizontal="left" vertical="center"/>
    </xf>
    <xf numFmtId="43" fontId="2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10" fontId="2" fillId="0" borderId="0" xfId="2" applyNumberFormat="1" applyFont="1" applyFill="1" applyBorder="1" applyAlignment="1">
      <alignment horizontal="center" vertical="center"/>
    </xf>
    <xf numFmtId="43" fontId="2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164" fontId="9" fillId="0" borderId="22" xfId="1" applyNumberFormat="1" applyFont="1" applyBorder="1" applyAlignment="1">
      <alignment vertical="center"/>
    </xf>
    <xf numFmtId="164" fontId="8" fillId="0" borderId="17" xfId="1" applyNumberFormat="1" applyFont="1" applyBorder="1" applyAlignment="1">
      <alignment vertical="center"/>
    </xf>
    <xf numFmtId="164" fontId="9" fillId="0" borderId="17" xfId="1" applyNumberFormat="1" applyFont="1" applyBorder="1" applyAlignment="1">
      <alignment vertical="center"/>
    </xf>
    <xf numFmtId="164" fontId="8" fillId="0" borderId="17" xfId="1" applyNumberFormat="1" applyFont="1" applyBorder="1" applyAlignment="1">
      <alignment horizontal="right" vertical="center"/>
    </xf>
    <xf numFmtId="164" fontId="8" fillId="0" borderId="17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0" fontId="2" fillId="4" borderId="21" xfId="0" applyFont="1" applyFill="1" applyBorder="1" applyAlignment="1">
      <alignment vertical="center" wrapText="1"/>
    </xf>
    <xf numFmtId="164" fontId="2" fillId="5" borderId="17" xfId="1" applyNumberFormat="1" applyFont="1" applyFill="1" applyBorder="1"/>
    <xf numFmtId="0" fontId="2" fillId="4" borderId="40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vertical="center" wrapText="1"/>
    </xf>
    <xf numFmtId="3" fontId="2" fillId="5" borderId="17" xfId="0" applyNumberFormat="1" applyFont="1" applyFill="1" applyBorder="1"/>
    <xf numFmtId="3" fontId="2" fillId="5" borderId="17" xfId="0" applyNumberFormat="1" applyFont="1" applyFill="1" applyBorder="1" applyAlignment="1">
      <alignment horizontal="right" vertical="top" wrapText="1"/>
    </xf>
    <xf numFmtId="0" fontId="3" fillId="4" borderId="28" xfId="0" applyNumberFormat="1" applyFont="1" applyFill="1" applyBorder="1" applyAlignment="1">
      <alignment vertical="center" wrapText="1"/>
    </xf>
    <xf numFmtId="0" fontId="3" fillId="4" borderId="29" xfId="0" applyNumberFormat="1" applyFont="1" applyFill="1" applyBorder="1" applyAlignment="1">
      <alignment vertical="center" wrapText="1"/>
    </xf>
    <xf numFmtId="0" fontId="3" fillId="4" borderId="16" xfId="1" applyNumberFormat="1" applyFont="1" applyFill="1" applyBorder="1" applyAlignment="1">
      <alignment horizontal="left" vertical="center"/>
    </xf>
    <xf numFmtId="0" fontId="3" fillId="4" borderId="16" xfId="1" applyNumberFormat="1" applyFont="1" applyFill="1" applyBorder="1" applyAlignment="1">
      <alignment vertical="center"/>
    </xf>
    <xf numFmtId="0" fontId="3" fillId="4" borderId="16" xfId="0" applyNumberFormat="1" applyFont="1" applyFill="1" applyBorder="1" applyAlignment="1">
      <alignment vertical="center" wrapText="1"/>
    </xf>
    <xf numFmtId="0" fontId="2" fillId="4" borderId="36" xfId="0" applyNumberFormat="1" applyFont="1" applyFill="1" applyBorder="1" applyAlignment="1">
      <alignment vertical="center" wrapText="1"/>
    </xf>
    <xf numFmtId="0" fontId="2" fillId="4" borderId="28" xfId="0" applyNumberFormat="1" applyFont="1" applyFill="1" applyBorder="1" applyAlignment="1">
      <alignment vertical="center" wrapText="1"/>
    </xf>
    <xf numFmtId="0" fontId="3" fillId="4" borderId="28" xfId="0" applyNumberFormat="1" applyFont="1" applyFill="1" applyBorder="1" applyAlignment="1">
      <alignment horizontal="left" vertical="center" wrapText="1"/>
    </xf>
    <xf numFmtId="0" fontId="3" fillId="4" borderId="37" xfId="0" applyNumberFormat="1" applyFont="1" applyFill="1" applyBorder="1" applyAlignment="1">
      <alignment horizontal="left" vertical="center" wrapText="1"/>
    </xf>
    <xf numFmtId="0" fontId="2" fillId="4" borderId="16" xfId="0" applyNumberFormat="1" applyFont="1" applyFill="1" applyBorder="1" applyAlignment="1">
      <alignment horizontal="left" vertical="center" wrapText="1"/>
    </xf>
    <xf numFmtId="0" fontId="3" fillId="4" borderId="16" xfId="0" applyNumberFormat="1" applyFont="1" applyFill="1" applyBorder="1" applyAlignment="1">
      <alignment horizontal="left" vertical="center" wrapText="1"/>
    </xf>
    <xf numFmtId="0" fontId="3" fillId="4" borderId="38" xfId="0" applyNumberFormat="1" applyFont="1" applyFill="1" applyBorder="1" applyAlignment="1">
      <alignment horizontal="left" vertical="center" wrapText="1"/>
    </xf>
    <xf numFmtId="0" fontId="2" fillId="4" borderId="16" xfId="1" applyNumberFormat="1" applyFont="1" applyFill="1" applyBorder="1" applyAlignment="1">
      <alignment horizontal="left" vertical="center"/>
    </xf>
    <xf numFmtId="164" fontId="9" fillId="2" borderId="0" xfId="1" applyNumberFormat="1" applyFont="1" applyFill="1" applyBorder="1" applyAlignment="1">
      <alignment vertical="center"/>
    </xf>
    <xf numFmtId="164" fontId="9" fillId="4" borderId="30" xfId="1" applyNumberFormat="1" applyFont="1" applyFill="1" applyBorder="1" applyAlignment="1">
      <alignment vertical="center"/>
    </xf>
    <xf numFmtId="164" fontId="9" fillId="4" borderId="31" xfId="1" applyNumberFormat="1" applyFont="1" applyFill="1" applyBorder="1" applyAlignment="1">
      <alignment vertical="center" wrapText="1"/>
    </xf>
    <xf numFmtId="164" fontId="13" fillId="6" borderId="30" xfId="1" applyNumberFormat="1" applyFont="1" applyFill="1" applyBorder="1" applyAlignment="1">
      <alignment vertical="center"/>
    </xf>
    <xf numFmtId="164" fontId="9" fillId="6" borderId="30" xfId="1" applyNumberFormat="1" applyFont="1" applyFill="1" applyBorder="1" applyAlignment="1">
      <alignment vertical="center"/>
    </xf>
    <xf numFmtId="164" fontId="9" fillId="0" borderId="0" xfId="1" applyNumberFormat="1" applyFont="1" applyBorder="1" applyAlignment="1">
      <alignment vertical="center"/>
    </xf>
    <xf numFmtId="164" fontId="3" fillId="4" borderId="21" xfId="1" applyNumberFormat="1" applyFont="1" applyFill="1" applyBorder="1" applyAlignment="1">
      <alignment vertical="center"/>
    </xf>
    <xf numFmtId="0" fontId="2" fillId="4" borderId="29" xfId="0" applyNumberFormat="1" applyFont="1" applyFill="1" applyBorder="1" applyAlignment="1">
      <alignment vertical="center" wrapText="1"/>
    </xf>
    <xf numFmtId="0" fontId="2" fillId="4" borderId="16" xfId="1" applyNumberFormat="1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vertical="center" wrapText="1"/>
    </xf>
    <xf numFmtId="164" fontId="13" fillId="6" borderId="16" xfId="1" applyNumberFormat="1" applyFont="1" applyFill="1" applyBorder="1" applyAlignment="1">
      <alignment vertical="center"/>
    </xf>
    <xf numFmtId="0" fontId="2" fillId="4" borderId="17" xfId="1" applyNumberFormat="1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39" xfId="0" applyFont="1" applyFill="1" applyBorder="1" applyAlignment="1">
      <alignment vertical="top" wrapText="1"/>
    </xf>
    <xf numFmtId="164" fontId="2" fillId="4" borderId="38" xfId="1" applyNumberFormat="1" applyFont="1" applyFill="1" applyBorder="1" applyAlignment="1">
      <alignment vertical="center"/>
    </xf>
    <xf numFmtId="0" fontId="3" fillId="4" borderId="42" xfId="0" applyFont="1" applyFill="1" applyBorder="1" applyAlignment="1">
      <alignment vertical="center" wrapText="1"/>
    </xf>
    <xf numFmtId="0" fontId="3" fillId="4" borderId="41" xfId="0" applyFont="1" applyFill="1" applyBorder="1" applyAlignment="1">
      <alignment vertical="center" wrapText="1"/>
    </xf>
    <xf numFmtId="164" fontId="3" fillId="4" borderId="17" xfId="1" applyNumberFormat="1" applyFont="1" applyFill="1" applyBorder="1" applyAlignment="1">
      <alignment vertical="center"/>
    </xf>
    <xf numFmtId="164" fontId="9" fillId="6" borderId="21" xfId="1" applyNumberFormat="1" applyFont="1" applyFill="1" applyBorder="1" applyAlignment="1">
      <alignment vertical="center" wrapText="1"/>
    </xf>
    <xf numFmtId="164" fontId="7" fillId="6" borderId="30" xfId="1" applyNumberFormat="1" applyFont="1" applyFill="1" applyBorder="1" applyAlignment="1">
      <alignment horizontal="right" vertical="center"/>
    </xf>
    <xf numFmtId="164" fontId="9" fillId="6" borderId="30" xfId="1" applyNumberFormat="1" applyFont="1" applyFill="1" applyBorder="1" applyAlignment="1">
      <alignment horizontal="right" vertical="center"/>
    </xf>
    <xf numFmtId="164" fontId="15" fillId="6" borderId="30" xfId="1" applyNumberFormat="1" applyFont="1" applyFill="1" applyBorder="1" applyAlignment="1">
      <alignment horizontal="right" vertical="center"/>
    </xf>
    <xf numFmtId="164" fontId="13" fillId="6" borderId="30" xfId="1" applyNumberFormat="1" applyFont="1" applyFill="1" applyBorder="1" applyAlignment="1">
      <alignment horizontal="right" vertical="center"/>
    </xf>
    <xf numFmtId="164" fontId="2" fillId="3" borderId="43" xfId="1" applyNumberFormat="1" applyFont="1" applyFill="1" applyBorder="1" applyAlignment="1">
      <alignment horizontal="left" vertical="center"/>
    </xf>
    <xf numFmtId="164" fontId="2" fillId="3" borderId="44" xfId="1" applyNumberFormat="1" applyFont="1" applyFill="1" applyBorder="1" applyAlignment="1">
      <alignment horizontal="left" vertical="center"/>
    </xf>
    <xf numFmtId="164" fontId="2" fillId="3" borderId="4" xfId="1" applyNumberFormat="1" applyFont="1" applyFill="1" applyBorder="1" applyAlignment="1">
      <alignment horizontal="left" vertical="center"/>
    </xf>
    <xf numFmtId="164" fontId="2" fillId="3" borderId="45" xfId="1" applyNumberFormat="1" applyFont="1" applyFill="1" applyBorder="1" applyAlignment="1">
      <alignment horizontal="center" vertical="center" wrapText="1"/>
    </xf>
    <xf numFmtId="164" fontId="3" fillId="3" borderId="46" xfId="1" applyNumberFormat="1" applyFont="1" applyFill="1" applyBorder="1" applyAlignment="1">
      <alignment horizontal="left" vertical="center"/>
    </xf>
    <xf numFmtId="0" fontId="3" fillId="3" borderId="46" xfId="1" applyNumberFormat="1" applyFont="1" applyFill="1" applyBorder="1" applyAlignment="1">
      <alignment horizontal="center" vertical="center"/>
    </xf>
    <xf numFmtId="9" fontId="2" fillId="3" borderId="44" xfId="2" applyFont="1" applyFill="1" applyBorder="1" applyAlignment="1">
      <alignment horizontal="center" vertical="center"/>
    </xf>
    <xf numFmtId="164" fontId="2" fillId="3" borderId="47" xfId="1" applyNumberFormat="1" applyFont="1" applyFill="1" applyBorder="1" applyAlignment="1">
      <alignment horizontal="left" vertical="center"/>
    </xf>
    <xf numFmtId="9" fontId="2" fillId="3" borderId="44" xfId="2" applyFont="1" applyFill="1" applyBorder="1" applyAlignment="1">
      <alignment horizontal="left" vertical="center"/>
    </xf>
    <xf numFmtId="43" fontId="2" fillId="3" borderId="44" xfId="1" applyNumberFormat="1" applyFont="1" applyFill="1" applyBorder="1" applyAlignment="1">
      <alignment horizontal="left" vertical="center"/>
    </xf>
    <xf numFmtId="164" fontId="2" fillId="3" borderId="43" xfId="1" applyNumberFormat="1" applyFont="1" applyFill="1" applyBorder="1" applyAlignment="1">
      <alignment horizontal="center" vertical="center"/>
    </xf>
    <xf numFmtId="164" fontId="2" fillId="3" borderId="44" xfId="1" applyNumberFormat="1" applyFont="1" applyFill="1" applyBorder="1" applyAlignment="1">
      <alignment horizontal="center" vertical="center"/>
    </xf>
    <xf numFmtId="166" fontId="2" fillId="3" borderId="43" xfId="1" applyNumberFormat="1" applyFont="1" applyFill="1" applyBorder="1" applyAlignment="1">
      <alignment horizontal="center" vertical="center"/>
    </xf>
    <xf numFmtId="43" fontId="2" fillId="3" borderId="44" xfId="1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65" fontId="2" fillId="3" borderId="43" xfId="1" applyNumberFormat="1" applyFont="1" applyFill="1" applyBorder="1" applyAlignment="1">
      <alignment horizontal="center" vertical="center"/>
    </xf>
    <xf numFmtId="164" fontId="2" fillId="3" borderId="48" xfId="1" applyNumberFormat="1" applyFont="1" applyFill="1" applyBorder="1" applyAlignment="1">
      <alignment horizontal="center" vertical="center"/>
    </xf>
    <xf numFmtId="43" fontId="2" fillId="3" borderId="44" xfId="1" applyFont="1" applyFill="1" applyBorder="1" applyAlignment="1">
      <alignment horizontal="center" vertical="center"/>
    </xf>
    <xf numFmtId="164" fontId="2" fillId="3" borderId="46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164" fontId="2" fillId="3" borderId="47" xfId="1" applyNumberFormat="1" applyFont="1" applyFill="1" applyBorder="1" applyAlignment="1">
      <alignment horizontal="center" vertical="center"/>
    </xf>
    <xf numFmtId="164" fontId="2" fillId="3" borderId="45" xfId="1" applyNumberFormat="1" applyFont="1" applyFill="1" applyBorder="1" applyAlignment="1">
      <alignment horizontal="center" vertical="center"/>
    </xf>
    <xf numFmtId="164" fontId="8" fillId="2" borderId="5" xfId="1" applyNumberFormat="1" applyFont="1" applyFill="1" applyBorder="1" applyAlignment="1">
      <alignment horizontal="left" vertical="center"/>
    </xf>
    <xf numFmtId="164" fontId="8" fillId="2" borderId="7" xfId="1" applyNumberFormat="1" applyFont="1" applyFill="1" applyBorder="1" applyAlignment="1">
      <alignment horizontal="left" vertical="center"/>
    </xf>
    <xf numFmtId="164" fontId="9" fillId="2" borderId="7" xfId="1" applyNumberFormat="1" applyFont="1" applyFill="1" applyBorder="1" applyAlignment="1">
      <alignment horizontal="left" vertical="center"/>
    </xf>
    <xf numFmtId="164" fontId="8" fillId="2" borderId="6" xfId="1" applyNumberFormat="1" applyFont="1" applyFill="1" applyBorder="1" applyAlignment="1">
      <alignment horizontal="left" vertical="center"/>
    </xf>
    <xf numFmtId="164" fontId="8" fillId="2" borderId="5" xfId="1" applyNumberFormat="1" applyFont="1" applyFill="1" applyBorder="1" applyAlignment="1">
      <alignment horizontal="right" vertical="center"/>
    </xf>
    <xf numFmtId="164" fontId="8" fillId="2" borderId="7" xfId="1" applyNumberFormat="1" applyFont="1" applyFill="1" applyBorder="1" applyAlignment="1">
      <alignment horizontal="right" vertical="center"/>
    </xf>
    <xf numFmtId="9" fontId="8" fillId="2" borderId="7" xfId="2" applyFont="1" applyFill="1" applyBorder="1" applyAlignment="1">
      <alignment horizontal="center" vertical="center"/>
    </xf>
    <xf numFmtId="165" fontId="10" fillId="4" borderId="5" xfId="1" applyNumberFormat="1" applyFont="1" applyFill="1" applyBorder="1" applyAlignment="1">
      <alignment horizontal="center" vertical="center"/>
    </xf>
    <xf numFmtId="164" fontId="10" fillId="4" borderId="13" xfId="1" applyNumberFormat="1" applyFont="1" applyFill="1" applyBorder="1" applyAlignment="1">
      <alignment horizontal="center" vertical="center"/>
    </xf>
    <xf numFmtId="43" fontId="10" fillId="4" borderId="7" xfId="1" applyFont="1" applyFill="1" applyBorder="1" applyAlignment="1">
      <alignment horizontal="center" vertical="center"/>
    </xf>
    <xf numFmtId="164" fontId="10" fillId="4" borderId="11" xfId="1" applyNumberFormat="1" applyFont="1" applyFill="1" applyBorder="1" applyAlignment="1">
      <alignment horizontal="center" vertical="center"/>
    </xf>
    <xf numFmtId="164" fontId="10" fillId="4" borderId="14" xfId="1" applyNumberFormat="1" applyFont="1" applyFill="1" applyBorder="1" applyAlignment="1">
      <alignment horizontal="center" vertical="center"/>
    </xf>
    <xf numFmtId="164" fontId="10" fillId="4" borderId="6" xfId="1" applyNumberFormat="1" applyFont="1" applyFill="1" applyBorder="1" applyAlignment="1">
      <alignment horizontal="center" vertical="center"/>
    </xf>
    <xf numFmtId="164" fontId="3" fillId="5" borderId="22" xfId="1" applyNumberFormat="1" applyFont="1" applyFill="1" applyBorder="1" applyAlignment="1">
      <alignment horizontal="left" vertical="center"/>
    </xf>
    <xf numFmtId="0" fontId="2" fillId="5" borderId="22" xfId="1" applyNumberFormat="1" applyFont="1" applyFill="1" applyBorder="1" applyAlignment="1">
      <alignment horizontal="center" vertical="center"/>
    </xf>
    <xf numFmtId="164" fontId="2" fillId="5" borderId="16" xfId="1" applyNumberFormat="1" applyFont="1" applyFill="1" applyBorder="1" applyAlignment="1">
      <alignment vertical="center"/>
    </xf>
    <xf numFmtId="164" fontId="2" fillId="5" borderId="17" xfId="1" applyNumberFormat="1" applyFont="1" applyFill="1" applyBorder="1" applyAlignment="1">
      <alignment horizontal="left" vertical="center"/>
    </xf>
    <xf numFmtId="43" fontId="2" fillId="5" borderId="17" xfId="1" applyNumberFormat="1" applyFont="1" applyFill="1" applyBorder="1" applyAlignment="1">
      <alignment horizontal="left" vertical="center"/>
    </xf>
    <xf numFmtId="168" fontId="2" fillId="8" borderId="15" xfId="1" applyNumberFormat="1" applyFont="1" applyFill="1" applyBorder="1" applyAlignment="1">
      <alignment vertical="center"/>
    </xf>
    <xf numFmtId="168" fontId="2" fillId="8" borderId="17" xfId="1" applyNumberFormat="1" applyFont="1" applyFill="1" applyBorder="1" applyAlignment="1">
      <alignment vertical="center"/>
    </xf>
    <xf numFmtId="164" fontId="3" fillId="8" borderId="16" xfId="1" applyNumberFormat="1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19" xfId="1" applyNumberFormat="1" applyFont="1" applyFill="1" applyBorder="1" applyAlignment="1">
      <alignment horizontal="center" vertical="center"/>
    </xf>
    <xf numFmtId="164" fontId="3" fillId="6" borderId="22" xfId="1" applyNumberFormat="1" applyFont="1" applyFill="1" applyBorder="1" applyAlignment="1">
      <alignment horizontal="left" vertical="center"/>
    </xf>
    <xf numFmtId="0" fontId="3" fillId="6" borderId="22" xfId="1" applyNumberFormat="1" applyFont="1" applyFill="1" applyBorder="1" applyAlignment="1">
      <alignment horizontal="center" vertical="center"/>
    </xf>
    <xf numFmtId="164" fontId="3" fillId="6" borderId="17" xfId="1" applyNumberFormat="1" applyFont="1" applyFill="1" applyBorder="1" applyAlignment="1">
      <alignment horizontal="left" vertical="center"/>
    </xf>
    <xf numFmtId="43" fontId="3" fillId="6" borderId="17" xfId="1" applyNumberFormat="1" applyFont="1" applyFill="1" applyBorder="1" applyAlignment="1">
      <alignment horizontal="left" vertical="center"/>
    </xf>
    <xf numFmtId="164" fontId="3" fillId="5" borderId="15" xfId="1" applyNumberFormat="1" applyFont="1" applyFill="1" applyBorder="1" applyAlignment="1">
      <alignment horizontal="left" vertical="center"/>
    </xf>
    <xf numFmtId="0" fontId="2" fillId="4" borderId="17" xfId="0" applyFont="1" applyFill="1" applyBorder="1" applyAlignment="1">
      <alignment vertical="center" wrapText="1"/>
    </xf>
    <xf numFmtId="0" fontId="3" fillId="4" borderId="29" xfId="0" applyFont="1" applyFill="1" applyBorder="1" applyAlignment="1">
      <alignment vertical="center" wrapText="1"/>
    </xf>
    <xf numFmtId="0" fontId="3" fillId="5" borderId="22" xfId="1" applyNumberFormat="1" applyFont="1" applyFill="1" applyBorder="1" applyAlignment="1">
      <alignment horizontal="center" vertical="center"/>
    </xf>
    <xf numFmtId="164" fontId="3" fillId="6" borderId="15" xfId="1" applyNumberFormat="1" applyFont="1" applyFill="1" applyBorder="1" applyAlignment="1">
      <alignment horizontal="left" vertical="center"/>
    </xf>
    <xf numFmtId="0" fontId="3" fillId="6" borderId="15" xfId="1" applyNumberFormat="1" applyFont="1" applyFill="1" applyBorder="1" applyAlignment="1">
      <alignment horizontal="center" vertical="center"/>
    </xf>
    <xf numFmtId="43" fontId="3" fillId="6" borderId="15" xfId="1" applyNumberFormat="1" applyFont="1" applyFill="1" applyBorder="1" applyAlignment="1">
      <alignment horizontal="left" vertical="center"/>
    </xf>
    <xf numFmtId="164" fontId="2" fillId="5" borderId="19" xfId="1" applyNumberFormat="1" applyFont="1" applyFill="1" applyBorder="1" applyAlignment="1">
      <alignment vertical="center"/>
    </xf>
    <xf numFmtId="164" fontId="2" fillId="6" borderId="20" xfId="1" applyNumberFormat="1" applyFont="1" applyFill="1" applyBorder="1" applyAlignment="1">
      <alignment horizontal="center" vertical="center"/>
    </xf>
    <xf numFmtId="164" fontId="3" fillId="6" borderId="18" xfId="1" applyNumberFormat="1" applyFont="1" applyFill="1" applyBorder="1" applyAlignment="1">
      <alignment horizontal="center" vertical="center"/>
    </xf>
    <xf numFmtId="164" fontId="2" fillId="5" borderId="22" xfId="1" applyNumberFormat="1" applyFont="1" applyFill="1" applyBorder="1" applyAlignment="1">
      <alignment horizontal="center" vertical="center"/>
    </xf>
    <xf numFmtId="164" fontId="2" fillId="5" borderId="22" xfId="1" applyNumberFormat="1" applyFont="1" applyFill="1" applyBorder="1" applyAlignment="1">
      <alignment horizontal="left" vertical="center"/>
    </xf>
    <xf numFmtId="43" fontId="2" fillId="5" borderId="22" xfId="1" applyNumberFormat="1" applyFont="1" applyFill="1" applyBorder="1" applyAlignment="1">
      <alignment horizontal="left" vertical="center"/>
    </xf>
    <xf numFmtId="164" fontId="3" fillId="6" borderId="20" xfId="1" applyNumberFormat="1" applyFont="1" applyFill="1" applyBorder="1" applyAlignment="1">
      <alignment horizontal="center" vertical="center"/>
    </xf>
    <xf numFmtId="43" fontId="3" fillId="0" borderId="16" xfId="1" applyNumberFormat="1" applyFont="1" applyFill="1" applyBorder="1" applyAlignment="1">
      <alignment horizontal="center" vertical="center"/>
    </xf>
    <xf numFmtId="168" fontId="3" fillId="6" borderId="17" xfId="1" applyNumberFormat="1" applyFont="1" applyFill="1" applyBorder="1" applyAlignment="1">
      <alignment horizontal="center" vertical="center"/>
    </xf>
    <xf numFmtId="43" fontId="2" fillId="5" borderId="17" xfId="1" applyNumberFormat="1" applyFont="1" applyFill="1" applyBorder="1" applyAlignment="1">
      <alignment horizontal="center" vertical="center"/>
    </xf>
    <xf numFmtId="43" fontId="2" fillId="6" borderId="22" xfId="1" applyNumberFormat="1" applyFont="1" applyFill="1" applyBorder="1" applyAlignment="1">
      <alignment horizontal="center" vertical="center"/>
    </xf>
    <xf numFmtId="0" fontId="9" fillId="4" borderId="15" xfId="1" applyNumberFormat="1" applyFont="1" applyFill="1" applyBorder="1" applyAlignment="1">
      <alignment horizontal="center" vertical="center"/>
    </xf>
    <xf numFmtId="164" fontId="9" fillId="4" borderId="16" xfId="1" applyNumberFormat="1" applyFont="1" applyFill="1" applyBorder="1" applyAlignment="1">
      <alignment vertical="center"/>
    </xf>
    <xf numFmtId="164" fontId="9" fillId="6" borderId="15" xfId="1" applyNumberFormat="1" applyFont="1" applyFill="1" applyBorder="1" applyAlignment="1">
      <alignment vertical="center"/>
    </xf>
    <xf numFmtId="164" fontId="9" fillId="6" borderId="17" xfId="1" applyNumberFormat="1" applyFont="1" applyFill="1" applyBorder="1" applyAlignment="1">
      <alignment vertical="center"/>
    </xf>
    <xf numFmtId="164" fontId="9" fillId="6" borderId="21" xfId="1" applyNumberFormat="1" applyFont="1" applyFill="1" applyBorder="1" applyAlignment="1">
      <alignment vertical="center"/>
    </xf>
    <xf numFmtId="164" fontId="9" fillId="6" borderId="16" xfId="1" applyNumberFormat="1" applyFont="1" applyFill="1" applyBorder="1" applyAlignment="1">
      <alignment horizontal="center" vertical="center"/>
    </xf>
    <xf numFmtId="164" fontId="9" fillId="5" borderId="9" xfId="1" applyNumberFormat="1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left" wrapText="1" indent="1"/>
    </xf>
    <xf numFmtId="164" fontId="3" fillId="4" borderId="28" xfId="1" applyNumberFormat="1" applyFont="1" applyFill="1" applyBorder="1" applyAlignment="1">
      <alignment vertical="center"/>
    </xf>
    <xf numFmtId="43" fontId="3" fillId="6" borderId="15" xfId="1" applyFont="1" applyFill="1" applyBorder="1" applyAlignment="1">
      <alignment horizontal="center" vertical="center"/>
    </xf>
    <xf numFmtId="164" fontId="3" fillId="4" borderId="37" xfId="1" applyNumberFormat="1" applyFont="1" applyFill="1" applyBorder="1" applyAlignment="1">
      <alignment vertical="center"/>
    </xf>
    <xf numFmtId="164" fontId="2" fillId="0" borderId="19" xfId="1" applyNumberFormat="1" applyFont="1" applyFill="1" applyBorder="1" applyAlignment="1">
      <alignment vertical="center"/>
    </xf>
    <xf numFmtId="164" fontId="3" fillId="0" borderId="19" xfId="1" applyNumberFormat="1" applyFont="1" applyFill="1" applyBorder="1" applyAlignment="1">
      <alignment horizontal="left" vertical="center"/>
    </xf>
    <xf numFmtId="0" fontId="3" fillId="0" borderId="19" xfId="1" applyNumberFormat="1" applyFont="1" applyFill="1" applyBorder="1" applyAlignment="1">
      <alignment horizontal="center" vertical="center"/>
    </xf>
    <xf numFmtId="164" fontId="2" fillId="0" borderId="19" xfId="1" applyNumberFormat="1" applyFont="1" applyFill="1" applyBorder="1" applyAlignment="1">
      <alignment horizontal="left" vertical="center"/>
    </xf>
    <xf numFmtId="43" fontId="2" fillId="0" borderId="19" xfId="1" applyNumberFormat="1" applyFont="1" applyFill="1" applyBorder="1" applyAlignment="1">
      <alignment horizontal="left" vertical="center"/>
    </xf>
    <xf numFmtId="43" fontId="2" fillId="0" borderId="19" xfId="1" applyNumberFormat="1" applyFont="1" applyFill="1" applyBorder="1" applyAlignment="1">
      <alignment vertical="center"/>
    </xf>
    <xf numFmtId="10" fontId="2" fillId="0" borderId="19" xfId="2" applyNumberFormat="1" applyFont="1" applyFill="1" applyBorder="1" applyAlignment="1">
      <alignment horizontal="center" vertical="center"/>
    </xf>
    <xf numFmtId="43" fontId="2" fillId="0" borderId="19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horizontal="center" vertical="center"/>
    </xf>
    <xf numFmtId="164" fontId="3" fillId="2" borderId="19" xfId="1" applyNumberFormat="1" applyFont="1" applyFill="1" applyBorder="1" applyAlignment="1">
      <alignment horizontal="left" vertical="center"/>
    </xf>
    <xf numFmtId="0" fontId="3" fillId="2" borderId="19" xfId="1" applyNumberFormat="1" applyFont="1" applyFill="1" applyBorder="1" applyAlignment="1">
      <alignment horizontal="center" vertical="center"/>
    </xf>
    <xf numFmtId="164" fontId="2" fillId="2" borderId="19" xfId="1" applyNumberFormat="1" applyFont="1" applyFill="1" applyBorder="1" applyAlignment="1">
      <alignment horizontal="left" vertical="center"/>
    </xf>
    <xf numFmtId="43" fontId="2" fillId="2" borderId="19" xfId="1" applyNumberFormat="1" applyFont="1" applyFill="1" applyBorder="1" applyAlignment="1">
      <alignment horizontal="left" vertical="center"/>
    </xf>
    <xf numFmtId="43" fontId="2" fillId="2" borderId="19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horizontal="center" vertical="center"/>
    </xf>
    <xf numFmtId="10" fontId="2" fillId="2" borderId="19" xfId="2" applyNumberFormat="1" applyFont="1" applyFill="1" applyBorder="1" applyAlignment="1">
      <alignment horizontal="center" vertical="center"/>
    </xf>
    <xf numFmtId="43" fontId="2" fillId="2" borderId="19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43" fontId="2" fillId="2" borderId="19" xfId="1" applyFont="1" applyFill="1" applyBorder="1" applyAlignment="1">
      <alignment horizontal="center" vertical="center"/>
    </xf>
    <xf numFmtId="164" fontId="9" fillId="4" borderId="15" xfId="1" applyNumberFormat="1" applyFont="1" applyFill="1" applyBorder="1" applyAlignment="1">
      <alignment vertical="center"/>
    </xf>
    <xf numFmtId="0" fontId="2" fillId="0" borderId="19" xfId="1" applyNumberFormat="1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vertical="center" wrapText="1"/>
    </xf>
    <xf numFmtId="0" fontId="3" fillId="4" borderId="40" xfId="0" applyFont="1" applyFill="1" applyBorder="1" applyAlignment="1">
      <alignment vertical="center" wrapText="1"/>
    </xf>
    <xf numFmtId="164" fontId="3" fillId="0" borderId="0" xfId="1" applyNumberFormat="1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left" vertical="center"/>
    </xf>
    <xf numFmtId="0" fontId="3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left" vertical="center"/>
    </xf>
    <xf numFmtId="43" fontId="2" fillId="0" borderId="0" xfId="1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1" applyNumberFormat="1" applyFont="1" applyAlignment="1">
      <alignment vertical="center"/>
    </xf>
    <xf numFmtId="43" fontId="2" fillId="0" borderId="0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164" fontId="3" fillId="5" borderId="22" xfId="1" applyNumberFormat="1" applyFont="1" applyFill="1" applyBorder="1" applyAlignment="1">
      <alignment horizontal="center" vertical="center"/>
    </xf>
    <xf numFmtId="3" fontId="2" fillId="5" borderId="22" xfId="0" applyNumberFormat="1" applyFont="1" applyFill="1" applyBorder="1"/>
    <xf numFmtId="164" fontId="3" fillId="5" borderId="19" xfId="1" applyNumberFormat="1" applyFont="1" applyFill="1" applyBorder="1" applyAlignment="1">
      <alignment horizontal="center" vertical="center"/>
    </xf>
    <xf numFmtId="0" fontId="2" fillId="4" borderId="49" xfId="0" applyNumberFormat="1" applyFont="1" applyFill="1" applyBorder="1" applyAlignment="1">
      <alignment vertical="center" wrapText="1"/>
    </xf>
    <xf numFmtId="43" fontId="3" fillId="6" borderId="18" xfId="1" applyNumberFormat="1" applyFont="1" applyFill="1" applyBorder="1" applyAlignment="1">
      <alignment horizontal="center" vertical="center"/>
    </xf>
    <xf numFmtId="0" fontId="2" fillId="4" borderId="28" xfId="0" applyNumberFormat="1" applyFont="1" applyFill="1" applyBorder="1" applyAlignment="1">
      <alignment horizontal="left" vertical="center" wrapText="1"/>
    </xf>
    <xf numFmtId="0" fontId="2" fillId="4" borderId="37" xfId="0" applyNumberFormat="1" applyFont="1" applyFill="1" applyBorder="1" applyAlignment="1">
      <alignment horizontal="left" vertical="center" wrapText="1"/>
    </xf>
    <xf numFmtId="0" fontId="2" fillId="4" borderId="17" xfId="0" applyNumberFormat="1" applyFont="1" applyFill="1" applyBorder="1" applyAlignment="1">
      <alignment horizontal="left" vertical="center" wrapText="1"/>
    </xf>
    <xf numFmtId="0" fontId="2" fillId="4" borderId="38" xfId="0" applyNumberFormat="1" applyFont="1" applyFill="1" applyBorder="1" applyAlignment="1">
      <alignment horizontal="left" vertical="center" wrapText="1"/>
    </xf>
    <xf numFmtId="164" fontId="2" fillId="5" borderId="22" xfId="1" applyNumberFormat="1" applyFont="1" applyFill="1" applyBorder="1"/>
    <xf numFmtId="43" fontId="2" fillId="0" borderId="0" xfId="1" applyNumberFormat="1" applyFont="1" applyBorder="1" applyAlignment="1">
      <alignment vertical="center"/>
    </xf>
    <xf numFmtId="43" fontId="3" fillId="0" borderId="0" xfId="1" applyNumberFormat="1" applyFont="1" applyBorder="1" applyAlignment="1">
      <alignment horizontal="right" vertical="center"/>
    </xf>
    <xf numFmtId="164" fontId="13" fillId="4" borderId="30" xfId="1" applyNumberFormat="1" applyFont="1" applyFill="1" applyBorder="1" applyAlignment="1">
      <alignment vertical="center"/>
    </xf>
    <xf numFmtId="164" fontId="13" fillId="4" borderId="31" xfId="1" applyNumberFormat="1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NumberFormat="1" applyFont="1" applyFill="1" applyBorder="1" applyAlignment="1">
      <alignment vertical="center" wrapText="1"/>
    </xf>
    <xf numFmtId="164" fontId="3" fillId="5" borderId="19" xfId="1" applyNumberFormat="1" applyFont="1" applyFill="1" applyBorder="1" applyAlignment="1">
      <alignment horizontal="left" vertical="center"/>
    </xf>
    <xf numFmtId="0" fontId="2" fillId="5" borderId="19" xfId="1" applyNumberFormat="1" applyFont="1" applyFill="1" applyBorder="1" applyAlignment="1">
      <alignment horizontal="center" vertical="center"/>
    </xf>
    <xf numFmtId="164" fontId="2" fillId="5" borderId="21" xfId="1" applyNumberFormat="1" applyFont="1" applyFill="1" applyBorder="1" applyAlignment="1">
      <alignment horizontal="left" vertical="center"/>
    </xf>
    <xf numFmtId="43" fontId="2" fillId="5" borderId="21" xfId="1" applyNumberFormat="1" applyFont="1" applyFill="1" applyBorder="1" applyAlignment="1">
      <alignment horizontal="left" vertical="center"/>
    </xf>
    <xf numFmtId="0" fontId="2" fillId="4" borderId="42" xfId="0" applyFont="1" applyFill="1" applyBorder="1" applyAlignment="1">
      <alignment vertical="top" wrapText="1"/>
    </xf>
    <xf numFmtId="0" fontId="2" fillId="4" borderId="42" xfId="0" applyFont="1" applyFill="1" applyBorder="1" applyAlignment="1">
      <alignment vertical="center" wrapText="1"/>
    </xf>
    <xf numFmtId="43" fontId="2" fillId="0" borderId="0" xfId="1" applyFont="1" applyBorder="1" applyAlignment="1">
      <alignment vertical="center"/>
    </xf>
    <xf numFmtId="164" fontId="2" fillId="4" borderId="12" xfId="1" applyNumberFormat="1" applyFont="1" applyFill="1" applyBorder="1" applyAlignment="1">
      <alignment horizontal="center" vertical="center" wrapText="1"/>
    </xf>
    <xf numFmtId="164" fontId="2" fillId="4" borderId="11" xfId="1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3" xfId="1" applyNumberFormat="1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/>
    </xf>
    <xf numFmtId="164" fontId="4" fillId="9" borderId="3" xfId="1" applyNumberFormat="1" applyFont="1" applyFill="1" applyBorder="1" applyAlignment="1">
      <alignment vertical="center" wrapText="1"/>
    </xf>
    <xf numFmtId="164" fontId="6" fillId="10" borderId="2" xfId="1" applyNumberFormat="1" applyFont="1" applyFill="1" applyBorder="1" applyAlignment="1">
      <alignment vertical="center"/>
    </xf>
    <xf numFmtId="164" fontId="7" fillId="10" borderId="4" xfId="1" applyNumberFormat="1" applyFont="1" applyFill="1" applyBorder="1" applyAlignment="1">
      <alignment vertical="center" wrapText="1"/>
    </xf>
    <xf numFmtId="164" fontId="2" fillId="10" borderId="15" xfId="1" applyNumberFormat="1" applyFont="1" applyFill="1" applyBorder="1" applyAlignment="1">
      <alignment horizontal="left" vertical="center"/>
    </xf>
    <xf numFmtId="164" fontId="2" fillId="10" borderId="17" xfId="1" applyNumberFormat="1" applyFont="1" applyFill="1" applyBorder="1" applyAlignment="1">
      <alignment horizontal="left" vertical="center"/>
    </xf>
    <xf numFmtId="164" fontId="2" fillId="10" borderId="18" xfId="1" applyNumberFormat="1" applyFont="1" applyFill="1" applyBorder="1" applyAlignment="1">
      <alignment horizontal="left" vertical="center"/>
    </xf>
    <xf numFmtId="164" fontId="2" fillId="10" borderId="23" xfId="1" applyNumberFormat="1" applyFont="1" applyFill="1" applyBorder="1" applyAlignment="1">
      <alignment horizontal="left" vertical="center"/>
    </xf>
    <xf numFmtId="164" fontId="2" fillId="10" borderId="24" xfId="1" applyNumberFormat="1" applyFont="1" applyFill="1" applyBorder="1" applyAlignment="1">
      <alignment horizontal="left" vertical="center"/>
    </xf>
    <xf numFmtId="164" fontId="2" fillId="10" borderId="24" xfId="1" applyNumberFormat="1" applyFont="1" applyFill="1" applyBorder="1" applyAlignment="1">
      <alignment horizontal="center" vertical="center" wrapText="1"/>
    </xf>
    <xf numFmtId="164" fontId="2" fillId="10" borderId="9" xfId="1" applyNumberFormat="1" applyFont="1" applyFill="1" applyBorder="1" applyAlignment="1">
      <alignment horizontal="center" vertical="center" wrapText="1"/>
    </xf>
    <xf numFmtId="0" fontId="3" fillId="10" borderId="22" xfId="1" applyNumberFormat="1" applyFont="1" applyFill="1" applyBorder="1" applyAlignment="1">
      <alignment horizontal="center" vertical="center"/>
    </xf>
    <xf numFmtId="9" fontId="2" fillId="10" borderId="17" xfId="2" applyFont="1" applyFill="1" applyBorder="1" applyAlignment="1">
      <alignment horizontal="center" vertical="center"/>
    </xf>
    <xf numFmtId="164" fontId="2" fillId="10" borderId="16" xfId="1" applyNumberFormat="1" applyFont="1" applyFill="1" applyBorder="1" applyAlignment="1">
      <alignment horizontal="left" vertical="center"/>
    </xf>
    <xf numFmtId="9" fontId="2" fillId="10" borderId="17" xfId="2" applyFont="1" applyFill="1" applyBorder="1" applyAlignment="1">
      <alignment horizontal="left" vertical="center"/>
    </xf>
    <xf numFmtId="43" fontId="2" fillId="10" borderId="17" xfId="1" applyNumberFormat="1" applyFont="1" applyFill="1" applyBorder="1" applyAlignment="1">
      <alignment horizontal="left" vertical="center"/>
    </xf>
    <xf numFmtId="164" fontId="2" fillId="4" borderId="8" xfId="1" applyNumberFormat="1" applyFont="1" applyFill="1" applyBorder="1" applyAlignment="1">
      <alignment horizontal="center" vertical="center" wrapText="1"/>
    </xf>
    <xf numFmtId="164" fontId="3" fillId="4" borderId="10" xfId="1" applyNumberFormat="1" applyFont="1" applyFill="1" applyBorder="1" applyAlignment="1">
      <alignment horizontal="center" vertical="center"/>
    </xf>
    <xf numFmtId="164" fontId="3" fillId="4" borderId="14" xfId="1" applyNumberFormat="1" applyFont="1" applyFill="1" applyBorder="1" applyAlignment="1">
      <alignment horizontal="center" vertical="center" wrapText="1"/>
    </xf>
    <xf numFmtId="164" fontId="2" fillId="4" borderId="7" xfId="1" applyNumberFormat="1" applyFont="1" applyFill="1" applyBorder="1" applyAlignment="1">
      <alignment horizontal="left" vertical="center"/>
    </xf>
    <xf numFmtId="43" fontId="2" fillId="4" borderId="7" xfId="1" applyNumberFormat="1" applyFont="1" applyFill="1" applyBorder="1" applyAlignment="1">
      <alignment horizontal="center" vertical="center"/>
    </xf>
    <xf numFmtId="0" fontId="2" fillId="4" borderId="6" xfId="1" applyNumberFormat="1" applyFont="1" applyFill="1" applyBorder="1" applyAlignment="1">
      <alignment horizontal="center"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165" fontId="3" fillId="0" borderId="17" xfId="1" applyNumberFormat="1" applyFont="1" applyFill="1" applyBorder="1" applyAlignment="1">
      <alignment horizontal="left" vertical="center"/>
    </xf>
    <xf numFmtId="164" fontId="2" fillId="0" borderId="17" xfId="1" applyNumberFormat="1" applyFont="1" applyFill="1" applyBorder="1" applyAlignment="1">
      <alignment horizontal="left" vertical="center" wrapText="1"/>
    </xf>
    <xf numFmtId="9" fontId="2" fillId="0" borderId="17" xfId="2" applyFont="1" applyFill="1" applyBorder="1" applyAlignment="1">
      <alignment horizontal="center" vertical="center"/>
    </xf>
    <xf numFmtId="9" fontId="2" fillId="0" borderId="17" xfId="2" applyFont="1" applyFill="1" applyBorder="1" applyAlignment="1">
      <alignment horizontal="left" vertical="center"/>
    </xf>
    <xf numFmtId="164" fontId="2" fillId="4" borderId="50" xfId="1" applyNumberFormat="1" applyFont="1" applyFill="1" applyBorder="1" applyAlignment="1">
      <alignment horizontal="left" vertical="center"/>
    </xf>
    <xf numFmtId="164" fontId="2" fillId="4" borderId="51" xfId="1" applyNumberFormat="1" applyFont="1" applyFill="1" applyBorder="1" applyAlignment="1">
      <alignment horizontal="left" vertical="center"/>
    </xf>
    <xf numFmtId="164" fontId="2" fillId="4" borderId="1" xfId="1" applyNumberFormat="1" applyFont="1" applyFill="1" applyBorder="1" applyAlignment="1">
      <alignment horizontal="left" vertical="center"/>
    </xf>
    <xf numFmtId="165" fontId="3" fillId="4" borderId="51" xfId="1" applyNumberFormat="1" applyFont="1" applyFill="1" applyBorder="1" applyAlignment="1">
      <alignment horizontal="left" vertical="center"/>
    </xf>
    <xf numFmtId="164" fontId="2" fillId="4" borderId="51" xfId="1" applyNumberFormat="1" applyFont="1" applyFill="1" applyBorder="1" applyAlignment="1">
      <alignment horizontal="left" vertical="center" wrapText="1"/>
    </xf>
    <xf numFmtId="2" fontId="3" fillId="4" borderId="24" xfId="1" applyNumberFormat="1" applyFont="1" applyFill="1" applyBorder="1" applyAlignment="1">
      <alignment horizontal="center" vertical="center"/>
    </xf>
    <xf numFmtId="164" fontId="3" fillId="4" borderId="52" xfId="1" applyNumberFormat="1" applyFont="1" applyFill="1" applyBorder="1" applyAlignment="1">
      <alignment horizontal="left" vertical="center"/>
    </xf>
    <xf numFmtId="0" fontId="3" fillId="4" borderId="52" xfId="1" applyNumberFormat="1" applyFont="1" applyFill="1" applyBorder="1" applyAlignment="1">
      <alignment horizontal="center" vertical="center"/>
    </xf>
    <xf numFmtId="9" fontId="2" fillId="4" borderId="51" xfId="2" applyFont="1" applyFill="1" applyBorder="1" applyAlignment="1">
      <alignment horizontal="center" vertical="center"/>
    </xf>
    <xf numFmtId="164" fontId="2" fillId="4" borderId="53" xfId="1" applyNumberFormat="1" applyFont="1" applyFill="1" applyBorder="1" applyAlignment="1">
      <alignment horizontal="left" vertical="center"/>
    </xf>
    <xf numFmtId="9" fontId="2" fillId="4" borderId="51" xfId="2" applyFont="1" applyFill="1" applyBorder="1" applyAlignment="1">
      <alignment horizontal="left" vertical="center"/>
    </xf>
    <xf numFmtId="9" fontId="2" fillId="4" borderId="53" xfId="2" applyFont="1" applyFill="1" applyBorder="1" applyAlignment="1">
      <alignment horizontal="left" vertical="center"/>
    </xf>
    <xf numFmtId="43" fontId="2" fillId="4" borderId="52" xfId="1" applyNumberFormat="1" applyFont="1" applyFill="1" applyBorder="1" applyAlignment="1">
      <alignment horizontal="left" vertical="center"/>
    </xf>
    <xf numFmtId="164" fontId="2" fillId="4" borderId="52" xfId="1" applyNumberFormat="1" applyFont="1" applyFill="1" applyBorder="1" applyAlignment="1">
      <alignment horizontal="left" vertical="center"/>
    </xf>
    <xf numFmtId="164" fontId="2" fillId="4" borderId="52" xfId="1" applyNumberFormat="1" applyFont="1" applyFill="1" applyBorder="1" applyAlignment="1">
      <alignment horizontal="center" vertical="center"/>
    </xf>
    <xf numFmtId="164" fontId="2" fillId="4" borderId="51" xfId="1" applyNumberFormat="1" applyFont="1" applyFill="1" applyBorder="1" applyAlignment="1">
      <alignment horizontal="center" vertical="center"/>
    </xf>
    <xf numFmtId="166" fontId="2" fillId="4" borderId="52" xfId="1" applyNumberFormat="1" applyFont="1" applyFill="1" applyBorder="1" applyAlignment="1">
      <alignment horizontal="center" vertical="center"/>
    </xf>
    <xf numFmtId="43" fontId="2" fillId="4" borderId="51" xfId="1" applyNumberFormat="1" applyFont="1" applyFill="1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  <xf numFmtId="165" fontId="2" fillId="4" borderId="54" xfId="1" applyNumberFormat="1" applyFont="1" applyFill="1" applyBorder="1" applyAlignment="1">
      <alignment horizontal="center" vertical="center"/>
    </xf>
    <xf numFmtId="164" fontId="2" fillId="4" borderId="25" xfId="1" applyNumberFormat="1" applyFont="1" applyFill="1" applyBorder="1" applyAlignment="1">
      <alignment horizontal="center" vertical="center"/>
    </xf>
    <xf numFmtId="2" fontId="3" fillId="0" borderId="17" xfId="1" applyNumberFormat="1" applyFont="1" applyFill="1" applyBorder="1" applyAlignment="1">
      <alignment horizontal="center" vertical="center"/>
    </xf>
    <xf numFmtId="0" fontId="3" fillId="0" borderId="17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4" fontId="6" fillId="0" borderId="21" xfId="1" applyNumberFormat="1" applyFont="1" applyFill="1" applyBorder="1" applyAlignment="1">
      <alignment horizontal="left" vertical="center"/>
    </xf>
    <xf numFmtId="164" fontId="6" fillId="0" borderId="22" xfId="1" applyNumberFormat="1" applyFont="1" applyFill="1" applyBorder="1" applyAlignment="1">
      <alignment horizontal="left" vertical="center"/>
    </xf>
    <xf numFmtId="164" fontId="18" fillId="9" borderId="21" xfId="1" applyNumberFormat="1" applyFont="1" applyFill="1" applyBorder="1" applyAlignment="1">
      <alignment horizontal="center" vertical="center"/>
    </xf>
    <xf numFmtId="164" fontId="18" fillId="9" borderId="19" xfId="1" applyNumberFormat="1" applyFont="1" applyFill="1" applyBorder="1" applyAlignment="1">
      <alignment horizontal="center" vertical="center"/>
    </xf>
    <xf numFmtId="164" fontId="18" fillId="9" borderId="22" xfId="1" applyNumberFormat="1" applyFont="1" applyFill="1" applyBorder="1" applyAlignment="1">
      <alignment horizontal="center" vertical="center"/>
    </xf>
    <xf numFmtId="0" fontId="17" fillId="10" borderId="5" xfId="1" applyNumberFormat="1" applyFont="1" applyFill="1" applyBorder="1" applyAlignment="1">
      <alignment horizontal="right" vertical="center" wrapText="1"/>
    </xf>
    <xf numFmtId="0" fontId="17" fillId="10" borderId="7" xfId="1" applyNumberFormat="1" applyFont="1" applyFill="1" applyBorder="1" applyAlignment="1">
      <alignment horizontal="right" vertical="center" wrapText="1"/>
    </xf>
    <xf numFmtId="0" fontId="17" fillId="10" borderId="6" xfId="1" applyNumberFormat="1" applyFont="1" applyFill="1" applyBorder="1" applyAlignment="1">
      <alignment horizontal="right" vertical="center" wrapText="1"/>
    </xf>
    <xf numFmtId="164" fontId="17" fillId="10" borderId="12" xfId="1" applyNumberFormat="1" applyFont="1" applyFill="1" applyBorder="1" applyAlignment="1">
      <alignment horizontal="right" vertical="center" wrapText="1"/>
    </xf>
    <xf numFmtId="164" fontId="17" fillId="10" borderId="11" xfId="1" applyNumberFormat="1" applyFont="1" applyFill="1" applyBorder="1" applyAlignment="1">
      <alignment horizontal="right" vertical="center" wrapText="1"/>
    </xf>
    <xf numFmtId="164" fontId="17" fillId="10" borderId="12" xfId="1" applyNumberFormat="1" applyFont="1" applyFill="1" applyBorder="1" applyAlignment="1">
      <alignment horizontal="right" vertical="center" wrapText="1"/>
    </xf>
    <xf numFmtId="165" fontId="17" fillId="10" borderId="12" xfId="1" applyNumberFormat="1" applyFont="1" applyFill="1" applyBorder="1" applyAlignment="1">
      <alignment horizontal="right" vertical="center" wrapText="1"/>
    </xf>
    <xf numFmtId="164" fontId="17" fillId="10" borderId="13" xfId="1" applyNumberFormat="1" applyFont="1" applyFill="1" applyBorder="1" applyAlignment="1">
      <alignment horizontal="right" vertical="center" wrapText="1"/>
    </xf>
    <xf numFmtId="165" fontId="10" fillId="4" borderId="20" xfId="1" applyNumberFormat="1" applyFont="1" applyFill="1" applyBorder="1" applyAlignment="1">
      <alignment horizontal="center" vertical="center"/>
    </xf>
    <xf numFmtId="168" fontId="2" fillId="6" borderId="20" xfId="1" applyNumberFormat="1" applyFont="1" applyFill="1" applyBorder="1" applyAlignment="1">
      <alignment horizontal="center" vertical="center"/>
    </xf>
    <xf numFmtId="164" fontId="10" fillId="4" borderId="17" xfId="1" applyNumberFormat="1" applyFont="1" applyFill="1" applyBorder="1" applyAlignment="1">
      <alignment horizontal="center" vertical="center"/>
    </xf>
    <xf numFmtId="168" fontId="2" fillId="6" borderId="17" xfId="1" applyNumberFormat="1" applyFont="1" applyFill="1" applyBorder="1" applyAlignment="1">
      <alignment horizontal="center" vertical="center"/>
    </xf>
    <xf numFmtId="165" fontId="2" fillId="4" borderId="19" xfId="1" applyNumberFormat="1" applyFont="1" applyFill="1" applyBorder="1" applyAlignment="1">
      <alignment horizontal="center" vertical="center"/>
    </xf>
    <xf numFmtId="165" fontId="2" fillId="4" borderId="17" xfId="1" applyNumberFormat="1" applyFont="1" applyFill="1" applyBorder="1" applyAlignment="1">
      <alignment horizontal="center" vertical="center"/>
    </xf>
    <xf numFmtId="168" fontId="13" fillId="6" borderId="21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43" fontId="2" fillId="4" borderId="22" xfId="1" applyFont="1" applyFill="1" applyBorder="1" applyAlignment="1">
      <alignment horizontal="center" vertical="center"/>
    </xf>
    <xf numFmtId="43" fontId="2" fillId="6" borderId="22" xfId="1" applyFont="1" applyFill="1" applyBorder="1" applyAlignment="1">
      <alignment horizontal="center" vertical="center"/>
    </xf>
    <xf numFmtId="43" fontId="3" fillId="6" borderId="22" xfId="1" applyFont="1" applyFill="1" applyBorder="1" applyAlignment="1">
      <alignment horizontal="center" vertical="center"/>
    </xf>
    <xf numFmtId="43" fontId="13" fillId="6" borderId="22" xfId="1" applyFont="1" applyFill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164" fontId="2" fillId="0" borderId="17" xfId="1" applyNumberFormat="1" applyFont="1" applyBorder="1" applyAlignment="1">
      <alignment horizontal="center" vertical="center"/>
    </xf>
    <xf numFmtId="164" fontId="3" fillId="6" borderId="20" xfId="1" applyNumberFormat="1" applyFont="1" applyFill="1" applyBorder="1" applyAlignment="1">
      <alignment vertical="center"/>
    </xf>
    <xf numFmtId="164" fontId="3" fillId="6" borderId="22" xfId="1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vestasi/Database%20Biomassa%20Indonesia_131217%20b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region"/>
      <sheetName val="sum"/>
      <sheetName val="cv"/>
      <sheetName val="01 Sawit"/>
      <sheetName val="02 Tebu"/>
      <sheetName val="03 Karet"/>
      <sheetName val="04 Kelapa"/>
      <sheetName val="05 Padi"/>
      <sheetName val="06 Jagung"/>
      <sheetName val="07 Ubi Kayu"/>
      <sheetName val="08 Kayu"/>
      <sheetName val="09 Sapi"/>
      <sheetName val="10 TPA"/>
      <sheetName val="pulp"/>
      <sheetName val="eksport"/>
      <sheetName val="grid"/>
      <sheetName val="on-grid"/>
      <sheetName val="msw"/>
      <sheetName val="Sheet1"/>
      <sheetName val="Sheet2"/>
      <sheetName val="Sheet3"/>
      <sheetName val="Cash FLow"/>
      <sheetName val="Sheet4"/>
    </sheetNames>
    <sheetDataSet>
      <sheetData sheetId="0" refreshError="1"/>
      <sheetData sheetId="1" refreshError="1"/>
      <sheetData sheetId="2" refreshError="1"/>
      <sheetData sheetId="3">
        <row r="24">
          <cell r="G24">
            <v>2200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Z1413"/>
  <sheetViews>
    <sheetView view="pageBreakPreview" zoomScale="85" zoomScaleNormal="115" zoomScaleSheetLayoutView="85" workbookViewId="0">
      <pane xSplit="3" ySplit="5" topLeftCell="X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8.85546875" defaultRowHeight="15" x14ac:dyDescent="0.25"/>
  <cols>
    <col min="1" max="1" width="4.140625" style="1" customWidth="1"/>
    <col min="2" max="2" width="5.28515625" style="260" customWidth="1"/>
    <col min="3" max="3" width="35.7109375" style="260" customWidth="1"/>
    <col min="4" max="4" width="9.85546875" style="260" customWidth="1"/>
    <col min="5" max="5" width="10.140625" style="260" bestFit="1" customWidth="1"/>
    <col min="6" max="8" width="10.42578125" style="260" bestFit="1" customWidth="1"/>
    <col min="9" max="9" width="13.42578125" style="260" customWidth="1"/>
    <col min="10" max="13" width="13.85546875" style="260" bestFit="1" customWidth="1"/>
    <col min="14" max="14" width="14.85546875" style="260" bestFit="1" customWidth="1"/>
    <col min="15" max="15" width="14.42578125" style="260" bestFit="1" customWidth="1"/>
    <col min="16" max="16" width="14.42578125" style="260" customWidth="1"/>
    <col min="17" max="17" width="15.7109375" style="260" bestFit="1" customWidth="1"/>
    <col min="18" max="18" width="17.7109375" style="260" customWidth="1"/>
    <col min="19" max="19" width="17.85546875" style="260" customWidth="1"/>
    <col min="20" max="20" width="17.42578125" style="474" customWidth="1"/>
    <col min="21" max="21" width="22.28515625" style="475" customWidth="1"/>
    <col min="22" max="22" width="12.140625" style="476" customWidth="1"/>
    <col min="23" max="23" width="14.42578125" style="477" customWidth="1"/>
    <col min="24" max="24" width="15.140625" style="477" customWidth="1"/>
    <col min="25" max="25" width="18" style="260" customWidth="1"/>
    <col min="26" max="26" width="25.42578125" style="478" customWidth="1"/>
    <col min="27" max="27" width="10" style="478" customWidth="1"/>
    <col min="28" max="28" width="9.42578125" style="479" customWidth="1"/>
    <col min="29" max="29" width="15.42578125" style="480" customWidth="1"/>
    <col min="30" max="30" width="13" style="480" customWidth="1"/>
    <col min="31" max="38" width="11" style="480" customWidth="1"/>
    <col min="39" max="39" width="15.42578125" style="481" customWidth="1"/>
    <col min="40" max="40" width="10.28515625" style="477" customWidth="1"/>
    <col min="41" max="41" width="10.7109375" style="477" customWidth="1"/>
    <col min="42" max="42" width="27" style="477" hidden="1" customWidth="1"/>
    <col min="43" max="43" width="18.42578125" style="482" hidden="1" customWidth="1"/>
    <col min="44" max="44" width="23.42578125" style="477" hidden="1" customWidth="1"/>
    <col min="45" max="45" width="12.28515625" style="483" customWidth="1"/>
    <col min="46" max="46" width="26.42578125" style="477" customWidth="1"/>
    <col min="47" max="47" width="11.7109375" style="484" hidden="1" customWidth="1"/>
    <col min="48" max="50" width="11.7109375" style="477" hidden="1" customWidth="1"/>
    <col min="51" max="51" width="48.140625" style="477" hidden="1" customWidth="1"/>
    <col min="52" max="52" width="0" style="260" hidden="1" customWidth="1"/>
    <col min="53" max="16384" width="8.85546875" style="260"/>
  </cols>
  <sheetData>
    <row r="1" spans="1:52" s="1" customFormat="1" ht="39" customHeight="1" thickBot="1" x14ac:dyDescent="0.3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4"/>
      <c r="V1" s="5"/>
      <c r="W1" s="6"/>
      <c r="X1" s="6"/>
      <c r="Y1" s="6"/>
      <c r="Z1" s="7"/>
      <c r="AA1" s="7"/>
      <c r="AB1" s="8"/>
      <c r="AN1" s="9"/>
      <c r="AO1" s="9"/>
      <c r="AP1" s="9" t="s">
        <v>0</v>
      </c>
      <c r="AQ1" s="10"/>
      <c r="AR1" s="9"/>
      <c r="AS1" s="510" t="s">
        <v>1</v>
      </c>
      <c r="AT1" s="511"/>
      <c r="AU1" s="511"/>
      <c r="AV1" s="511"/>
      <c r="AW1" s="511"/>
      <c r="AX1" s="511"/>
      <c r="AY1" s="9"/>
    </row>
    <row r="2" spans="1:52" s="17" customFormat="1" ht="27.6" customHeight="1" thickBot="1" x14ac:dyDescent="0.3">
      <c r="A2" s="11"/>
      <c r="B2" s="12" t="s">
        <v>2</v>
      </c>
      <c r="C2" s="13"/>
      <c r="D2" s="512" t="s">
        <v>3</v>
      </c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4"/>
      <c r="R2" s="14" t="s">
        <v>4</v>
      </c>
      <c r="S2" s="512" t="s">
        <v>5</v>
      </c>
      <c r="T2" s="514"/>
      <c r="U2" s="512" t="s">
        <v>6</v>
      </c>
      <c r="V2" s="513"/>
      <c r="W2" s="513"/>
      <c r="X2" s="513"/>
      <c r="Y2" s="513"/>
      <c r="Z2" s="514"/>
      <c r="AA2" s="512" t="s">
        <v>7</v>
      </c>
      <c r="AB2" s="514"/>
      <c r="AC2" s="512" t="s">
        <v>8</v>
      </c>
      <c r="AD2" s="513"/>
      <c r="AE2" s="513"/>
      <c r="AF2" s="513"/>
      <c r="AG2" s="513"/>
      <c r="AH2" s="513"/>
      <c r="AI2" s="513"/>
      <c r="AJ2" s="513"/>
      <c r="AK2" s="513"/>
      <c r="AL2" s="513"/>
      <c r="AM2" s="514"/>
      <c r="AN2" s="510" t="s">
        <v>9</v>
      </c>
      <c r="AO2" s="515"/>
      <c r="AP2" s="510" t="s">
        <v>10</v>
      </c>
      <c r="AQ2" s="515"/>
      <c r="AR2" s="15" t="s">
        <v>11</v>
      </c>
      <c r="AS2" s="510" t="s">
        <v>12</v>
      </c>
      <c r="AT2" s="515"/>
      <c r="AU2" s="510" t="s">
        <v>13</v>
      </c>
      <c r="AV2" s="511"/>
      <c r="AW2" s="511"/>
      <c r="AX2" s="515"/>
      <c r="AY2" s="16" t="s">
        <v>14</v>
      </c>
    </row>
    <row r="3" spans="1:52" s="40" customFormat="1" ht="33.4" customHeight="1" thickBot="1" x14ac:dyDescent="0.3">
      <c r="A3" s="18"/>
      <c r="B3" s="19" t="s">
        <v>15</v>
      </c>
      <c r="C3" s="20" t="s">
        <v>16</v>
      </c>
      <c r="D3" s="21">
        <v>2000</v>
      </c>
      <c r="E3" s="22">
        <v>2001</v>
      </c>
      <c r="F3" s="22">
        <v>2002</v>
      </c>
      <c r="G3" s="22">
        <v>2003</v>
      </c>
      <c r="H3" s="22">
        <v>2004</v>
      </c>
      <c r="I3" s="22">
        <v>2005</v>
      </c>
      <c r="J3" s="22">
        <v>2006</v>
      </c>
      <c r="K3" s="22">
        <v>2007</v>
      </c>
      <c r="L3" s="22">
        <v>2008</v>
      </c>
      <c r="M3" s="22">
        <v>2009</v>
      </c>
      <c r="N3" s="22">
        <v>2010</v>
      </c>
      <c r="O3" s="22">
        <v>2011</v>
      </c>
      <c r="P3" s="22">
        <v>2012</v>
      </c>
      <c r="Q3" s="23" t="s">
        <v>17</v>
      </c>
      <c r="R3" s="24" t="s">
        <v>18</v>
      </c>
      <c r="S3" s="25" t="s">
        <v>19</v>
      </c>
      <c r="T3" s="24" t="s">
        <v>18</v>
      </c>
      <c r="U3" s="26" t="s">
        <v>20</v>
      </c>
      <c r="V3" s="27" t="s">
        <v>21</v>
      </c>
      <c r="W3" s="28" t="s">
        <v>22</v>
      </c>
      <c r="X3" s="28" t="s">
        <v>23</v>
      </c>
      <c r="Y3" s="29" t="s">
        <v>24</v>
      </c>
      <c r="Z3" s="28" t="s">
        <v>25</v>
      </c>
      <c r="AA3" s="28" t="s">
        <v>26</v>
      </c>
      <c r="AB3" s="30" t="s">
        <v>27</v>
      </c>
      <c r="AC3" s="21" t="s">
        <v>28</v>
      </c>
      <c r="AD3" s="31" t="s">
        <v>29</v>
      </c>
      <c r="AE3" s="31" t="s">
        <v>30</v>
      </c>
      <c r="AF3" s="31" t="s">
        <v>31</v>
      </c>
      <c r="AG3" s="31" t="s">
        <v>32</v>
      </c>
      <c r="AH3" s="31" t="s">
        <v>33</v>
      </c>
      <c r="AI3" s="31" t="s">
        <v>34</v>
      </c>
      <c r="AJ3" s="22" t="s">
        <v>35</v>
      </c>
      <c r="AK3" s="22" t="s">
        <v>36</v>
      </c>
      <c r="AL3" s="22" t="s">
        <v>37</v>
      </c>
      <c r="AM3" s="32" t="s">
        <v>38</v>
      </c>
      <c r="AN3" s="508" t="s">
        <v>39</v>
      </c>
      <c r="AO3" s="509"/>
      <c r="AP3" s="508" t="s">
        <v>39</v>
      </c>
      <c r="AQ3" s="509"/>
      <c r="AR3" s="33" t="s">
        <v>40</v>
      </c>
      <c r="AS3" s="34" t="s">
        <v>39</v>
      </c>
      <c r="AT3" s="35" t="s">
        <v>41</v>
      </c>
      <c r="AU3" s="36" t="s">
        <v>42</v>
      </c>
      <c r="AV3" s="37" t="s">
        <v>38</v>
      </c>
      <c r="AW3" s="38" t="s">
        <v>43</v>
      </c>
      <c r="AX3" s="29" t="s">
        <v>44</v>
      </c>
      <c r="AY3" s="39"/>
    </row>
    <row r="4" spans="1:52" s="40" customFormat="1" ht="21.95" hidden="1" customHeight="1" x14ac:dyDescent="0.25">
      <c r="A4" s="18"/>
      <c r="B4" s="41"/>
      <c r="C4" s="42"/>
      <c r="D4" s="43" t="s">
        <v>45</v>
      </c>
      <c r="E4" s="44" t="s">
        <v>45</v>
      </c>
      <c r="F4" s="44" t="s">
        <v>45</v>
      </c>
      <c r="G4" s="44" t="s">
        <v>45</v>
      </c>
      <c r="H4" s="44" t="s">
        <v>45</v>
      </c>
      <c r="I4" s="44" t="s">
        <v>45</v>
      </c>
      <c r="J4" s="44" t="s">
        <v>45</v>
      </c>
      <c r="K4" s="44" t="s">
        <v>45</v>
      </c>
      <c r="L4" s="44" t="s">
        <v>45</v>
      </c>
      <c r="M4" s="44" t="s">
        <v>45</v>
      </c>
      <c r="N4" s="44" t="s">
        <v>45</v>
      </c>
      <c r="O4" s="44" t="s">
        <v>45</v>
      </c>
      <c r="P4" s="44" t="s">
        <v>45</v>
      </c>
      <c r="Q4" s="45" t="s">
        <v>45</v>
      </c>
      <c r="R4" s="46"/>
      <c r="S4" s="47"/>
      <c r="T4" s="47"/>
      <c r="U4" s="48"/>
      <c r="V4" s="49" t="s">
        <v>46</v>
      </c>
      <c r="W4" s="44" t="s">
        <v>18</v>
      </c>
      <c r="X4" s="44"/>
      <c r="Y4" s="45"/>
      <c r="Z4" s="50"/>
      <c r="AA4" s="51" t="s">
        <v>47</v>
      </c>
      <c r="AB4" s="51" t="s">
        <v>47</v>
      </c>
      <c r="AC4" s="43" t="s">
        <v>48</v>
      </c>
      <c r="AD4" s="44" t="s">
        <v>48</v>
      </c>
      <c r="AE4" s="44" t="s">
        <v>48</v>
      </c>
      <c r="AF4" s="44" t="s">
        <v>48</v>
      </c>
      <c r="AG4" s="44" t="s">
        <v>48</v>
      </c>
      <c r="AH4" s="44" t="s">
        <v>48</v>
      </c>
      <c r="AI4" s="44" t="s">
        <v>48</v>
      </c>
      <c r="AJ4" s="44" t="s">
        <v>48</v>
      </c>
      <c r="AK4" s="44" t="s">
        <v>48</v>
      </c>
      <c r="AL4" s="44" t="s">
        <v>48</v>
      </c>
      <c r="AM4" s="52" t="s">
        <v>48</v>
      </c>
      <c r="AN4" s="53" t="s">
        <v>49</v>
      </c>
      <c r="AO4" s="54" t="s">
        <v>50</v>
      </c>
      <c r="AP4" s="43" t="s">
        <v>51</v>
      </c>
      <c r="AQ4" s="55" t="s">
        <v>52</v>
      </c>
      <c r="AR4" s="53" t="s">
        <v>52</v>
      </c>
      <c r="AS4" s="56" t="s">
        <v>53</v>
      </c>
      <c r="AT4" s="57" t="s">
        <v>53</v>
      </c>
      <c r="AU4" s="58" t="s">
        <v>54</v>
      </c>
      <c r="AV4" s="59" t="s">
        <v>53</v>
      </c>
      <c r="AW4" s="57"/>
      <c r="AX4" s="45" t="s">
        <v>53</v>
      </c>
      <c r="AY4" s="60"/>
    </row>
    <row r="5" spans="1:52" s="86" customFormat="1" ht="13.5" hidden="1" thickBot="1" x14ac:dyDescent="0.3">
      <c r="A5" s="61"/>
      <c r="B5" s="62"/>
      <c r="C5" s="63"/>
      <c r="D5" s="64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65"/>
      <c r="R5" s="65"/>
      <c r="S5" s="47">
        <v>365</v>
      </c>
      <c r="T5" s="47">
        <v>365</v>
      </c>
      <c r="U5" s="66"/>
      <c r="V5" s="67"/>
      <c r="W5" s="68"/>
      <c r="X5" s="68"/>
      <c r="Y5" s="69"/>
      <c r="Z5" s="70"/>
      <c r="AA5" s="70"/>
      <c r="AB5" s="71">
        <f>SUM(AC5:AL5)</f>
        <v>0.99775000000000014</v>
      </c>
      <c r="AC5" s="72">
        <v>0.57999999999999996</v>
      </c>
      <c r="AD5" s="73">
        <v>0.13</v>
      </c>
      <c r="AE5" s="73">
        <v>8.7749999999999995E-2</v>
      </c>
      <c r="AF5" s="73">
        <v>0.04</v>
      </c>
      <c r="AG5" s="73">
        <v>0.02</v>
      </c>
      <c r="AH5" s="73">
        <v>0.02</v>
      </c>
      <c r="AI5" s="73">
        <v>0.01</v>
      </c>
      <c r="AJ5" s="73">
        <v>0.02</v>
      </c>
      <c r="AK5" s="73">
        <v>0.02</v>
      </c>
      <c r="AL5" s="73">
        <v>7.0000000000000007E-2</v>
      </c>
      <c r="AM5" s="74">
        <v>365</v>
      </c>
      <c r="AN5" s="75">
        <f>[1]cv!G24</f>
        <v>2200</v>
      </c>
      <c r="AO5" s="76"/>
      <c r="AP5" s="77">
        <v>4.1867999999999999</v>
      </c>
      <c r="AQ5" s="78">
        <v>2.777778E-4</v>
      </c>
      <c r="AR5" s="79">
        <v>0.2</v>
      </c>
      <c r="AS5" s="80">
        <f>8760*80%</f>
        <v>7008</v>
      </c>
      <c r="AT5" s="81">
        <f>8760*80%</f>
        <v>7008</v>
      </c>
      <c r="AU5" s="82"/>
      <c r="AV5" s="83">
        <f>8760*80%</f>
        <v>7008</v>
      </c>
      <c r="AW5" s="84"/>
      <c r="AX5" s="81">
        <f>8760*80%</f>
        <v>7008</v>
      </c>
      <c r="AY5" s="85"/>
    </row>
    <row r="6" spans="1:52" s="86" customFormat="1" ht="34.700000000000003" customHeight="1" thickBot="1" x14ac:dyDescent="0.3">
      <c r="A6" s="61"/>
      <c r="B6" s="12" t="s">
        <v>55</v>
      </c>
      <c r="C6" s="13"/>
      <c r="D6" s="64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65"/>
      <c r="R6" s="87"/>
      <c r="S6" s="88"/>
      <c r="T6" s="89"/>
      <c r="U6" s="60" t="s">
        <v>56</v>
      </c>
      <c r="V6" s="67"/>
      <c r="W6" s="68"/>
      <c r="X6" s="68"/>
      <c r="Y6" s="69"/>
      <c r="Z6" s="70"/>
      <c r="AA6" s="70"/>
      <c r="AB6" s="90"/>
      <c r="AC6" s="64"/>
      <c r="AD6" s="50"/>
      <c r="AE6" s="50"/>
      <c r="AF6" s="50"/>
      <c r="AG6" s="50"/>
      <c r="AH6" s="50"/>
      <c r="AI6" s="50"/>
      <c r="AJ6" s="50"/>
      <c r="AK6" s="50"/>
      <c r="AL6" s="50"/>
      <c r="AM6" s="69"/>
      <c r="AN6" s="75"/>
      <c r="AO6" s="76"/>
      <c r="AP6" s="77"/>
      <c r="AQ6" s="51"/>
      <c r="AR6" s="79"/>
      <c r="AS6" s="91"/>
      <c r="AT6" s="81"/>
      <c r="AU6" s="82"/>
      <c r="AV6" s="92"/>
      <c r="AW6" s="93"/>
      <c r="AX6" s="94"/>
      <c r="AY6" s="85"/>
    </row>
    <row r="7" spans="1:52" s="86" customFormat="1" ht="10.9" hidden="1" customHeight="1" x14ac:dyDescent="0.25">
      <c r="A7" s="61"/>
      <c r="B7" s="95"/>
      <c r="C7" s="96"/>
      <c r="D7" s="64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97"/>
      <c r="R7" s="98">
        <v>0.23699999999999999</v>
      </c>
      <c r="S7" s="99" t="s">
        <v>57</v>
      </c>
      <c r="T7" s="100">
        <v>0.9</v>
      </c>
      <c r="U7" s="66"/>
      <c r="V7" s="67"/>
      <c r="W7" s="68"/>
      <c r="X7" s="68"/>
      <c r="Y7" s="101"/>
      <c r="Z7" s="70"/>
      <c r="AA7" s="102"/>
      <c r="AB7" s="103"/>
      <c r="AC7" s="104"/>
      <c r="AD7" s="50"/>
      <c r="AE7" s="50"/>
      <c r="AF7" s="50"/>
      <c r="AG7" s="50"/>
      <c r="AH7" s="50"/>
      <c r="AI7" s="50"/>
      <c r="AJ7" s="50"/>
      <c r="AK7" s="50"/>
      <c r="AL7" s="50"/>
      <c r="AM7" s="101"/>
      <c r="AN7" s="92"/>
      <c r="AO7" s="76"/>
      <c r="AP7" s="105"/>
      <c r="AQ7" s="51"/>
      <c r="AR7" s="106"/>
      <c r="AS7" s="107"/>
      <c r="AT7" s="81"/>
      <c r="AU7" s="82"/>
      <c r="AV7" s="92"/>
      <c r="AW7" s="93"/>
      <c r="AX7" s="108"/>
      <c r="AY7" s="93"/>
    </row>
    <row r="8" spans="1:52" s="86" customFormat="1" ht="10.9" hidden="1" customHeight="1" x14ac:dyDescent="0.25">
      <c r="A8" s="61"/>
      <c r="B8" s="95"/>
      <c r="C8" s="96"/>
      <c r="D8" s="64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97"/>
      <c r="R8" s="98">
        <v>0.16400000000000001</v>
      </c>
      <c r="S8" s="99" t="s">
        <v>58</v>
      </c>
      <c r="T8" s="100">
        <v>0.8</v>
      </c>
      <c r="U8" s="66"/>
      <c r="V8" s="67"/>
      <c r="W8" s="68"/>
      <c r="X8" s="68"/>
      <c r="Y8" s="101"/>
      <c r="Z8" s="70"/>
      <c r="AA8" s="102"/>
      <c r="AB8" s="103"/>
      <c r="AC8" s="104"/>
      <c r="AD8" s="50"/>
      <c r="AE8" s="50"/>
      <c r="AF8" s="50"/>
      <c r="AG8" s="50"/>
      <c r="AH8" s="50"/>
      <c r="AI8" s="50"/>
      <c r="AJ8" s="50"/>
      <c r="AK8" s="50"/>
      <c r="AL8" s="50"/>
      <c r="AM8" s="101"/>
      <c r="AN8" s="92"/>
      <c r="AO8" s="76"/>
      <c r="AP8" s="105"/>
      <c r="AQ8" s="51"/>
      <c r="AR8" s="106"/>
      <c r="AS8" s="107"/>
      <c r="AT8" s="81"/>
      <c r="AU8" s="82"/>
      <c r="AV8" s="92"/>
      <c r="AW8" s="93"/>
      <c r="AX8" s="108"/>
      <c r="AY8" s="93"/>
    </row>
    <row r="9" spans="1:52" s="86" customFormat="1" ht="10.9" hidden="1" customHeight="1" x14ac:dyDescent="0.25">
      <c r="A9" s="61"/>
      <c r="B9" s="95"/>
      <c r="C9" s="96"/>
      <c r="D9" s="64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97"/>
      <c r="R9" s="98">
        <v>0.14599999999999999</v>
      </c>
      <c r="S9" s="99" t="s">
        <v>59</v>
      </c>
      <c r="T9" s="100">
        <v>0.7</v>
      </c>
      <c r="U9" s="66"/>
      <c r="V9" s="67"/>
      <c r="W9" s="68"/>
      <c r="X9" s="68"/>
      <c r="Y9" s="101"/>
      <c r="Z9" s="70"/>
      <c r="AA9" s="102"/>
      <c r="AB9" s="103"/>
      <c r="AC9" s="104"/>
      <c r="AD9" s="50"/>
      <c r="AE9" s="50"/>
      <c r="AF9" s="50"/>
      <c r="AG9" s="50"/>
      <c r="AH9" s="50"/>
      <c r="AI9" s="50"/>
      <c r="AJ9" s="50"/>
      <c r="AK9" s="50"/>
      <c r="AL9" s="50"/>
      <c r="AM9" s="101"/>
      <c r="AN9" s="92"/>
      <c r="AO9" s="76"/>
      <c r="AP9" s="105"/>
      <c r="AQ9" s="51"/>
      <c r="AR9" s="106"/>
      <c r="AS9" s="107"/>
      <c r="AT9" s="81"/>
      <c r="AU9" s="82"/>
      <c r="AV9" s="92"/>
      <c r="AW9" s="93"/>
      <c r="AX9" s="108"/>
      <c r="AY9" s="93"/>
    </row>
    <row r="10" spans="1:52" s="86" customFormat="1" ht="10.9" hidden="1" customHeight="1" x14ac:dyDescent="0.25">
      <c r="A10" s="61"/>
      <c r="B10" s="95"/>
      <c r="C10" s="96"/>
      <c r="D10" s="64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97"/>
      <c r="R10" s="98">
        <v>0.11</v>
      </c>
      <c r="S10" s="99" t="s">
        <v>60</v>
      </c>
      <c r="T10" s="100">
        <v>0.6</v>
      </c>
      <c r="U10" s="66"/>
      <c r="V10" s="67"/>
      <c r="W10" s="68"/>
      <c r="X10" s="68"/>
      <c r="Y10" s="101"/>
      <c r="Z10" s="70"/>
      <c r="AA10" s="102"/>
      <c r="AB10" s="103"/>
      <c r="AC10" s="104"/>
      <c r="AD10" s="50"/>
      <c r="AE10" s="50"/>
      <c r="AF10" s="50"/>
      <c r="AG10" s="50"/>
      <c r="AH10" s="50"/>
      <c r="AI10" s="50"/>
      <c r="AJ10" s="50"/>
      <c r="AK10" s="50"/>
      <c r="AL10" s="50"/>
      <c r="AM10" s="101"/>
      <c r="AN10" s="92"/>
      <c r="AO10" s="76"/>
      <c r="AP10" s="105"/>
      <c r="AQ10" s="51"/>
      <c r="AR10" s="106"/>
      <c r="AS10" s="107"/>
      <c r="AT10" s="81"/>
      <c r="AU10" s="82"/>
      <c r="AV10" s="92"/>
      <c r="AW10" s="93"/>
      <c r="AX10" s="108"/>
      <c r="AY10" s="93"/>
    </row>
    <row r="11" spans="1:52" s="109" customFormat="1" ht="22.5" customHeight="1" x14ac:dyDescent="0.25">
      <c r="B11" s="110" t="s">
        <v>61</v>
      </c>
      <c r="C11" s="111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4"/>
      <c r="T11" s="113"/>
      <c r="U11" s="113"/>
      <c r="V11" s="113"/>
      <c r="W11" s="113"/>
      <c r="X11" s="113"/>
      <c r="Y11" s="113"/>
      <c r="Z11" s="113"/>
      <c r="AA11" s="115"/>
      <c r="AB11" s="116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8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9"/>
    </row>
    <row r="12" spans="1:52" s="139" customFormat="1" ht="15" customHeight="1" x14ac:dyDescent="0.25">
      <c r="A12" s="1"/>
      <c r="B12" s="120"/>
      <c r="C12" s="121" t="s">
        <v>62</v>
      </c>
      <c r="D12" s="122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4"/>
      <c r="R12" s="124"/>
      <c r="S12" s="124"/>
      <c r="T12" s="47"/>
      <c r="U12" s="66"/>
      <c r="V12" s="67"/>
      <c r="W12" s="123"/>
      <c r="X12" s="123"/>
      <c r="Y12" s="125"/>
      <c r="Z12" s="126"/>
      <c r="AA12" s="126"/>
      <c r="AB12" s="127"/>
      <c r="AC12" s="62"/>
      <c r="AD12" s="128"/>
      <c r="AE12" s="128"/>
      <c r="AF12" s="128"/>
      <c r="AG12" s="128"/>
      <c r="AH12" s="128"/>
      <c r="AI12" s="128"/>
      <c r="AJ12" s="128"/>
      <c r="AK12" s="128"/>
      <c r="AL12" s="128"/>
      <c r="AM12" s="63"/>
      <c r="AN12" s="75"/>
      <c r="AO12" s="76"/>
      <c r="AP12" s="129"/>
      <c r="AQ12" s="130"/>
      <c r="AR12" s="131"/>
      <c r="AS12" s="132"/>
      <c r="AT12" s="133"/>
      <c r="AU12" s="134"/>
      <c r="AV12" s="135"/>
      <c r="AW12" s="136"/>
      <c r="AX12" s="137"/>
      <c r="AY12" s="138"/>
    </row>
    <row r="13" spans="1:52" s="139" customFormat="1" ht="11.25" x14ac:dyDescent="0.25">
      <c r="A13" s="1"/>
      <c r="B13" s="140">
        <v>1</v>
      </c>
      <c r="C13" s="141" t="s">
        <v>63</v>
      </c>
      <c r="D13" s="142"/>
      <c r="E13" s="143"/>
      <c r="F13" s="143"/>
      <c r="G13" s="143"/>
      <c r="H13" s="143"/>
      <c r="I13" s="143"/>
      <c r="J13" s="144">
        <v>80380</v>
      </c>
      <c r="K13" s="144">
        <v>81127</v>
      </c>
      <c r="L13" s="144">
        <v>81790</v>
      </c>
      <c r="M13" s="144">
        <v>82344</v>
      </c>
      <c r="N13" s="144">
        <v>80674</v>
      </c>
      <c r="O13" s="143"/>
      <c r="P13" s="145"/>
      <c r="Q13" s="146">
        <f>MAX(D13:P13)</f>
        <v>82344</v>
      </c>
      <c r="R13" s="147">
        <f>Q13*$R$10</f>
        <v>9057.84</v>
      </c>
      <c r="S13" s="147">
        <f t="shared" ref="S13:S35" si="0">R13/$S$5</f>
        <v>24.815999999999999</v>
      </c>
      <c r="T13" s="148">
        <f t="shared" ref="T13:T22" si="1">S13*$T$5*$T$10</f>
        <v>5434.7039999999997</v>
      </c>
      <c r="U13" s="149"/>
      <c r="V13" s="150"/>
      <c r="W13" s="151"/>
      <c r="X13" s="151"/>
      <c r="Y13" s="152"/>
      <c r="Z13" s="153"/>
      <c r="AA13" s="153"/>
      <c r="AB13" s="154"/>
      <c r="AC13" s="155">
        <f t="shared" ref="AC13:AC35" si="2">T13*$AC$5</f>
        <v>3152.1283199999998</v>
      </c>
      <c r="AD13" s="156">
        <f t="shared" ref="AD13:AD35" si="3">T13*$AD$5</f>
        <v>706.51152000000002</v>
      </c>
      <c r="AE13" s="156">
        <f t="shared" ref="AE13:AE35" si="4">T13*$AE$5</f>
        <v>476.89527599999997</v>
      </c>
      <c r="AF13" s="156">
        <f t="shared" ref="AF13:AF35" si="5">T13*$AF$5</f>
        <v>217.38816</v>
      </c>
      <c r="AG13" s="156">
        <f t="shared" ref="AG13:AG35" si="6">T13*$AG$5</f>
        <v>108.69408</v>
      </c>
      <c r="AH13" s="156">
        <f t="shared" ref="AH13:AH35" si="7">T13*$AH$5</f>
        <v>108.69408</v>
      </c>
      <c r="AI13" s="156">
        <f t="shared" ref="AI13:AI35" si="8">T13*$AI$5</f>
        <v>54.34704</v>
      </c>
      <c r="AJ13" s="156">
        <f t="shared" ref="AJ13:AJ35" si="9">T13*$AJ$5</f>
        <v>108.69408</v>
      </c>
      <c r="AK13" s="156">
        <f t="shared" ref="AK13:AK35" si="10">T13*$AK$5</f>
        <v>108.69408</v>
      </c>
      <c r="AL13" s="156">
        <f t="shared" ref="AL13:AL35" si="11">T13*$AL$5</f>
        <v>380.42928000000001</v>
      </c>
      <c r="AM13" s="157">
        <f>SUM(AD13:AI13)</f>
        <v>1672.530156</v>
      </c>
      <c r="AN13" s="158">
        <f t="shared" ref="AN13:AN35" si="12">$AN$5</f>
        <v>2200</v>
      </c>
      <c r="AO13" s="159">
        <v>0.2</v>
      </c>
      <c r="AP13" s="160">
        <f t="shared" ref="AP13:AP35" si="13">(AC13+AM13)*AN13*$AP$5</f>
        <v>44439736.236096956</v>
      </c>
      <c r="AQ13" s="161">
        <f t="shared" ref="AQ13:AQ35" si="14">AP13*$AQ$5</f>
        <v>12344.372164243292</v>
      </c>
      <c r="AR13" s="162">
        <f t="shared" ref="AR13:AR35" si="15">AQ13*$AR$5</f>
        <v>2468.8744328486587</v>
      </c>
      <c r="AS13" s="163">
        <f t="shared" ref="AS13:AS35" si="16">AR13/$AS$5</f>
        <v>0.3522937261484958</v>
      </c>
      <c r="AT13" s="164">
        <f>AS13</f>
        <v>0.3522937261484958</v>
      </c>
      <c r="AU13" s="165"/>
      <c r="AV13" s="166"/>
      <c r="AW13" s="167"/>
      <c r="AX13" s="146"/>
      <c r="AY13" s="168"/>
    </row>
    <row r="14" spans="1:52" s="139" customFormat="1" ht="11.25" x14ac:dyDescent="0.25">
      <c r="A14" s="1"/>
      <c r="B14" s="140">
        <v>2</v>
      </c>
      <c r="C14" s="169" t="s">
        <v>64</v>
      </c>
      <c r="D14" s="142"/>
      <c r="E14" s="143"/>
      <c r="F14" s="143"/>
      <c r="G14" s="143"/>
      <c r="H14" s="143"/>
      <c r="I14" s="143"/>
      <c r="J14" s="144">
        <v>92605</v>
      </c>
      <c r="K14" s="144">
        <v>94961</v>
      </c>
      <c r="L14" s="144">
        <v>100265</v>
      </c>
      <c r="M14" s="144">
        <v>102505</v>
      </c>
      <c r="N14" s="144">
        <v>102509</v>
      </c>
      <c r="O14" s="143"/>
      <c r="P14" s="145"/>
      <c r="Q14" s="146">
        <f t="shared" ref="Q14:Q35" si="17">MAX(D14:P14)</f>
        <v>102509</v>
      </c>
      <c r="R14" s="147">
        <f t="shared" ref="R14:R35" si="18">Q14*$R$10</f>
        <v>11275.99</v>
      </c>
      <c r="S14" s="147">
        <f t="shared" si="0"/>
        <v>30.893123287671234</v>
      </c>
      <c r="T14" s="148">
        <f t="shared" si="1"/>
        <v>6765.5940000000001</v>
      </c>
      <c r="U14" s="149"/>
      <c r="V14" s="150"/>
      <c r="W14" s="151"/>
      <c r="X14" s="151"/>
      <c r="Y14" s="152"/>
      <c r="Z14" s="153"/>
      <c r="AA14" s="153"/>
      <c r="AB14" s="154"/>
      <c r="AC14" s="155">
        <f t="shared" si="2"/>
        <v>3924.0445199999999</v>
      </c>
      <c r="AD14" s="156">
        <f t="shared" si="3"/>
        <v>879.52722000000006</v>
      </c>
      <c r="AE14" s="156">
        <f t="shared" si="4"/>
        <v>593.68087349999996</v>
      </c>
      <c r="AF14" s="156">
        <f t="shared" si="5"/>
        <v>270.62376</v>
      </c>
      <c r="AG14" s="156">
        <f t="shared" si="6"/>
        <v>135.31188</v>
      </c>
      <c r="AH14" s="156">
        <f t="shared" si="7"/>
        <v>135.31188</v>
      </c>
      <c r="AI14" s="156">
        <f t="shared" si="8"/>
        <v>67.655940000000001</v>
      </c>
      <c r="AJ14" s="156">
        <f t="shared" si="9"/>
        <v>135.31188</v>
      </c>
      <c r="AK14" s="156">
        <f t="shared" si="10"/>
        <v>135.31188</v>
      </c>
      <c r="AL14" s="156">
        <f t="shared" si="11"/>
        <v>473.59158000000002</v>
      </c>
      <c r="AM14" s="157">
        <f t="shared" ref="AM14:AM35" si="19">SUM(AD14:AI14)</f>
        <v>2082.1115534999999</v>
      </c>
      <c r="AN14" s="158">
        <f t="shared" si="12"/>
        <v>2200</v>
      </c>
      <c r="AO14" s="159">
        <v>0.2</v>
      </c>
      <c r="AP14" s="160">
        <f t="shared" si="13"/>
        <v>55322463.346765555</v>
      </c>
      <c r="AQ14" s="161">
        <f t="shared" si="14"/>
        <v>15367.352159045173</v>
      </c>
      <c r="AR14" s="162">
        <f t="shared" si="15"/>
        <v>3073.4704318090348</v>
      </c>
      <c r="AS14" s="163">
        <f t="shared" si="16"/>
        <v>0.43856598627412025</v>
      </c>
      <c r="AT14" s="164">
        <f t="shared" ref="AT14:AT35" si="20">AS14</f>
        <v>0.43856598627412025</v>
      </c>
      <c r="AU14" s="165"/>
      <c r="AV14" s="166"/>
      <c r="AW14" s="167"/>
      <c r="AX14" s="146"/>
      <c r="AY14" s="168"/>
    </row>
    <row r="15" spans="1:52" s="139" customFormat="1" ht="11.25" x14ac:dyDescent="0.25">
      <c r="A15" s="1"/>
      <c r="B15" s="140">
        <v>3</v>
      </c>
      <c r="C15" s="169" t="s">
        <v>65</v>
      </c>
      <c r="D15" s="142"/>
      <c r="E15" s="143"/>
      <c r="F15" s="143"/>
      <c r="G15" s="143"/>
      <c r="H15" s="143"/>
      <c r="I15" s="143"/>
      <c r="J15" s="144">
        <v>202080</v>
      </c>
      <c r="K15" s="144">
        <v>209853</v>
      </c>
      <c r="L15" s="144">
        <v>210111</v>
      </c>
      <c r="M15" s="144">
        <v>215315</v>
      </c>
      <c r="N15" s="144">
        <v>202251</v>
      </c>
      <c r="O15" s="143"/>
      <c r="P15" s="145"/>
      <c r="Q15" s="146">
        <f t="shared" si="17"/>
        <v>215315</v>
      </c>
      <c r="R15" s="147">
        <f t="shared" si="18"/>
        <v>23684.65</v>
      </c>
      <c r="S15" s="147">
        <f t="shared" si="0"/>
        <v>64.889452054794518</v>
      </c>
      <c r="T15" s="148">
        <f t="shared" si="1"/>
        <v>14210.789999999999</v>
      </c>
      <c r="U15" s="149"/>
      <c r="V15" s="150"/>
      <c r="W15" s="151"/>
      <c r="X15" s="151"/>
      <c r="Y15" s="152"/>
      <c r="Z15" s="153"/>
      <c r="AA15" s="153"/>
      <c r="AB15" s="154"/>
      <c r="AC15" s="155">
        <f t="shared" si="2"/>
        <v>8242.2581999999984</v>
      </c>
      <c r="AD15" s="156">
        <f t="shared" si="3"/>
        <v>1847.4026999999999</v>
      </c>
      <c r="AE15" s="156">
        <f t="shared" si="4"/>
        <v>1246.9968224999998</v>
      </c>
      <c r="AF15" s="156">
        <f t="shared" si="5"/>
        <v>568.4316</v>
      </c>
      <c r="AG15" s="156">
        <f t="shared" si="6"/>
        <v>284.2158</v>
      </c>
      <c r="AH15" s="156">
        <f t="shared" si="7"/>
        <v>284.2158</v>
      </c>
      <c r="AI15" s="156">
        <f t="shared" si="8"/>
        <v>142.1079</v>
      </c>
      <c r="AJ15" s="156">
        <f t="shared" si="9"/>
        <v>284.2158</v>
      </c>
      <c r="AK15" s="156">
        <f t="shared" si="10"/>
        <v>284.2158</v>
      </c>
      <c r="AL15" s="156">
        <f t="shared" si="11"/>
        <v>994.75530000000003</v>
      </c>
      <c r="AM15" s="157">
        <f t="shared" si="19"/>
        <v>4373.3706224999996</v>
      </c>
      <c r="AN15" s="158">
        <f t="shared" si="12"/>
        <v>2200</v>
      </c>
      <c r="AO15" s="159">
        <v>0.2</v>
      </c>
      <c r="AP15" s="160">
        <f t="shared" si="13"/>
        <v>116202052.4588946</v>
      </c>
      <c r="AQ15" s="161">
        <f t="shared" si="14"/>
        <v>32278.350487516331</v>
      </c>
      <c r="AR15" s="162">
        <f t="shared" si="15"/>
        <v>6455.6700975032663</v>
      </c>
      <c r="AS15" s="163">
        <f t="shared" si="16"/>
        <v>0.92118580158437025</v>
      </c>
      <c r="AT15" s="164">
        <f t="shared" si="20"/>
        <v>0.92118580158437025</v>
      </c>
      <c r="AU15" s="165"/>
      <c r="AV15" s="166"/>
      <c r="AW15" s="167"/>
      <c r="AX15" s="146"/>
      <c r="AY15" s="168"/>
    </row>
    <row r="16" spans="1:52" s="139" customFormat="1" ht="11.25" x14ac:dyDescent="0.25">
      <c r="A16" s="1"/>
      <c r="B16" s="140">
        <v>4</v>
      </c>
      <c r="C16" s="169" t="s">
        <v>66</v>
      </c>
      <c r="D16" s="142"/>
      <c r="E16" s="143"/>
      <c r="F16" s="143"/>
      <c r="G16" s="143"/>
      <c r="H16" s="143"/>
      <c r="I16" s="143"/>
      <c r="J16" s="144">
        <v>173056</v>
      </c>
      <c r="K16" s="144">
        <v>174371</v>
      </c>
      <c r="L16" s="144">
        <v>175501</v>
      </c>
      <c r="M16" s="144">
        <v>177024</v>
      </c>
      <c r="N16" s="144">
        <v>179010</v>
      </c>
      <c r="O16" s="143"/>
      <c r="P16" s="145"/>
      <c r="Q16" s="146">
        <f t="shared" si="17"/>
        <v>179010</v>
      </c>
      <c r="R16" s="147">
        <f t="shared" si="18"/>
        <v>19691.099999999999</v>
      </c>
      <c r="S16" s="147">
        <f t="shared" si="0"/>
        <v>53.948219178082191</v>
      </c>
      <c r="T16" s="148">
        <f t="shared" si="1"/>
        <v>11814.659999999998</v>
      </c>
      <c r="U16" s="149"/>
      <c r="V16" s="150"/>
      <c r="W16" s="151"/>
      <c r="X16" s="151"/>
      <c r="Y16" s="152"/>
      <c r="Z16" s="153"/>
      <c r="AA16" s="153"/>
      <c r="AB16" s="154"/>
      <c r="AC16" s="155">
        <f t="shared" si="2"/>
        <v>6852.5027999999984</v>
      </c>
      <c r="AD16" s="156">
        <f t="shared" si="3"/>
        <v>1535.9057999999998</v>
      </c>
      <c r="AE16" s="156">
        <f t="shared" si="4"/>
        <v>1036.7364149999999</v>
      </c>
      <c r="AF16" s="156">
        <f t="shared" si="5"/>
        <v>472.58639999999991</v>
      </c>
      <c r="AG16" s="156">
        <f t="shared" si="6"/>
        <v>236.29319999999996</v>
      </c>
      <c r="AH16" s="156">
        <f t="shared" si="7"/>
        <v>236.29319999999996</v>
      </c>
      <c r="AI16" s="156">
        <f t="shared" si="8"/>
        <v>118.14659999999998</v>
      </c>
      <c r="AJ16" s="156">
        <f t="shared" si="9"/>
        <v>236.29319999999996</v>
      </c>
      <c r="AK16" s="156">
        <f t="shared" si="10"/>
        <v>236.29319999999996</v>
      </c>
      <c r="AL16" s="156">
        <f t="shared" si="11"/>
        <v>827.0261999999999</v>
      </c>
      <c r="AM16" s="157">
        <f t="shared" si="19"/>
        <v>3635.9616150000002</v>
      </c>
      <c r="AN16" s="158">
        <f t="shared" si="12"/>
        <v>2200</v>
      </c>
      <c r="AO16" s="159">
        <v>0.2</v>
      </c>
      <c r="AP16" s="160">
        <f t="shared" si="13"/>
        <v>96608826.187988386</v>
      </c>
      <c r="AQ16" s="161">
        <f t="shared" si="14"/>
        <v>26835.787199081798</v>
      </c>
      <c r="AR16" s="162">
        <f t="shared" si="15"/>
        <v>5367.1574398163602</v>
      </c>
      <c r="AS16" s="163">
        <f t="shared" si="16"/>
        <v>0.76586150682311072</v>
      </c>
      <c r="AT16" s="164">
        <f t="shared" si="20"/>
        <v>0.76586150682311072</v>
      </c>
      <c r="AU16" s="165"/>
      <c r="AV16" s="166"/>
      <c r="AW16" s="167"/>
      <c r="AX16" s="146"/>
      <c r="AY16" s="168"/>
    </row>
    <row r="17" spans="1:51" s="139" customFormat="1" ht="11.25" x14ac:dyDescent="0.25">
      <c r="A17" s="1"/>
      <c r="B17" s="140">
        <v>5</v>
      </c>
      <c r="C17" s="170" t="s">
        <v>67</v>
      </c>
      <c r="D17" s="142"/>
      <c r="E17" s="143"/>
      <c r="F17" s="143"/>
      <c r="G17" s="143"/>
      <c r="H17" s="143"/>
      <c r="I17" s="143"/>
      <c r="J17" s="144">
        <v>311413</v>
      </c>
      <c r="K17" s="144">
        <v>313333</v>
      </c>
      <c r="L17" s="144">
        <v>332915</v>
      </c>
      <c r="M17" s="144">
        <v>340728</v>
      </c>
      <c r="N17" s="144">
        <v>360475</v>
      </c>
      <c r="O17" s="143"/>
      <c r="P17" s="145"/>
      <c r="Q17" s="146">
        <f t="shared" si="17"/>
        <v>360475</v>
      </c>
      <c r="R17" s="147">
        <f t="shared" si="18"/>
        <v>39652.25</v>
      </c>
      <c r="S17" s="147">
        <f t="shared" si="0"/>
        <v>108.63630136986302</v>
      </c>
      <c r="T17" s="148">
        <f t="shared" si="1"/>
        <v>23791.35</v>
      </c>
      <c r="U17" s="149"/>
      <c r="V17" s="150"/>
      <c r="W17" s="151"/>
      <c r="X17" s="151"/>
      <c r="Y17" s="152"/>
      <c r="Z17" s="153"/>
      <c r="AA17" s="153"/>
      <c r="AB17" s="154"/>
      <c r="AC17" s="155">
        <f t="shared" si="2"/>
        <v>13798.982999999998</v>
      </c>
      <c r="AD17" s="156">
        <f t="shared" si="3"/>
        <v>3092.8755000000001</v>
      </c>
      <c r="AE17" s="156">
        <f t="shared" si="4"/>
        <v>2087.6909624999998</v>
      </c>
      <c r="AF17" s="156">
        <f t="shared" si="5"/>
        <v>951.654</v>
      </c>
      <c r="AG17" s="156">
        <f t="shared" si="6"/>
        <v>475.827</v>
      </c>
      <c r="AH17" s="156">
        <f t="shared" si="7"/>
        <v>475.827</v>
      </c>
      <c r="AI17" s="156">
        <f t="shared" si="8"/>
        <v>237.9135</v>
      </c>
      <c r="AJ17" s="156">
        <f t="shared" si="9"/>
        <v>475.827</v>
      </c>
      <c r="AK17" s="156">
        <f t="shared" si="10"/>
        <v>475.827</v>
      </c>
      <c r="AL17" s="156">
        <f t="shared" si="11"/>
        <v>1665.3945000000001</v>
      </c>
      <c r="AM17" s="157">
        <f t="shared" si="19"/>
        <v>7321.7879624999996</v>
      </c>
      <c r="AN17" s="158">
        <f t="shared" si="12"/>
        <v>2200</v>
      </c>
      <c r="AO17" s="159">
        <v>0.2</v>
      </c>
      <c r="AP17" s="160">
        <f t="shared" si="13"/>
        <v>194542576.504749</v>
      </c>
      <c r="AQ17" s="161">
        <f t="shared" si="14"/>
        <v>54039.608907820868</v>
      </c>
      <c r="AR17" s="162">
        <f t="shared" si="15"/>
        <v>10807.921781564175</v>
      </c>
      <c r="AS17" s="163">
        <f t="shared" si="16"/>
        <v>1.5422262816158925</v>
      </c>
      <c r="AT17" s="164">
        <f t="shared" si="20"/>
        <v>1.5422262816158925</v>
      </c>
      <c r="AU17" s="165"/>
      <c r="AV17" s="166"/>
      <c r="AW17" s="167"/>
      <c r="AX17" s="146"/>
      <c r="AY17" s="168"/>
    </row>
    <row r="18" spans="1:51" s="139" customFormat="1" ht="11.25" x14ac:dyDescent="0.25">
      <c r="A18" s="1"/>
      <c r="B18" s="140">
        <v>6</v>
      </c>
      <c r="C18" s="170" t="s">
        <v>68</v>
      </c>
      <c r="D18" s="142"/>
      <c r="E18" s="143"/>
      <c r="F18" s="143"/>
      <c r="G18" s="143"/>
      <c r="H18" s="143"/>
      <c r="I18" s="143"/>
      <c r="J18" s="144">
        <v>166895</v>
      </c>
      <c r="K18" s="144">
        <v>170766</v>
      </c>
      <c r="L18" s="144">
        <v>182533</v>
      </c>
      <c r="M18" s="144">
        <v>189298</v>
      </c>
      <c r="N18" s="144">
        <v>175527</v>
      </c>
      <c r="O18" s="143"/>
      <c r="P18" s="145"/>
      <c r="Q18" s="146">
        <f t="shared" si="17"/>
        <v>189298</v>
      </c>
      <c r="R18" s="147">
        <f t="shared" si="18"/>
        <v>20822.78</v>
      </c>
      <c r="S18" s="147">
        <f t="shared" si="0"/>
        <v>57.048712328767117</v>
      </c>
      <c r="T18" s="148">
        <f t="shared" si="1"/>
        <v>12493.668</v>
      </c>
      <c r="U18" s="149"/>
      <c r="V18" s="150"/>
      <c r="W18" s="151"/>
      <c r="X18" s="151"/>
      <c r="Y18" s="152"/>
      <c r="Z18" s="153"/>
      <c r="AA18" s="153"/>
      <c r="AB18" s="154"/>
      <c r="AC18" s="155">
        <f t="shared" si="2"/>
        <v>7246.3274399999991</v>
      </c>
      <c r="AD18" s="156">
        <f t="shared" si="3"/>
        <v>1624.1768400000001</v>
      </c>
      <c r="AE18" s="156">
        <f t="shared" si="4"/>
        <v>1096.3193669999998</v>
      </c>
      <c r="AF18" s="156">
        <f t="shared" si="5"/>
        <v>499.74671999999998</v>
      </c>
      <c r="AG18" s="156">
        <f t="shared" si="6"/>
        <v>249.87335999999999</v>
      </c>
      <c r="AH18" s="156">
        <f t="shared" si="7"/>
        <v>249.87335999999999</v>
      </c>
      <c r="AI18" s="156">
        <f t="shared" si="8"/>
        <v>124.93668</v>
      </c>
      <c r="AJ18" s="156">
        <f t="shared" si="9"/>
        <v>249.87335999999999</v>
      </c>
      <c r="AK18" s="156">
        <f t="shared" si="10"/>
        <v>249.87335999999999</v>
      </c>
      <c r="AL18" s="156">
        <f t="shared" si="11"/>
        <v>874.55676000000005</v>
      </c>
      <c r="AM18" s="157">
        <f t="shared" si="19"/>
        <v>3844.9263270000001</v>
      </c>
      <c r="AN18" s="158">
        <f t="shared" si="12"/>
        <v>2200</v>
      </c>
      <c r="AO18" s="159">
        <v>0.2</v>
      </c>
      <c r="AP18" s="160">
        <f t="shared" si="13"/>
        <v>102161094.79768629</v>
      </c>
      <c r="AQ18" s="161">
        <f t="shared" si="14"/>
        <v>28378.084158492744</v>
      </c>
      <c r="AR18" s="162">
        <f t="shared" si="15"/>
        <v>5675.6168316985495</v>
      </c>
      <c r="AS18" s="163">
        <f t="shared" si="16"/>
        <v>0.80987683100721308</v>
      </c>
      <c r="AT18" s="164">
        <f t="shared" si="20"/>
        <v>0.80987683100721308</v>
      </c>
      <c r="AU18" s="165"/>
      <c r="AV18" s="166"/>
      <c r="AW18" s="167"/>
      <c r="AX18" s="146"/>
      <c r="AY18" s="168"/>
    </row>
    <row r="19" spans="1:51" s="139" customFormat="1" ht="11.25" x14ac:dyDescent="0.25">
      <c r="A19" s="1"/>
      <c r="B19" s="140">
        <v>7</v>
      </c>
      <c r="C19" s="170" t="s">
        <v>69</v>
      </c>
      <c r="D19" s="142"/>
      <c r="E19" s="143"/>
      <c r="F19" s="143"/>
      <c r="G19" s="143"/>
      <c r="H19" s="143"/>
      <c r="I19" s="143"/>
      <c r="J19" s="171">
        <v>151552</v>
      </c>
      <c r="K19" s="144">
        <v>152557</v>
      </c>
      <c r="L19" s="144">
        <v>153398</v>
      </c>
      <c r="M19" s="144">
        <v>158499</v>
      </c>
      <c r="N19" s="144">
        <v>173558</v>
      </c>
      <c r="O19" s="143"/>
      <c r="P19" s="145"/>
      <c r="Q19" s="146">
        <f t="shared" si="17"/>
        <v>173558</v>
      </c>
      <c r="R19" s="147">
        <f t="shared" si="18"/>
        <v>19091.38</v>
      </c>
      <c r="S19" s="147">
        <f t="shared" si="0"/>
        <v>52.305150684931512</v>
      </c>
      <c r="T19" s="148">
        <f t="shared" si="1"/>
        <v>11454.828</v>
      </c>
      <c r="U19" s="149"/>
      <c r="V19" s="150"/>
      <c r="W19" s="151"/>
      <c r="X19" s="151"/>
      <c r="Y19" s="152"/>
      <c r="Z19" s="153"/>
      <c r="AA19" s="153"/>
      <c r="AB19" s="154"/>
      <c r="AC19" s="155">
        <f t="shared" si="2"/>
        <v>6643.8002399999996</v>
      </c>
      <c r="AD19" s="156">
        <f t="shared" si="3"/>
        <v>1489.1276399999999</v>
      </c>
      <c r="AE19" s="156">
        <f t="shared" si="4"/>
        <v>1005.1611569999999</v>
      </c>
      <c r="AF19" s="156">
        <f t="shared" si="5"/>
        <v>458.19311999999996</v>
      </c>
      <c r="AG19" s="156">
        <f t="shared" si="6"/>
        <v>229.09655999999998</v>
      </c>
      <c r="AH19" s="156">
        <f t="shared" si="7"/>
        <v>229.09655999999998</v>
      </c>
      <c r="AI19" s="156">
        <f t="shared" si="8"/>
        <v>114.54827999999999</v>
      </c>
      <c r="AJ19" s="156">
        <f t="shared" si="9"/>
        <v>229.09655999999998</v>
      </c>
      <c r="AK19" s="156">
        <f t="shared" si="10"/>
        <v>229.09655999999998</v>
      </c>
      <c r="AL19" s="156">
        <f t="shared" si="11"/>
        <v>801.83796000000007</v>
      </c>
      <c r="AM19" s="157">
        <f t="shared" si="19"/>
        <v>3525.2233169999995</v>
      </c>
      <c r="AN19" s="158">
        <f t="shared" si="12"/>
        <v>2200</v>
      </c>
      <c r="AO19" s="159">
        <v>0.2</v>
      </c>
      <c r="AP19" s="160">
        <f t="shared" si="13"/>
        <v>93666469.22258471</v>
      </c>
      <c r="AQ19" s="161">
        <f t="shared" si="14"/>
        <v>26018.465754417291</v>
      </c>
      <c r="AR19" s="162">
        <f t="shared" si="15"/>
        <v>5203.6931508834587</v>
      </c>
      <c r="AS19" s="163">
        <f t="shared" si="16"/>
        <v>0.74253612312834738</v>
      </c>
      <c r="AT19" s="164">
        <f t="shared" si="20"/>
        <v>0.74253612312834738</v>
      </c>
      <c r="AU19" s="165"/>
      <c r="AV19" s="166"/>
      <c r="AW19" s="167"/>
      <c r="AX19" s="146"/>
      <c r="AY19" s="168"/>
    </row>
    <row r="20" spans="1:51" s="139" customFormat="1" ht="11.25" x14ac:dyDescent="0.25">
      <c r="A20" s="1"/>
      <c r="B20" s="140">
        <v>8</v>
      </c>
      <c r="C20" s="170" t="s">
        <v>70</v>
      </c>
      <c r="D20" s="142"/>
      <c r="E20" s="143"/>
      <c r="F20" s="143"/>
      <c r="G20" s="143"/>
      <c r="H20" s="143"/>
      <c r="I20" s="143"/>
      <c r="J20" s="144">
        <v>304303</v>
      </c>
      <c r="K20" s="144">
        <v>307362</v>
      </c>
      <c r="L20" s="144">
        <v>310107</v>
      </c>
      <c r="M20" s="144">
        <v>312762</v>
      </c>
      <c r="N20" s="144">
        <v>351418</v>
      </c>
      <c r="O20" s="143"/>
      <c r="P20" s="145"/>
      <c r="Q20" s="146">
        <f t="shared" si="17"/>
        <v>351418</v>
      </c>
      <c r="R20" s="147">
        <f t="shared" si="18"/>
        <v>38655.980000000003</v>
      </c>
      <c r="S20" s="147">
        <f t="shared" si="0"/>
        <v>105.90679452054795</v>
      </c>
      <c r="T20" s="148">
        <f t="shared" si="1"/>
        <v>23193.588</v>
      </c>
      <c r="U20" s="149"/>
      <c r="V20" s="150"/>
      <c r="W20" s="151"/>
      <c r="X20" s="151"/>
      <c r="Y20" s="152"/>
      <c r="Z20" s="153"/>
      <c r="AA20" s="153"/>
      <c r="AB20" s="154"/>
      <c r="AC20" s="155">
        <f t="shared" si="2"/>
        <v>13452.281039999998</v>
      </c>
      <c r="AD20" s="156">
        <f t="shared" si="3"/>
        <v>3015.16644</v>
      </c>
      <c r="AE20" s="156">
        <f t="shared" si="4"/>
        <v>2035.2373469999998</v>
      </c>
      <c r="AF20" s="156">
        <f t="shared" si="5"/>
        <v>927.74351999999999</v>
      </c>
      <c r="AG20" s="156">
        <f t="shared" si="6"/>
        <v>463.87175999999999</v>
      </c>
      <c r="AH20" s="156">
        <f t="shared" si="7"/>
        <v>463.87175999999999</v>
      </c>
      <c r="AI20" s="156">
        <f t="shared" si="8"/>
        <v>231.93588</v>
      </c>
      <c r="AJ20" s="156">
        <f t="shared" si="9"/>
        <v>463.87175999999999</v>
      </c>
      <c r="AK20" s="156">
        <f t="shared" si="10"/>
        <v>463.87175999999999</v>
      </c>
      <c r="AL20" s="156">
        <f t="shared" si="11"/>
        <v>1623.5511600000002</v>
      </c>
      <c r="AM20" s="157">
        <f t="shared" si="19"/>
        <v>7137.8267069999993</v>
      </c>
      <c r="AN20" s="158">
        <f t="shared" si="12"/>
        <v>2200</v>
      </c>
      <c r="AO20" s="159">
        <v>0.2</v>
      </c>
      <c r="AP20" s="160">
        <f t="shared" si="13"/>
        <v>189654658.8533071</v>
      </c>
      <c r="AQ20" s="161">
        <f t="shared" si="14"/>
        <v>52681.85389602217</v>
      </c>
      <c r="AR20" s="162">
        <f t="shared" si="15"/>
        <v>10536.370779204435</v>
      </c>
      <c r="AS20" s="163">
        <f t="shared" si="16"/>
        <v>1.5034775655257471</v>
      </c>
      <c r="AT20" s="164">
        <f t="shared" si="20"/>
        <v>1.5034775655257471</v>
      </c>
      <c r="AU20" s="165"/>
      <c r="AV20" s="166"/>
      <c r="AW20" s="167"/>
      <c r="AX20" s="146"/>
      <c r="AY20" s="168"/>
    </row>
    <row r="21" spans="1:51" s="139" customFormat="1" ht="11.25" x14ac:dyDescent="0.25">
      <c r="A21" s="1"/>
      <c r="B21" s="140">
        <v>9</v>
      </c>
      <c r="C21" s="170" t="s">
        <v>71</v>
      </c>
      <c r="D21" s="142"/>
      <c r="E21" s="143"/>
      <c r="F21" s="143"/>
      <c r="G21" s="143"/>
      <c r="H21" s="143"/>
      <c r="I21" s="143"/>
      <c r="J21" s="144">
        <v>365813</v>
      </c>
      <c r="K21" s="144">
        <v>373234</v>
      </c>
      <c r="L21" s="144">
        <v>380382</v>
      </c>
      <c r="M21" s="144">
        <v>386053</v>
      </c>
      <c r="N21" s="144">
        <v>379108</v>
      </c>
      <c r="O21" s="143"/>
      <c r="P21" s="145"/>
      <c r="Q21" s="146">
        <f t="shared" si="17"/>
        <v>386053</v>
      </c>
      <c r="R21" s="147">
        <f t="shared" si="18"/>
        <v>42465.83</v>
      </c>
      <c r="S21" s="147">
        <f t="shared" si="0"/>
        <v>116.3447397260274</v>
      </c>
      <c r="T21" s="148">
        <f t="shared" si="1"/>
        <v>25479.498</v>
      </c>
      <c r="U21" s="149"/>
      <c r="V21" s="150"/>
      <c r="W21" s="151"/>
      <c r="X21" s="151"/>
      <c r="Y21" s="152"/>
      <c r="Z21" s="153"/>
      <c r="AA21" s="153"/>
      <c r="AB21" s="154"/>
      <c r="AC21" s="155">
        <f t="shared" si="2"/>
        <v>14778.108839999999</v>
      </c>
      <c r="AD21" s="156">
        <f t="shared" si="3"/>
        <v>3312.3347400000002</v>
      </c>
      <c r="AE21" s="156">
        <f t="shared" si="4"/>
        <v>2235.8259494999998</v>
      </c>
      <c r="AF21" s="156">
        <f t="shared" si="5"/>
        <v>1019.17992</v>
      </c>
      <c r="AG21" s="156">
        <f t="shared" si="6"/>
        <v>509.58996000000002</v>
      </c>
      <c r="AH21" s="156">
        <f t="shared" si="7"/>
        <v>509.58996000000002</v>
      </c>
      <c r="AI21" s="156">
        <f t="shared" si="8"/>
        <v>254.79498000000001</v>
      </c>
      <c r="AJ21" s="156">
        <f t="shared" si="9"/>
        <v>509.58996000000002</v>
      </c>
      <c r="AK21" s="156">
        <f t="shared" si="10"/>
        <v>509.58996000000002</v>
      </c>
      <c r="AL21" s="156">
        <f t="shared" si="11"/>
        <v>1783.5648600000002</v>
      </c>
      <c r="AM21" s="157">
        <f t="shared" si="19"/>
        <v>7841.3155095000011</v>
      </c>
      <c r="AN21" s="158">
        <f t="shared" si="12"/>
        <v>2200</v>
      </c>
      <c r="AO21" s="159">
        <v>0.2</v>
      </c>
      <c r="AP21" s="160">
        <f t="shared" si="13"/>
        <v>208346612.90627053</v>
      </c>
      <c r="AQ21" s="161">
        <f t="shared" si="14"/>
        <v>57874.063770555433</v>
      </c>
      <c r="AR21" s="162">
        <f t="shared" si="15"/>
        <v>11574.812754111088</v>
      </c>
      <c r="AS21" s="163">
        <f t="shared" si="16"/>
        <v>1.6516570710774954</v>
      </c>
      <c r="AT21" s="164">
        <f t="shared" si="20"/>
        <v>1.6516570710774954</v>
      </c>
      <c r="AU21" s="165"/>
      <c r="AV21" s="166"/>
      <c r="AW21" s="167"/>
      <c r="AX21" s="146"/>
      <c r="AY21" s="168"/>
    </row>
    <row r="22" spans="1:51" s="139" customFormat="1" ht="11.25" x14ac:dyDescent="0.25">
      <c r="A22" s="1"/>
      <c r="B22" s="140">
        <v>10</v>
      </c>
      <c r="C22" s="170" t="s">
        <v>72</v>
      </c>
      <c r="D22" s="142"/>
      <c r="E22" s="143"/>
      <c r="F22" s="143"/>
      <c r="G22" s="143"/>
      <c r="H22" s="143"/>
      <c r="I22" s="143"/>
      <c r="J22" s="144">
        <v>354027</v>
      </c>
      <c r="K22" s="144">
        <v>355989</v>
      </c>
      <c r="L22" s="144">
        <v>357564</v>
      </c>
      <c r="M22" s="144">
        <v>359032</v>
      </c>
      <c r="N22" s="144">
        <v>389288</v>
      </c>
      <c r="O22" s="143"/>
      <c r="P22" s="145"/>
      <c r="Q22" s="146">
        <f t="shared" si="17"/>
        <v>389288</v>
      </c>
      <c r="R22" s="147">
        <f t="shared" si="18"/>
        <v>42821.68</v>
      </c>
      <c r="S22" s="147">
        <f t="shared" si="0"/>
        <v>117.31967123287671</v>
      </c>
      <c r="T22" s="148">
        <f t="shared" si="1"/>
        <v>25693.007999999998</v>
      </c>
      <c r="U22" s="149"/>
      <c r="V22" s="150"/>
      <c r="W22" s="151"/>
      <c r="X22" s="151"/>
      <c r="Y22" s="152"/>
      <c r="Z22" s="153"/>
      <c r="AA22" s="153"/>
      <c r="AB22" s="154"/>
      <c r="AC22" s="155">
        <f t="shared" si="2"/>
        <v>14901.944639999998</v>
      </c>
      <c r="AD22" s="156">
        <f t="shared" si="3"/>
        <v>3340.0910399999998</v>
      </c>
      <c r="AE22" s="156">
        <f t="shared" si="4"/>
        <v>2254.5614519999995</v>
      </c>
      <c r="AF22" s="156">
        <f t="shared" si="5"/>
        <v>1027.7203199999999</v>
      </c>
      <c r="AG22" s="156">
        <f t="shared" si="6"/>
        <v>513.86015999999995</v>
      </c>
      <c r="AH22" s="156">
        <f t="shared" si="7"/>
        <v>513.86015999999995</v>
      </c>
      <c r="AI22" s="156">
        <f t="shared" si="8"/>
        <v>256.93007999999998</v>
      </c>
      <c r="AJ22" s="156">
        <f t="shared" si="9"/>
        <v>513.86015999999995</v>
      </c>
      <c r="AK22" s="156">
        <f t="shared" si="10"/>
        <v>513.86015999999995</v>
      </c>
      <c r="AL22" s="156">
        <f t="shared" si="11"/>
        <v>1798.5105599999999</v>
      </c>
      <c r="AM22" s="157">
        <f t="shared" si="19"/>
        <v>7907.0232120000001</v>
      </c>
      <c r="AN22" s="158">
        <f t="shared" si="12"/>
        <v>2200</v>
      </c>
      <c r="AO22" s="159">
        <v>0.2</v>
      </c>
      <c r="AP22" s="160">
        <f t="shared" si="13"/>
        <v>210092490.5260579</v>
      </c>
      <c r="AQ22" s="161">
        <f t="shared" si="14"/>
        <v>58359.029814849207</v>
      </c>
      <c r="AR22" s="162">
        <f t="shared" si="15"/>
        <v>11671.805962969842</v>
      </c>
      <c r="AS22" s="163">
        <f t="shared" si="16"/>
        <v>1.6654974262228655</v>
      </c>
      <c r="AT22" s="164">
        <f t="shared" si="20"/>
        <v>1.6654974262228655</v>
      </c>
      <c r="AU22" s="165"/>
      <c r="AV22" s="166"/>
      <c r="AW22" s="167"/>
      <c r="AX22" s="146"/>
      <c r="AY22" s="168"/>
    </row>
    <row r="23" spans="1:51" s="139" customFormat="1" ht="11.25" x14ac:dyDescent="0.25">
      <c r="A23" s="1"/>
      <c r="B23" s="140">
        <v>11</v>
      </c>
      <c r="C23" s="170" t="s">
        <v>73</v>
      </c>
      <c r="D23" s="142"/>
      <c r="E23" s="143"/>
      <c r="F23" s="143"/>
      <c r="G23" s="143"/>
      <c r="H23" s="143"/>
      <c r="I23" s="143"/>
      <c r="J23" s="144">
        <v>506002</v>
      </c>
      <c r="K23" s="144">
        <v>510494</v>
      </c>
      <c r="L23" s="144">
        <v>517741</v>
      </c>
      <c r="M23" s="144">
        <v>532537</v>
      </c>
      <c r="N23" s="144">
        <v>529751</v>
      </c>
      <c r="O23" s="143"/>
      <c r="P23" s="145"/>
      <c r="Q23" s="146">
        <f t="shared" si="17"/>
        <v>532537</v>
      </c>
      <c r="R23" s="147">
        <f>Q23*$R$9</f>
        <v>77750.402000000002</v>
      </c>
      <c r="S23" s="147">
        <f t="shared" si="0"/>
        <v>213.01480000000001</v>
      </c>
      <c r="T23" s="148">
        <f>S23*$T$5*$T$9</f>
        <v>54425.2814</v>
      </c>
      <c r="U23" s="149"/>
      <c r="V23" s="150"/>
      <c r="W23" s="151"/>
      <c r="X23" s="151"/>
      <c r="Y23" s="152"/>
      <c r="Z23" s="153"/>
      <c r="AA23" s="153"/>
      <c r="AB23" s="154"/>
      <c r="AC23" s="155">
        <f t="shared" si="2"/>
        <v>31566.663211999999</v>
      </c>
      <c r="AD23" s="156">
        <f t="shared" si="3"/>
        <v>7075.2865820000006</v>
      </c>
      <c r="AE23" s="156">
        <f t="shared" si="4"/>
        <v>4775.8184428499999</v>
      </c>
      <c r="AF23" s="156">
        <f t="shared" si="5"/>
        <v>2177.0112560000002</v>
      </c>
      <c r="AG23" s="156">
        <f t="shared" si="6"/>
        <v>1088.5056280000001</v>
      </c>
      <c r="AH23" s="156">
        <f t="shared" si="7"/>
        <v>1088.5056280000001</v>
      </c>
      <c r="AI23" s="156">
        <f t="shared" si="8"/>
        <v>544.25281400000006</v>
      </c>
      <c r="AJ23" s="156">
        <f t="shared" si="9"/>
        <v>1088.5056280000001</v>
      </c>
      <c r="AK23" s="156">
        <f t="shared" si="10"/>
        <v>1088.5056280000001</v>
      </c>
      <c r="AL23" s="156">
        <f t="shared" si="11"/>
        <v>3809.7696980000005</v>
      </c>
      <c r="AM23" s="157">
        <f t="shared" si="19"/>
        <v>16749.380350850002</v>
      </c>
      <c r="AN23" s="158">
        <f t="shared" si="12"/>
        <v>2200</v>
      </c>
      <c r="AO23" s="159">
        <v>0.2</v>
      </c>
      <c r="AP23" s="160">
        <f t="shared" si="13"/>
        <v>445037144.61566877</v>
      </c>
      <c r="AQ23" s="161">
        <f t="shared" si="14"/>
        <v>123621.43894962232</v>
      </c>
      <c r="AR23" s="162">
        <f t="shared" si="15"/>
        <v>24724.287789924463</v>
      </c>
      <c r="AS23" s="163">
        <f t="shared" si="16"/>
        <v>3.5280091024435594</v>
      </c>
      <c r="AT23" s="164">
        <f t="shared" si="20"/>
        <v>3.5280091024435594</v>
      </c>
      <c r="AU23" s="165"/>
      <c r="AV23" s="166"/>
      <c r="AW23" s="167"/>
      <c r="AX23" s="146"/>
      <c r="AY23" s="168"/>
    </row>
    <row r="24" spans="1:51" s="139" customFormat="1" ht="11.25" x14ac:dyDescent="0.25">
      <c r="A24" s="1"/>
      <c r="B24" s="140">
        <v>12</v>
      </c>
      <c r="C24" s="170" t="s">
        <v>74</v>
      </c>
      <c r="D24" s="142"/>
      <c r="E24" s="143"/>
      <c r="F24" s="143"/>
      <c r="G24" s="143"/>
      <c r="H24" s="143"/>
      <c r="I24" s="143"/>
      <c r="J24" s="144">
        <v>119397</v>
      </c>
      <c r="K24" s="144">
        <v>121302</v>
      </c>
      <c r="L24" s="144">
        <v>123101</v>
      </c>
      <c r="M24" s="144">
        <v>124813</v>
      </c>
      <c r="N24" s="144">
        <v>126036</v>
      </c>
      <c r="O24" s="143"/>
      <c r="P24" s="145"/>
      <c r="Q24" s="146">
        <f t="shared" si="17"/>
        <v>126036</v>
      </c>
      <c r="R24" s="147">
        <f t="shared" si="18"/>
        <v>13863.960000000001</v>
      </c>
      <c r="S24" s="147">
        <f t="shared" si="0"/>
        <v>37.983452054794526</v>
      </c>
      <c r="T24" s="148">
        <f t="shared" ref="T24:T35" si="21">S24*$T$5*$T$10</f>
        <v>8318.376000000002</v>
      </c>
      <c r="U24" s="149"/>
      <c r="V24" s="150"/>
      <c r="W24" s="151"/>
      <c r="X24" s="151"/>
      <c r="Y24" s="152"/>
      <c r="Z24" s="153"/>
      <c r="AA24" s="153"/>
      <c r="AB24" s="154"/>
      <c r="AC24" s="155">
        <f t="shared" si="2"/>
        <v>4824.6580800000011</v>
      </c>
      <c r="AD24" s="156">
        <f t="shared" si="3"/>
        <v>1081.3888800000002</v>
      </c>
      <c r="AE24" s="156">
        <f t="shared" si="4"/>
        <v>729.93749400000013</v>
      </c>
      <c r="AF24" s="156">
        <f t="shared" si="5"/>
        <v>332.73504000000008</v>
      </c>
      <c r="AG24" s="156">
        <f t="shared" si="6"/>
        <v>166.36752000000004</v>
      </c>
      <c r="AH24" s="156">
        <f t="shared" si="7"/>
        <v>166.36752000000004</v>
      </c>
      <c r="AI24" s="156">
        <f t="shared" si="8"/>
        <v>83.183760000000021</v>
      </c>
      <c r="AJ24" s="156">
        <f t="shared" si="9"/>
        <v>166.36752000000004</v>
      </c>
      <c r="AK24" s="156">
        <f t="shared" si="10"/>
        <v>166.36752000000004</v>
      </c>
      <c r="AL24" s="156">
        <f t="shared" si="11"/>
        <v>582.28632000000016</v>
      </c>
      <c r="AM24" s="157">
        <f t="shared" si="19"/>
        <v>2559.9802140000006</v>
      </c>
      <c r="AN24" s="158">
        <f t="shared" si="12"/>
        <v>2200</v>
      </c>
      <c r="AO24" s="159">
        <v>0.2</v>
      </c>
      <c r="AP24" s="160">
        <f t="shared" si="13"/>
        <v>68019607.940502256</v>
      </c>
      <c r="AQ24" s="161">
        <f t="shared" si="14"/>
        <v>18894.337050575246</v>
      </c>
      <c r="AR24" s="162">
        <f t="shared" si="15"/>
        <v>3778.8674101150496</v>
      </c>
      <c r="AS24" s="163">
        <f t="shared" si="16"/>
        <v>0.53922194779038946</v>
      </c>
      <c r="AT24" s="164">
        <f t="shared" si="20"/>
        <v>0.53922194779038946</v>
      </c>
      <c r="AU24" s="165"/>
      <c r="AV24" s="166"/>
      <c r="AW24" s="167"/>
      <c r="AX24" s="146"/>
      <c r="AY24" s="168"/>
    </row>
    <row r="25" spans="1:51" s="139" customFormat="1" ht="11.25" x14ac:dyDescent="0.25">
      <c r="A25" s="1"/>
      <c r="B25" s="140">
        <v>13</v>
      </c>
      <c r="C25" s="170" t="s">
        <v>75</v>
      </c>
      <c r="D25" s="142"/>
      <c r="E25" s="143"/>
      <c r="F25" s="143"/>
      <c r="G25" s="143"/>
      <c r="H25" s="143"/>
      <c r="I25" s="143"/>
      <c r="J25" s="144">
        <v>73752</v>
      </c>
      <c r="K25" s="144">
        <v>74312</v>
      </c>
      <c r="L25" s="144">
        <v>74794</v>
      </c>
      <c r="M25" s="144">
        <v>75165</v>
      </c>
      <c r="N25" s="144">
        <v>79560</v>
      </c>
      <c r="O25" s="143"/>
      <c r="P25" s="145"/>
      <c r="Q25" s="146">
        <f t="shared" si="17"/>
        <v>79560</v>
      </c>
      <c r="R25" s="147">
        <f t="shared" si="18"/>
        <v>8751.6</v>
      </c>
      <c r="S25" s="147">
        <f t="shared" si="0"/>
        <v>23.976986301369863</v>
      </c>
      <c r="T25" s="148">
        <f t="shared" si="21"/>
        <v>5250.96</v>
      </c>
      <c r="U25" s="149"/>
      <c r="V25" s="150"/>
      <c r="W25" s="151"/>
      <c r="X25" s="151"/>
      <c r="Y25" s="152"/>
      <c r="Z25" s="153"/>
      <c r="AA25" s="153"/>
      <c r="AB25" s="154"/>
      <c r="AC25" s="155">
        <f t="shared" si="2"/>
        <v>3045.5567999999998</v>
      </c>
      <c r="AD25" s="156">
        <f t="shared" si="3"/>
        <v>682.62480000000005</v>
      </c>
      <c r="AE25" s="156">
        <f t="shared" si="4"/>
        <v>460.77173999999997</v>
      </c>
      <c r="AF25" s="156">
        <f t="shared" si="5"/>
        <v>210.0384</v>
      </c>
      <c r="AG25" s="156">
        <f t="shared" si="6"/>
        <v>105.0192</v>
      </c>
      <c r="AH25" s="156">
        <f t="shared" si="7"/>
        <v>105.0192</v>
      </c>
      <c r="AI25" s="156">
        <f t="shared" si="8"/>
        <v>52.509599999999999</v>
      </c>
      <c r="AJ25" s="156">
        <f t="shared" si="9"/>
        <v>105.0192</v>
      </c>
      <c r="AK25" s="156">
        <f t="shared" si="10"/>
        <v>105.0192</v>
      </c>
      <c r="AL25" s="156">
        <f t="shared" si="11"/>
        <v>367.56720000000001</v>
      </c>
      <c r="AM25" s="157">
        <f t="shared" si="19"/>
        <v>1615.9829399999999</v>
      </c>
      <c r="AN25" s="158">
        <f t="shared" si="12"/>
        <v>2200</v>
      </c>
      <c r="AO25" s="159">
        <v>0.2</v>
      </c>
      <c r="AP25" s="160">
        <f t="shared" si="13"/>
        <v>42937256.083550401</v>
      </c>
      <c r="AQ25" s="161">
        <f t="shared" si="14"/>
        <v>11927.016532925247</v>
      </c>
      <c r="AR25" s="162">
        <f t="shared" si="15"/>
        <v>2385.4033065850494</v>
      </c>
      <c r="AS25" s="163">
        <f t="shared" si="16"/>
        <v>0.3403828919213826</v>
      </c>
      <c r="AT25" s="164">
        <f t="shared" si="20"/>
        <v>0.3403828919213826</v>
      </c>
      <c r="AU25" s="165"/>
      <c r="AV25" s="166"/>
      <c r="AW25" s="167"/>
      <c r="AX25" s="146"/>
      <c r="AY25" s="168"/>
    </row>
    <row r="26" spans="1:51" s="139" customFormat="1" ht="11.25" x14ac:dyDescent="0.25">
      <c r="A26" s="1"/>
      <c r="B26" s="140">
        <v>14</v>
      </c>
      <c r="C26" s="170" t="s">
        <v>76</v>
      </c>
      <c r="D26" s="142"/>
      <c r="E26" s="143"/>
      <c r="F26" s="143"/>
      <c r="G26" s="143"/>
      <c r="H26" s="143"/>
      <c r="I26" s="143"/>
      <c r="J26" s="144">
        <v>239260</v>
      </c>
      <c r="K26" s="144">
        <v>239451</v>
      </c>
      <c r="L26" s="144">
        <v>239899</v>
      </c>
      <c r="M26" s="144">
        <v>241734</v>
      </c>
      <c r="N26" s="144">
        <v>251914</v>
      </c>
      <c r="O26" s="143"/>
      <c r="P26" s="145"/>
      <c r="Q26" s="146">
        <f t="shared" si="17"/>
        <v>251914</v>
      </c>
      <c r="R26" s="147">
        <f t="shared" si="18"/>
        <v>27710.54</v>
      </c>
      <c r="S26" s="147">
        <f t="shared" si="0"/>
        <v>75.91928767123288</v>
      </c>
      <c r="T26" s="148">
        <f t="shared" si="21"/>
        <v>16626.324000000001</v>
      </c>
      <c r="U26" s="149"/>
      <c r="V26" s="150"/>
      <c r="W26" s="151"/>
      <c r="X26" s="151"/>
      <c r="Y26" s="152"/>
      <c r="Z26" s="153"/>
      <c r="AA26" s="153"/>
      <c r="AB26" s="154"/>
      <c r="AC26" s="155">
        <f t="shared" si="2"/>
        <v>9643.2679200000002</v>
      </c>
      <c r="AD26" s="156">
        <f t="shared" si="3"/>
        <v>2161.4221200000002</v>
      </c>
      <c r="AE26" s="156">
        <f t="shared" si="4"/>
        <v>1458.9599309999999</v>
      </c>
      <c r="AF26" s="156">
        <f t="shared" si="5"/>
        <v>665.05295999999998</v>
      </c>
      <c r="AG26" s="156">
        <f t="shared" si="6"/>
        <v>332.52647999999999</v>
      </c>
      <c r="AH26" s="156">
        <f t="shared" si="7"/>
        <v>332.52647999999999</v>
      </c>
      <c r="AI26" s="156">
        <f t="shared" si="8"/>
        <v>166.26324</v>
      </c>
      <c r="AJ26" s="156">
        <f t="shared" si="9"/>
        <v>332.52647999999999</v>
      </c>
      <c r="AK26" s="156">
        <f t="shared" si="10"/>
        <v>332.52647999999999</v>
      </c>
      <c r="AL26" s="156">
        <f t="shared" si="11"/>
        <v>1163.8426800000002</v>
      </c>
      <c r="AM26" s="157">
        <f t="shared" si="19"/>
        <v>5116.7512110000007</v>
      </c>
      <c r="AN26" s="158">
        <f t="shared" si="12"/>
        <v>2200</v>
      </c>
      <c r="AO26" s="159">
        <v>0.2</v>
      </c>
      <c r="AP26" s="160">
        <f t="shared" si="13"/>
        <v>135953945.81487578</v>
      </c>
      <c r="AQ26" s="161">
        <f t="shared" si="14"/>
        <v>37764.9879697754</v>
      </c>
      <c r="AR26" s="162">
        <f t="shared" si="15"/>
        <v>7552.9975939550804</v>
      </c>
      <c r="AS26" s="163">
        <f t="shared" si="16"/>
        <v>1.0777679215118552</v>
      </c>
      <c r="AT26" s="164">
        <f t="shared" si="20"/>
        <v>1.0777679215118552</v>
      </c>
      <c r="AU26" s="165"/>
      <c r="AV26" s="166"/>
      <c r="AW26" s="167"/>
      <c r="AX26" s="146"/>
      <c r="AY26" s="168"/>
    </row>
    <row r="27" spans="1:51" s="139" customFormat="1" ht="11.25" x14ac:dyDescent="0.25">
      <c r="A27" s="1"/>
      <c r="B27" s="140">
        <v>15</v>
      </c>
      <c r="C27" s="170" t="s">
        <v>77</v>
      </c>
      <c r="D27" s="142"/>
      <c r="E27" s="143"/>
      <c r="F27" s="143"/>
      <c r="G27" s="143"/>
      <c r="H27" s="143"/>
      <c r="I27" s="143"/>
      <c r="J27" s="144">
        <v>65996</v>
      </c>
      <c r="K27" s="144">
        <v>70673</v>
      </c>
      <c r="L27" s="144">
        <v>75597</v>
      </c>
      <c r="M27" s="144">
        <v>82904</v>
      </c>
      <c r="N27" s="144">
        <v>76782</v>
      </c>
      <c r="O27" s="143"/>
      <c r="P27" s="145"/>
      <c r="Q27" s="146">
        <f t="shared" si="17"/>
        <v>82904</v>
      </c>
      <c r="R27" s="147">
        <f t="shared" si="18"/>
        <v>9119.44</v>
      </c>
      <c r="S27" s="147">
        <f t="shared" si="0"/>
        <v>24.984767123287671</v>
      </c>
      <c r="T27" s="148">
        <f t="shared" si="21"/>
        <v>5471.6639999999998</v>
      </c>
      <c r="U27" s="149"/>
      <c r="V27" s="150"/>
      <c r="W27" s="151"/>
      <c r="X27" s="151"/>
      <c r="Y27" s="152"/>
      <c r="Z27" s="153"/>
      <c r="AA27" s="153"/>
      <c r="AB27" s="154"/>
      <c r="AC27" s="155">
        <f t="shared" si="2"/>
        <v>3173.5651199999998</v>
      </c>
      <c r="AD27" s="156">
        <f t="shared" si="3"/>
        <v>711.31632000000002</v>
      </c>
      <c r="AE27" s="156">
        <f t="shared" si="4"/>
        <v>480.13851599999992</v>
      </c>
      <c r="AF27" s="156">
        <f t="shared" si="5"/>
        <v>218.86655999999999</v>
      </c>
      <c r="AG27" s="156">
        <f t="shared" si="6"/>
        <v>109.43328</v>
      </c>
      <c r="AH27" s="156">
        <f t="shared" si="7"/>
        <v>109.43328</v>
      </c>
      <c r="AI27" s="156">
        <f t="shared" si="8"/>
        <v>54.716639999999998</v>
      </c>
      <c r="AJ27" s="156">
        <f t="shared" si="9"/>
        <v>109.43328</v>
      </c>
      <c r="AK27" s="156">
        <f t="shared" si="10"/>
        <v>109.43328</v>
      </c>
      <c r="AL27" s="156">
        <f t="shared" si="11"/>
        <v>383.01648</v>
      </c>
      <c r="AM27" s="157">
        <f t="shared" si="19"/>
        <v>1683.9045959999999</v>
      </c>
      <c r="AN27" s="158">
        <f t="shared" si="12"/>
        <v>2200</v>
      </c>
      <c r="AO27" s="159">
        <v>0.2</v>
      </c>
      <c r="AP27" s="160">
        <f t="shared" si="13"/>
        <v>44741959.255287357</v>
      </c>
      <c r="AQ27" s="161">
        <f t="shared" si="14"/>
        <v>12428.32300962336</v>
      </c>
      <c r="AR27" s="162">
        <f t="shared" si="15"/>
        <v>2485.6646019246723</v>
      </c>
      <c r="AS27" s="163">
        <f t="shared" si="16"/>
        <v>0.35468958360797265</v>
      </c>
      <c r="AT27" s="164">
        <f t="shared" si="20"/>
        <v>0.35468958360797265</v>
      </c>
      <c r="AU27" s="165"/>
      <c r="AV27" s="166"/>
      <c r="AW27" s="167"/>
      <c r="AX27" s="146"/>
      <c r="AY27" s="168"/>
    </row>
    <row r="28" spans="1:51" s="139" customFormat="1" ht="11.25" x14ac:dyDescent="0.25">
      <c r="A28" s="1"/>
      <c r="B28" s="140">
        <v>16</v>
      </c>
      <c r="C28" s="170" t="s">
        <v>78</v>
      </c>
      <c r="D28" s="142"/>
      <c r="E28" s="143"/>
      <c r="F28" s="143"/>
      <c r="G28" s="143"/>
      <c r="H28" s="143"/>
      <c r="I28" s="143"/>
      <c r="J28" s="144">
        <v>123984</v>
      </c>
      <c r="K28" s="144">
        <v>124141</v>
      </c>
      <c r="L28" s="144">
        <v>124340</v>
      </c>
      <c r="M28" s="144">
        <v>125425</v>
      </c>
      <c r="N28" s="144">
        <v>139663</v>
      </c>
      <c r="O28" s="143"/>
      <c r="P28" s="145"/>
      <c r="Q28" s="146">
        <f t="shared" si="17"/>
        <v>139663</v>
      </c>
      <c r="R28" s="147">
        <f t="shared" si="18"/>
        <v>15362.93</v>
      </c>
      <c r="S28" s="147">
        <f t="shared" si="0"/>
        <v>42.090219178082194</v>
      </c>
      <c r="T28" s="148">
        <f t="shared" si="21"/>
        <v>9217.7579999999998</v>
      </c>
      <c r="U28" s="149"/>
      <c r="V28" s="150"/>
      <c r="W28" s="151"/>
      <c r="X28" s="151"/>
      <c r="Y28" s="152"/>
      <c r="Z28" s="153"/>
      <c r="AA28" s="153"/>
      <c r="AB28" s="154"/>
      <c r="AC28" s="155">
        <f t="shared" si="2"/>
        <v>5346.2996399999993</v>
      </c>
      <c r="AD28" s="156">
        <f t="shared" si="3"/>
        <v>1198.30854</v>
      </c>
      <c r="AE28" s="156">
        <f t="shared" si="4"/>
        <v>808.8582644999999</v>
      </c>
      <c r="AF28" s="156">
        <f t="shared" si="5"/>
        <v>368.71032000000002</v>
      </c>
      <c r="AG28" s="156">
        <f t="shared" si="6"/>
        <v>184.35516000000001</v>
      </c>
      <c r="AH28" s="156">
        <f t="shared" si="7"/>
        <v>184.35516000000001</v>
      </c>
      <c r="AI28" s="156">
        <f t="shared" si="8"/>
        <v>92.177580000000006</v>
      </c>
      <c r="AJ28" s="156">
        <f t="shared" si="9"/>
        <v>184.35516000000001</v>
      </c>
      <c r="AK28" s="156">
        <f t="shared" si="10"/>
        <v>184.35516000000001</v>
      </c>
      <c r="AL28" s="156">
        <f t="shared" si="11"/>
        <v>645.24306000000001</v>
      </c>
      <c r="AM28" s="157">
        <f t="shared" si="19"/>
        <v>2836.7650245</v>
      </c>
      <c r="AN28" s="158">
        <f t="shared" si="12"/>
        <v>2200</v>
      </c>
      <c r="AO28" s="159">
        <v>0.2</v>
      </c>
      <c r="AP28" s="160">
        <f t="shared" si="13"/>
        <v>75373881.302122921</v>
      </c>
      <c r="AQ28" s="161">
        <f t="shared" si="14"/>
        <v>20937.190925564839</v>
      </c>
      <c r="AR28" s="162">
        <f t="shared" si="15"/>
        <v>4187.4381851129683</v>
      </c>
      <c r="AS28" s="163">
        <f t="shared" si="16"/>
        <v>0.59752257207662218</v>
      </c>
      <c r="AT28" s="164">
        <f t="shared" si="20"/>
        <v>0.59752257207662218</v>
      </c>
      <c r="AU28" s="165"/>
      <c r="AV28" s="166"/>
      <c r="AW28" s="167"/>
      <c r="AX28" s="146"/>
      <c r="AY28" s="168"/>
    </row>
    <row r="29" spans="1:51" s="139" customFormat="1" ht="11.25" x14ac:dyDescent="0.25">
      <c r="A29" s="1"/>
      <c r="B29" s="140">
        <v>17</v>
      </c>
      <c r="C29" s="170" t="s">
        <v>79</v>
      </c>
      <c r="D29" s="142"/>
      <c r="E29" s="143"/>
      <c r="F29" s="143"/>
      <c r="G29" s="143"/>
      <c r="H29" s="143"/>
      <c r="I29" s="143"/>
      <c r="J29" s="144">
        <v>109429</v>
      </c>
      <c r="K29" s="144">
        <v>111040</v>
      </c>
      <c r="L29" s="144">
        <v>112549</v>
      </c>
      <c r="M29" s="144">
        <v>114464</v>
      </c>
      <c r="N29" s="144">
        <v>122277</v>
      </c>
      <c r="O29" s="143"/>
      <c r="P29" s="145"/>
      <c r="Q29" s="146">
        <f t="shared" si="17"/>
        <v>122277</v>
      </c>
      <c r="R29" s="147">
        <f t="shared" si="18"/>
        <v>13450.47</v>
      </c>
      <c r="S29" s="147">
        <f t="shared" si="0"/>
        <v>36.850602739726028</v>
      </c>
      <c r="T29" s="148">
        <f t="shared" si="21"/>
        <v>8070.2820000000002</v>
      </c>
      <c r="U29" s="149"/>
      <c r="V29" s="150"/>
      <c r="W29" s="151"/>
      <c r="X29" s="151"/>
      <c r="Y29" s="152"/>
      <c r="Z29" s="153"/>
      <c r="AA29" s="153"/>
      <c r="AB29" s="154"/>
      <c r="AC29" s="155">
        <f t="shared" si="2"/>
        <v>4680.7635599999994</v>
      </c>
      <c r="AD29" s="156">
        <f t="shared" si="3"/>
        <v>1049.1366600000001</v>
      </c>
      <c r="AE29" s="156">
        <f t="shared" si="4"/>
        <v>708.16724549999992</v>
      </c>
      <c r="AF29" s="156">
        <f t="shared" si="5"/>
        <v>322.81128000000001</v>
      </c>
      <c r="AG29" s="156">
        <f t="shared" si="6"/>
        <v>161.40564000000001</v>
      </c>
      <c r="AH29" s="156">
        <f t="shared" si="7"/>
        <v>161.40564000000001</v>
      </c>
      <c r="AI29" s="156">
        <f t="shared" si="8"/>
        <v>80.702820000000003</v>
      </c>
      <c r="AJ29" s="156">
        <f t="shared" si="9"/>
        <v>161.40564000000001</v>
      </c>
      <c r="AK29" s="156">
        <f t="shared" si="10"/>
        <v>161.40564000000001</v>
      </c>
      <c r="AL29" s="156">
        <f t="shared" si="11"/>
        <v>564.91974000000005</v>
      </c>
      <c r="AM29" s="157">
        <f t="shared" si="19"/>
        <v>2483.6292854999997</v>
      </c>
      <c r="AN29" s="158">
        <f t="shared" si="12"/>
        <v>2200</v>
      </c>
      <c r="AO29" s="159">
        <v>0.2</v>
      </c>
      <c r="AP29" s="160">
        <f t="shared" si="13"/>
        <v>65990935.924186669</v>
      </c>
      <c r="AQ29" s="161">
        <f t="shared" si="14"/>
        <v>18330.817000961539</v>
      </c>
      <c r="AR29" s="162">
        <f t="shared" si="15"/>
        <v>3666.163400192308</v>
      </c>
      <c r="AS29" s="163">
        <f t="shared" si="16"/>
        <v>0.52313975459365125</v>
      </c>
      <c r="AT29" s="164">
        <f t="shared" si="20"/>
        <v>0.52313975459365125</v>
      </c>
      <c r="AU29" s="165"/>
      <c r="AV29" s="166"/>
      <c r="AW29" s="167"/>
      <c r="AX29" s="146"/>
      <c r="AY29" s="168"/>
    </row>
    <row r="30" spans="1:51" s="139" customFormat="1" ht="11.25" x14ac:dyDescent="0.25">
      <c r="A30" s="1"/>
      <c r="B30" s="140">
        <v>18</v>
      </c>
      <c r="C30" s="170" t="s">
        <v>80</v>
      </c>
      <c r="D30" s="142"/>
      <c r="E30" s="143"/>
      <c r="F30" s="143"/>
      <c r="G30" s="143"/>
      <c r="H30" s="143"/>
      <c r="I30" s="143"/>
      <c r="J30" s="144">
        <v>125892</v>
      </c>
      <c r="K30" s="144">
        <v>128446</v>
      </c>
      <c r="L30" s="144">
        <v>130906</v>
      </c>
      <c r="M30" s="144">
        <v>135345</v>
      </c>
      <c r="N30" s="144">
        <v>132956</v>
      </c>
      <c r="O30" s="143"/>
      <c r="P30" s="145"/>
      <c r="Q30" s="146">
        <f t="shared" si="17"/>
        <v>135345</v>
      </c>
      <c r="R30" s="147">
        <f t="shared" si="18"/>
        <v>14887.95</v>
      </c>
      <c r="S30" s="147">
        <f t="shared" si="0"/>
        <v>40.788904109589041</v>
      </c>
      <c r="T30" s="148">
        <f t="shared" si="21"/>
        <v>8932.7699999999986</v>
      </c>
      <c r="U30" s="149"/>
      <c r="V30" s="150"/>
      <c r="W30" s="151"/>
      <c r="X30" s="151"/>
      <c r="Y30" s="152"/>
      <c r="Z30" s="153"/>
      <c r="AA30" s="153"/>
      <c r="AB30" s="154"/>
      <c r="AC30" s="155">
        <f t="shared" si="2"/>
        <v>5181.0065999999988</v>
      </c>
      <c r="AD30" s="156">
        <f t="shared" si="3"/>
        <v>1161.2601</v>
      </c>
      <c r="AE30" s="156">
        <f t="shared" si="4"/>
        <v>783.85056749999978</v>
      </c>
      <c r="AF30" s="156">
        <f t="shared" si="5"/>
        <v>357.31079999999997</v>
      </c>
      <c r="AG30" s="156">
        <f t="shared" si="6"/>
        <v>178.65539999999999</v>
      </c>
      <c r="AH30" s="156">
        <f t="shared" si="7"/>
        <v>178.65539999999999</v>
      </c>
      <c r="AI30" s="156">
        <f t="shared" si="8"/>
        <v>89.327699999999993</v>
      </c>
      <c r="AJ30" s="156">
        <f t="shared" si="9"/>
        <v>178.65539999999999</v>
      </c>
      <c r="AK30" s="156">
        <f t="shared" si="10"/>
        <v>178.65539999999999</v>
      </c>
      <c r="AL30" s="156">
        <f t="shared" si="11"/>
        <v>625.29390000000001</v>
      </c>
      <c r="AM30" s="157">
        <f t="shared" si="19"/>
        <v>2749.0599674999994</v>
      </c>
      <c r="AN30" s="158">
        <f t="shared" si="12"/>
        <v>2200</v>
      </c>
      <c r="AO30" s="159">
        <v>0.2</v>
      </c>
      <c r="AP30" s="160">
        <f t="shared" si="13"/>
        <v>73043525.950579777</v>
      </c>
      <c r="AQ30" s="161">
        <f t="shared" si="14"/>
        <v>20289.869942794958</v>
      </c>
      <c r="AR30" s="162">
        <f t="shared" si="15"/>
        <v>4057.9739885589916</v>
      </c>
      <c r="AS30" s="163">
        <f t="shared" si="16"/>
        <v>0.57904879973729906</v>
      </c>
      <c r="AT30" s="164">
        <f t="shared" si="20"/>
        <v>0.57904879973729906</v>
      </c>
      <c r="AU30" s="165"/>
      <c r="AV30" s="166"/>
      <c r="AW30" s="167"/>
      <c r="AX30" s="146"/>
      <c r="AY30" s="168"/>
    </row>
    <row r="31" spans="1:51" s="139" customFormat="1" ht="11.25" x14ac:dyDescent="0.25">
      <c r="A31" s="1"/>
      <c r="B31" s="140">
        <v>19</v>
      </c>
      <c r="C31" s="170" t="s">
        <v>81</v>
      </c>
      <c r="D31" s="142"/>
      <c r="E31" s="143"/>
      <c r="F31" s="143"/>
      <c r="G31" s="143"/>
      <c r="H31" s="143"/>
      <c r="I31" s="143"/>
      <c r="J31" s="144">
        <v>199241</v>
      </c>
      <c r="K31" s="144">
        <v>219659</v>
      </c>
      <c r="L31" s="144">
        <v>217918</v>
      </c>
      <c r="M31" s="144">
        <v>212241</v>
      </c>
      <c r="N31" s="144">
        <v>223446</v>
      </c>
      <c r="O31" s="143"/>
      <c r="P31" s="145"/>
      <c r="Q31" s="146">
        <f t="shared" si="17"/>
        <v>223446</v>
      </c>
      <c r="R31" s="147">
        <f t="shared" si="18"/>
        <v>24579.06</v>
      </c>
      <c r="S31" s="147">
        <f t="shared" si="0"/>
        <v>67.339890410958901</v>
      </c>
      <c r="T31" s="148">
        <f t="shared" si="21"/>
        <v>14747.435999999998</v>
      </c>
      <c r="U31" s="149"/>
      <c r="V31" s="150"/>
      <c r="W31" s="151"/>
      <c r="X31" s="151"/>
      <c r="Y31" s="152"/>
      <c r="Z31" s="153"/>
      <c r="AA31" s="153"/>
      <c r="AB31" s="154"/>
      <c r="AC31" s="155">
        <f t="shared" si="2"/>
        <v>8553.5128799999984</v>
      </c>
      <c r="AD31" s="156">
        <f t="shared" si="3"/>
        <v>1917.1666799999998</v>
      </c>
      <c r="AE31" s="156">
        <f t="shared" si="4"/>
        <v>1294.0875089999997</v>
      </c>
      <c r="AF31" s="156">
        <f t="shared" si="5"/>
        <v>589.89743999999996</v>
      </c>
      <c r="AG31" s="156">
        <f t="shared" si="6"/>
        <v>294.94871999999998</v>
      </c>
      <c r="AH31" s="156">
        <f t="shared" si="7"/>
        <v>294.94871999999998</v>
      </c>
      <c r="AI31" s="156">
        <f t="shared" si="8"/>
        <v>147.47435999999999</v>
      </c>
      <c r="AJ31" s="156">
        <f t="shared" si="9"/>
        <v>294.94871999999998</v>
      </c>
      <c r="AK31" s="156">
        <f t="shared" si="10"/>
        <v>294.94871999999998</v>
      </c>
      <c r="AL31" s="156">
        <f t="shared" si="11"/>
        <v>1032.32052</v>
      </c>
      <c r="AM31" s="157">
        <f t="shared" si="19"/>
        <v>4538.5234289999999</v>
      </c>
      <c r="AN31" s="158">
        <f t="shared" si="12"/>
        <v>2200</v>
      </c>
      <c r="AO31" s="159">
        <v>0.2</v>
      </c>
      <c r="AP31" s="160">
        <f t="shared" si="13"/>
        <v>120590222.76074663</v>
      </c>
      <c r="AQ31" s="161">
        <f t="shared" si="14"/>
        <v>33497.286779990121</v>
      </c>
      <c r="AR31" s="162">
        <f t="shared" si="15"/>
        <v>6699.4573559980245</v>
      </c>
      <c r="AS31" s="163">
        <f t="shared" si="16"/>
        <v>0.95597279623259479</v>
      </c>
      <c r="AT31" s="164">
        <f t="shared" si="20"/>
        <v>0.95597279623259479</v>
      </c>
      <c r="AU31" s="165"/>
      <c r="AV31" s="166"/>
      <c r="AW31" s="167"/>
      <c r="AX31" s="146"/>
      <c r="AY31" s="168"/>
    </row>
    <row r="32" spans="1:51" s="139" customFormat="1" ht="11.25" x14ac:dyDescent="0.25">
      <c r="A32" s="1"/>
      <c r="B32" s="140">
        <v>20</v>
      </c>
      <c r="C32" s="170" t="s">
        <v>82</v>
      </c>
      <c r="D32" s="142"/>
      <c r="E32" s="143"/>
      <c r="F32" s="143"/>
      <c r="G32" s="143"/>
      <c r="H32" s="143"/>
      <c r="I32" s="143"/>
      <c r="J32" s="144">
        <v>29098</v>
      </c>
      <c r="K32" s="144">
        <v>29144</v>
      </c>
      <c r="L32" s="144">
        <v>29221</v>
      </c>
      <c r="M32" s="144">
        <v>29184</v>
      </c>
      <c r="N32" s="144">
        <v>30653</v>
      </c>
      <c r="O32" s="143"/>
      <c r="P32" s="145"/>
      <c r="Q32" s="146">
        <f t="shared" si="17"/>
        <v>30653</v>
      </c>
      <c r="R32" s="147">
        <f t="shared" si="18"/>
        <v>3371.83</v>
      </c>
      <c r="S32" s="147">
        <f t="shared" si="0"/>
        <v>9.2378904109589044</v>
      </c>
      <c r="T32" s="148">
        <f t="shared" si="21"/>
        <v>2023.098</v>
      </c>
      <c r="U32" s="149"/>
      <c r="V32" s="150"/>
      <c r="W32" s="151"/>
      <c r="X32" s="151"/>
      <c r="Y32" s="152"/>
      <c r="Z32" s="153"/>
      <c r="AA32" s="153"/>
      <c r="AB32" s="154"/>
      <c r="AC32" s="155">
        <f t="shared" si="2"/>
        <v>1173.3968399999999</v>
      </c>
      <c r="AD32" s="156">
        <f t="shared" si="3"/>
        <v>263.00274000000002</v>
      </c>
      <c r="AE32" s="156">
        <f t="shared" si="4"/>
        <v>177.5268495</v>
      </c>
      <c r="AF32" s="156">
        <f t="shared" si="5"/>
        <v>80.923919999999995</v>
      </c>
      <c r="AG32" s="156">
        <f t="shared" si="6"/>
        <v>40.461959999999998</v>
      </c>
      <c r="AH32" s="156">
        <f t="shared" si="7"/>
        <v>40.461959999999998</v>
      </c>
      <c r="AI32" s="156">
        <f t="shared" si="8"/>
        <v>20.230979999999999</v>
      </c>
      <c r="AJ32" s="156">
        <f t="shared" si="9"/>
        <v>40.461959999999998</v>
      </c>
      <c r="AK32" s="156">
        <f t="shared" si="10"/>
        <v>40.461959999999998</v>
      </c>
      <c r="AL32" s="156">
        <f t="shared" si="11"/>
        <v>141.61686</v>
      </c>
      <c r="AM32" s="157">
        <f t="shared" si="19"/>
        <v>622.60840949999999</v>
      </c>
      <c r="AN32" s="158">
        <f t="shared" si="12"/>
        <v>2200</v>
      </c>
      <c r="AO32" s="159">
        <v>0.2</v>
      </c>
      <c r="AP32" s="160">
        <f t="shared" si="13"/>
        <v>16542932.512934519</v>
      </c>
      <c r="AQ32" s="161">
        <f t="shared" si="14"/>
        <v>4595.2593989914221</v>
      </c>
      <c r="AR32" s="162">
        <f t="shared" si="15"/>
        <v>919.05187979828452</v>
      </c>
      <c r="AS32" s="163">
        <f t="shared" si="16"/>
        <v>0.13114324768811136</v>
      </c>
      <c r="AT32" s="164">
        <f t="shared" si="20"/>
        <v>0.13114324768811136</v>
      </c>
      <c r="AU32" s="165"/>
      <c r="AV32" s="166"/>
      <c r="AW32" s="167"/>
      <c r="AX32" s="146"/>
      <c r="AY32" s="168"/>
    </row>
    <row r="33" spans="1:51" s="139" customFormat="1" ht="11.25" x14ac:dyDescent="0.25">
      <c r="A33" s="1"/>
      <c r="B33" s="140">
        <v>21</v>
      </c>
      <c r="C33" s="170" t="s">
        <v>83</v>
      </c>
      <c r="D33" s="142"/>
      <c r="E33" s="143"/>
      <c r="F33" s="143"/>
      <c r="G33" s="143"/>
      <c r="H33" s="143"/>
      <c r="I33" s="143"/>
      <c r="J33" s="144">
        <v>157635</v>
      </c>
      <c r="K33" s="144">
        <v>158169</v>
      </c>
      <c r="L33" s="144">
        <v>158760</v>
      </c>
      <c r="M33" s="144">
        <v>159239</v>
      </c>
      <c r="N33" s="144">
        <v>171163</v>
      </c>
      <c r="O33" s="143"/>
      <c r="P33" s="145"/>
      <c r="Q33" s="146">
        <f t="shared" si="17"/>
        <v>171163</v>
      </c>
      <c r="R33" s="147">
        <f t="shared" si="18"/>
        <v>18827.93</v>
      </c>
      <c r="S33" s="147">
        <f t="shared" si="0"/>
        <v>51.583369863013701</v>
      </c>
      <c r="T33" s="148">
        <f t="shared" si="21"/>
        <v>11296.758</v>
      </c>
      <c r="U33" s="149"/>
      <c r="V33" s="150"/>
      <c r="W33" s="151"/>
      <c r="X33" s="151"/>
      <c r="Y33" s="152"/>
      <c r="Z33" s="153"/>
      <c r="AA33" s="153"/>
      <c r="AB33" s="154"/>
      <c r="AC33" s="155">
        <f t="shared" si="2"/>
        <v>6552.1196399999999</v>
      </c>
      <c r="AD33" s="156">
        <f t="shared" si="3"/>
        <v>1468.57854</v>
      </c>
      <c r="AE33" s="156">
        <f t="shared" si="4"/>
        <v>991.29051449999997</v>
      </c>
      <c r="AF33" s="156">
        <f t="shared" si="5"/>
        <v>451.87031999999999</v>
      </c>
      <c r="AG33" s="156">
        <f t="shared" si="6"/>
        <v>225.93516</v>
      </c>
      <c r="AH33" s="156">
        <f t="shared" si="7"/>
        <v>225.93516</v>
      </c>
      <c r="AI33" s="156">
        <f t="shared" si="8"/>
        <v>112.96758</v>
      </c>
      <c r="AJ33" s="156">
        <f t="shared" si="9"/>
        <v>225.93516</v>
      </c>
      <c r="AK33" s="156">
        <f t="shared" si="10"/>
        <v>225.93516</v>
      </c>
      <c r="AL33" s="156">
        <f t="shared" si="11"/>
        <v>790.7730600000001</v>
      </c>
      <c r="AM33" s="157">
        <f t="shared" si="19"/>
        <v>3476.5772744999999</v>
      </c>
      <c r="AN33" s="158">
        <f t="shared" si="12"/>
        <v>2200</v>
      </c>
      <c r="AO33" s="159">
        <v>0.2</v>
      </c>
      <c r="AP33" s="160">
        <f t="shared" si="13"/>
        <v>92373926.131582916</v>
      </c>
      <c r="AQ33" s="161">
        <f t="shared" si="14"/>
        <v>25659.425978193613</v>
      </c>
      <c r="AR33" s="162">
        <f t="shared" si="15"/>
        <v>5131.8851956387225</v>
      </c>
      <c r="AS33" s="163">
        <f t="shared" si="16"/>
        <v>0.7322895541721921</v>
      </c>
      <c r="AT33" s="164">
        <f t="shared" si="20"/>
        <v>0.7322895541721921</v>
      </c>
      <c r="AU33" s="165"/>
      <c r="AV33" s="166"/>
      <c r="AW33" s="167"/>
      <c r="AX33" s="146"/>
      <c r="AY33" s="168"/>
    </row>
    <row r="34" spans="1:51" s="139" customFormat="1" ht="11.25" x14ac:dyDescent="0.25">
      <c r="A34" s="1"/>
      <c r="B34" s="140">
        <v>22</v>
      </c>
      <c r="C34" s="170" t="s">
        <v>84</v>
      </c>
      <c r="D34" s="142"/>
      <c r="E34" s="143"/>
      <c r="F34" s="143"/>
      <c r="G34" s="143"/>
      <c r="H34" s="143"/>
      <c r="I34" s="143"/>
      <c r="J34" s="144">
        <v>139893</v>
      </c>
      <c r="K34" s="144">
        <v>140005</v>
      </c>
      <c r="L34" s="144">
        <v>140267</v>
      </c>
      <c r="M34" s="144">
        <v>140415</v>
      </c>
      <c r="N34" s="144">
        <v>148945</v>
      </c>
      <c r="O34" s="143"/>
      <c r="P34" s="145"/>
      <c r="Q34" s="146">
        <f t="shared" si="17"/>
        <v>148945</v>
      </c>
      <c r="R34" s="147">
        <f t="shared" si="18"/>
        <v>16383.95</v>
      </c>
      <c r="S34" s="147">
        <f t="shared" si="0"/>
        <v>44.887534246575342</v>
      </c>
      <c r="T34" s="148">
        <f t="shared" si="21"/>
        <v>9830.3700000000008</v>
      </c>
      <c r="U34" s="149"/>
      <c r="V34" s="150"/>
      <c r="W34" s="151"/>
      <c r="X34" s="151"/>
      <c r="Y34" s="152"/>
      <c r="Z34" s="153"/>
      <c r="AA34" s="153"/>
      <c r="AB34" s="154"/>
      <c r="AC34" s="155">
        <f t="shared" si="2"/>
        <v>5701.6145999999999</v>
      </c>
      <c r="AD34" s="156">
        <f t="shared" si="3"/>
        <v>1277.9481000000001</v>
      </c>
      <c r="AE34" s="156">
        <f t="shared" si="4"/>
        <v>862.61496750000003</v>
      </c>
      <c r="AF34" s="156">
        <f t="shared" si="5"/>
        <v>393.21480000000003</v>
      </c>
      <c r="AG34" s="156">
        <f t="shared" si="6"/>
        <v>196.60740000000001</v>
      </c>
      <c r="AH34" s="156">
        <f t="shared" si="7"/>
        <v>196.60740000000001</v>
      </c>
      <c r="AI34" s="156">
        <f t="shared" si="8"/>
        <v>98.303700000000006</v>
      </c>
      <c r="AJ34" s="156">
        <f t="shared" si="9"/>
        <v>196.60740000000001</v>
      </c>
      <c r="AK34" s="156">
        <f t="shared" si="10"/>
        <v>196.60740000000001</v>
      </c>
      <c r="AL34" s="156">
        <f t="shared" si="11"/>
        <v>688.12590000000012</v>
      </c>
      <c r="AM34" s="157">
        <f t="shared" si="19"/>
        <v>3025.2963675000001</v>
      </c>
      <c r="AN34" s="158">
        <f t="shared" si="12"/>
        <v>2200</v>
      </c>
      <c r="AO34" s="159">
        <v>0.2</v>
      </c>
      <c r="AP34" s="160">
        <f t="shared" si="13"/>
        <v>80383227.845203802</v>
      </c>
      <c r="AQ34" s="161">
        <f t="shared" si="14"/>
        <v>22328.676187739453</v>
      </c>
      <c r="AR34" s="162">
        <f t="shared" si="15"/>
        <v>4465.7352375478904</v>
      </c>
      <c r="AS34" s="163">
        <f t="shared" si="16"/>
        <v>0.63723390946745007</v>
      </c>
      <c r="AT34" s="164">
        <f t="shared" si="20"/>
        <v>0.63723390946745007</v>
      </c>
      <c r="AU34" s="165"/>
      <c r="AV34" s="166"/>
      <c r="AW34" s="167"/>
      <c r="AX34" s="146"/>
      <c r="AY34" s="168"/>
    </row>
    <row r="35" spans="1:51" s="139" customFormat="1" ht="11.25" x14ac:dyDescent="0.25">
      <c r="A35" s="1"/>
      <c r="B35" s="140">
        <v>23</v>
      </c>
      <c r="C35" s="172" t="s">
        <v>85</v>
      </c>
      <c r="D35" s="142"/>
      <c r="E35" s="143"/>
      <c r="F35" s="143"/>
      <c r="G35" s="143"/>
      <c r="H35" s="143"/>
      <c r="I35" s="143"/>
      <c r="J35" s="144">
        <v>61870</v>
      </c>
      <c r="K35" s="144">
        <v>63444</v>
      </c>
      <c r="L35" s="144">
        <v>64256</v>
      </c>
      <c r="M35" s="144">
        <v>66451</v>
      </c>
      <c r="N35" s="144">
        <v>67446</v>
      </c>
      <c r="O35" s="143"/>
      <c r="P35" s="145"/>
      <c r="Q35" s="146">
        <f t="shared" si="17"/>
        <v>67446</v>
      </c>
      <c r="R35" s="147">
        <f t="shared" si="18"/>
        <v>7419.06</v>
      </c>
      <c r="S35" s="147">
        <f t="shared" si="0"/>
        <v>20.326191780821919</v>
      </c>
      <c r="T35" s="148">
        <f t="shared" si="21"/>
        <v>4451.4359999999997</v>
      </c>
      <c r="U35" s="149"/>
      <c r="V35" s="150"/>
      <c r="W35" s="151"/>
      <c r="X35" s="151"/>
      <c r="Y35" s="152"/>
      <c r="Z35" s="153"/>
      <c r="AA35" s="153"/>
      <c r="AB35" s="154"/>
      <c r="AC35" s="155">
        <f t="shared" si="2"/>
        <v>2581.8328799999995</v>
      </c>
      <c r="AD35" s="156">
        <f t="shared" si="3"/>
        <v>578.68668000000002</v>
      </c>
      <c r="AE35" s="156">
        <f t="shared" si="4"/>
        <v>390.61350899999996</v>
      </c>
      <c r="AF35" s="156">
        <f t="shared" si="5"/>
        <v>178.05743999999999</v>
      </c>
      <c r="AG35" s="156">
        <f t="shared" si="6"/>
        <v>89.028719999999993</v>
      </c>
      <c r="AH35" s="156">
        <f t="shared" si="7"/>
        <v>89.028719999999993</v>
      </c>
      <c r="AI35" s="156">
        <f t="shared" si="8"/>
        <v>44.514359999999996</v>
      </c>
      <c r="AJ35" s="156">
        <f t="shared" si="9"/>
        <v>89.028719999999993</v>
      </c>
      <c r="AK35" s="156">
        <f t="shared" si="10"/>
        <v>89.028719999999993</v>
      </c>
      <c r="AL35" s="156">
        <f t="shared" si="11"/>
        <v>311.60052000000002</v>
      </c>
      <c r="AM35" s="157">
        <f t="shared" si="19"/>
        <v>1369.929429</v>
      </c>
      <c r="AN35" s="158">
        <f t="shared" si="12"/>
        <v>2200</v>
      </c>
      <c r="AO35" s="159">
        <v>0.2</v>
      </c>
      <c r="AP35" s="160">
        <f t="shared" si="13"/>
        <v>36399524.557706632</v>
      </c>
      <c r="AQ35" s="161">
        <f t="shared" si="14"/>
        <v>10110.979852685721</v>
      </c>
      <c r="AR35" s="162">
        <f t="shared" si="15"/>
        <v>2022.1959705371444</v>
      </c>
      <c r="AS35" s="163">
        <f t="shared" si="16"/>
        <v>0.28855536109262903</v>
      </c>
      <c r="AT35" s="164">
        <f t="shared" si="20"/>
        <v>0.28855536109262903</v>
      </c>
      <c r="AU35" s="165"/>
      <c r="AV35" s="166"/>
      <c r="AW35" s="167"/>
      <c r="AX35" s="147"/>
      <c r="AY35" s="168"/>
    </row>
    <row r="36" spans="1:51" s="190" customFormat="1" ht="16.7" customHeight="1" thickBot="1" x14ac:dyDescent="0.3">
      <c r="A36" s="173"/>
      <c r="B36" s="174"/>
      <c r="C36" s="175" t="s">
        <v>86</v>
      </c>
      <c r="D36" s="176">
        <f t="shared" ref="D36:W36" si="22">SUM(D13:D34)</f>
        <v>0</v>
      </c>
      <c r="E36" s="177">
        <f t="shared" si="22"/>
        <v>0</v>
      </c>
      <c r="F36" s="177">
        <f t="shared" si="22"/>
        <v>0</v>
      </c>
      <c r="G36" s="177">
        <f t="shared" si="22"/>
        <v>0</v>
      </c>
      <c r="H36" s="177">
        <f t="shared" si="22"/>
        <v>0</v>
      </c>
      <c r="I36" s="177">
        <f t="shared" si="22"/>
        <v>0</v>
      </c>
      <c r="J36" s="177">
        <f>SUM(J13:J35)</f>
        <v>4153573</v>
      </c>
      <c r="K36" s="177">
        <f>SUM(K13:K35)</f>
        <v>4223833</v>
      </c>
      <c r="L36" s="177">
        <f>SUM(L13:L35)</f>
        <v>4293915</v>
      </c>
      <c r="M36" s="177">
        <f>SUM(M13:M35)</f>
        <v>4363477</v>
      </c>
      <c r="N36" s="177">
        <f>SUM(N13:N35)</f>
        <v>4494410</v>
      </c>
      <c r="O36" s="177">
        <f t="shared" si="22"/>
        <v>0</v>
      </c>
      <c r="P36" s="177">
        <f t="shared" si="22"/>
        <v>0</v>
      </c>
      <c r="Q36" s="178">
        <f>SUM(Q13:Q35)</f>
        <v>4541157</v>
      </c>
      <c r="R36" s="178">
        <f>SUM(R13:R35)</f>
        <v>518698.60199999996</v>
      </c>
      <c r="S36" s="178">
        <f>SUM(S13:S35)</f>
        <v>1421.0920602739727</v>
      </c>
      <c r="T36" s="178">
        <f>SUM(T13:T35)</f>
        <v>318994.2013999999</v>
      </c>
      <c r="U36" s="149">
        <f t="shared" si="22"/>
        <v>0</v>
      </c>
      <c r="V36" s="179"/>
      <c r="W36" s="180">
        <f t="shared" si="22"/>
        <v>0</v>
      </c>
      <c r="X36" s="180">
        <f>SUM(X13:X34)</f>
        <v>0</v>
      </c>
      <c r="Y36" s="180">
        <f>SUM(Y13:Y34)</f>
        <v>0</v>
      </c>
      <c r="Z36" s="181"/>
      <c r="AA36" s="181"/>
      <c r="AB36" s="182"/>
      <c r="AC36" s="177">
        <f>SUM(AC13:AC35)</f>
        <v>185016.63681200001</v>
      </c>
      <c r="AD36" s="177">
        <f t="shared" ref="AD36:AL36" si="23">SUM(AD13:AD35)</f>
        <v>41469.24618200001</v>
      </c>
      <c r="AE36" s="177">
        <f t="shared" si="23"/>
        <v>27991.741172850001</v>
      </c>
      <c r="AF36" s="177">
        <f t="shared" si="23"/>
        <v>12759.768056000001</v>
      </c>
      <c r="AG36" s="177">
        <f t="shared" si="23"/>
        <v>6379.8840280000004</v>
      </c>
      <c r="AH36" s="177">
        <f t="shared" si="23"/>
        <v>6379.8840280000004</v>
      </c>
      <c r="AI36" s="177">
        <f t="shared" si="23"/>
        <v>3189.9420140000002</v>
      </c>
      <c r="AJ36" s="177">
        <f t="shared" si="23"/>
        <v>6379.8840280000004</v>
      </c>
      <c r="AK36" s="177">
        <f t="shared" si="23"/>
        <v>6379.8840280000004</v>
      </c>
      <c r="AL36" s="177">
        <f t="shared" si="23"/>
        <v>22329.594097999998</v>
      </c>
      <c r="AM36" s="178">
        <f>SUM(AM13:AM35)</f>
        <v>98170.465480849976</v>
      </c>
      <c r="AN36" s="158"/>
      <c r="AO36" s="183"/>
      <c r="AP36" s="184">
        <f>SUM(AP13:AP35)</f>
        <v>2608425071.7353497</v>
      </c>
      <c r="AQ36" s="184">
        <f t="shared" ref="AQ36:AX36" si="24">SUM(AQ13:AQ35)</f>
        <v>724562.57789148751</v>
      </c>
      <c r="AR36" s="184">
        <f t="shared" si="24"/>
        <v>144912.51557829755</v>
      </c>
      <c r="AS36" s="185">
        <f>SUM(AS13:AS35)</f>
        <v>20.678155761743366</v>
      </c>
      <c r="AT36" s="186">
        <f t="shared" si="24"/>
        <v>20.678155761743366</v>
      </c>
      <c r="AU36" s="187"/>
      <c r="AV36" s="188">
        <f t="shared" si="24"/>
        <v>0</v>
      </c>
      <c r="AW36" s="188"/>
      <c r="AX36" s="184">
        <f t="shared" si="24"/>
        <v>0</v>
      </c>
      <c r="AY36" s="189"/>
    </row>
    <row r="37" spans="1:51" s="139" customFormat="1" ht="11.25" x14ac:dyDescent="0.25">
      <c r="B37" s="191"/>
      <c r="C37" s="192"/>
      <c r="D37" s="193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5"/>
      <c r="Q37" s="196"/>
      <c r="R37" s="197"/>
      <c r="S37" s="197"/>
      <c r="T37" s="198"/>
      <c r="U37" s="199"/>
      <c r="V37" s="179"/>
      <c r="W37" s="151"/>
      <c r="X37" s="151"/>
      <c r="Y37" s="152"/>
      <c r="Z37" s="153"/>
      <c r="AA37" s="153"/>
      <c r="AB37" s="154"/>
      <c r="AC37" s="200"/>
      <c r="AD37" s="201"/>
      <c r="AE37" s="201"/>
      <c r="AF37" s="201"/>
      <c r="AG37" s="201"/>
      <c r="AH37" s="201"/>
      <c r="AI37" s="201"/>
      <c r="AJ37" s="201"/>
      <c r="AK37" s="201"/>
      <c r="AL37" s="201"/>
      <c r="AM37" s="202"/>
      <c r="AN37" s="203"/>
      <c r="AO37" s="204"/>
      <c r="AP37" s="203"/>
      <c r="AQ37" s="205"/>
      <c r="AR37" s="206"/>
      <c r="AS37" s="207"/>
      <c r="AT37" s="208"/>
      <c r="AU37" s="209"/>
      <c r="AV37" s="193"/>
      <c r="AW37" s="210"/>
      <c r="AX37" s="211"/>
      <c r="AY37" s="212"/>
    </row>
    <row r="38" spans="1:51" s="139" customFormat="1" ht="15" customHeight="1" x14ac:dyDescent="0.25">
      <c r="A38" s="1"/>
      <c r="B38" s="120"/>
      <c r="C38" s="121" t="s">
        <v>87</v>
      </c>
      <c r="D38" s="122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213"/>
      <c r="Q38" s="76"/>
      <c r="R38" s="108"/>
      <c r="S38" s="108"/>
      <c r="T38" s="94"/>
      <c r="U38" s="199"/>
      <c r="V38" s="179"/>
      <c r="W38" s="180"/>
      <c r="X38" s="180"/>
      <c r="Y38" s="214"/>
      <c r="Z38" s="181"/>
      <c r="AA38" s="181"/>
      <c r="AB38" s="182"/>
      <c r="AC38" s="62"/>
      <c r="AD38" s="215"/>
      <c r="AE38" s="215"/>
      <c r="AF38" s="215"/>
      <c r="AG38" s="215"/>
      <c r="AH38" s="215"/>
      <c r="AI38" s="215"/>
      <c r="AJ38" s="215"/>
      <c r="AK38" s="215"/>
      <c r="AL38" s="215"/>
      <c r="AM38" s="125"/>
      <c r="AN38" s="75"/>
      <c r="AO38" s="216"/>
      <c r="AP38" s="75"/>
      <c r="AQ38" s="51"/>
      <c r="AR38" s="217"/>
      <c r="AS38" s="218"/>
      <c r="AT38" s="219"/>
      <c r="AU38" s="220"/>
      <c r="AV38" s="135"/>
      <c r="AW38" s="136"/>
      <c r="AX38" s="137"/>
      <c r="AY38" s="138"/>
    </row>
    <row r="39" spans="1:51" s="139" customFormat="1" ht="11.25" x14ac:dyDescent="0.25">
      <c r="A39" s="1"/>
      <c r="B39" s="140">
        <v>1</v>
      </c>
      <c r="C39" s="221" t="s">
        <v>88</v>
      </c>
      <c r="D39" s="142"/>
      <c r="E39" s="143"/>
      <c r="F39" s="143"/>
      <c r="G39" s="143"/>
      <c r="H39" s="143"/>
      <c r="I39" s="143"/>
      <c r="J39" s="143"/>
      <c r="K39" s="143"/>
      <c r="L39" s="143"/>
      <c r="M39" s="143"/>
      <c r="N39" s="222">
        <v>132329</v>
      </c>
      <c r="O39" s="143"/>
      <c r="P39" s="145"/>
      <c r="Q39" s="223">
        <f t="shared" ref="Q39:Q71" si="25">MAX(D39:P39)</f>
        <v>132329</v>
      </c>
      <c r="R39" s="147">
        <f t="shared" ref="R39:R45" si="26">Q39*$R$10</f>
        <v>14556.19</v>
      </c>
      <c r="S39" s="147">
        <f t="shared" ref="S39:S71" si="27">R39/$S$5</f>
        <v>39.879972602739727</v>
      </c>
      <c r="T39" s="148">
        <f t="shared" ref="T39:T45" si="28">S39*$T$5*$T$10</f>
        <v>8733.7139999999999</v>
      </c>
      <c r="U39" s="199"/>
      <c r="V39" s="150"/>
      <c r="W39" s="151"/>
      <c r="X39" s="151"/>
      <c r="Y39" s="152"/>
      <c r="Z39" s="153"/>
      <c r="AA39" s="153"/>
      <c r="AB39" s="154"/>
      <c r="AC39" s="155">
        <f t="shared" ref="AC39:AC71" si="29">T39*$AC$5</f>
        <v>5065.5541199999998</v>
      </c>
      <c r="AD39" s="156">
        <f t="shared" ref="AD39:AD71" si="30">T39*$AD$5</f>
        <v>1135.38282</v>
      </c>
      <c r="AE39" s="156">
        <f t="shared" ref="AE39:AE71" si="31">T39*$AE$5</f>
        <v>766.38340349999999</v>
      </c>
      <c r="AF39" s="156">
        <f t="shared" ref="AF39:AF71" si="32">T39*$AF$5</f>
        <v>349.34856000000002</v>
      </c>
      <c r="AG39" s="156">
        <f t="shared" ref="AG39:AG71" si="33">T39*$AG$5</f>
        <v>174.67428000000001</v>
      </c>
      <c r="AH39" s="156">
        <f t="shared" ref="AH39:AH71" si="34">T39*$AH$5</f>
        <v>174.67428000000001</v>
      </c>
      <c r="AI39" s="156">
        <f t="shared" ref="AI39:AI71" si="35">T39*$AI$5</f>
        <v>87.337140000000005</v>
      </c>
      <c r="AJ39" s="156">
        <f t="shared" ref="AJ39:AJ71" si="36">T39*$AJ$5</f>
        <v>174.67428000000001</v>
      </c>
      <c r="AK39" s="156">
        <f t="shared" ref="AK39:AK71" si="37">T39*$AK$5</f>
        <v>174.67428000000001</v>
      </c>
      <c r="AL39" s="156">
        <f t="shared" ref="AL39:AL71" si="38">T39*$AL$5</f>
        <v>611.35998000000006</v>
      </c>
      <c r="AM39" s="157">
        <f t="shared" ref="AM39:AM71" si="39">SUM(AD39:AI39)</f>
        <v>2687.8004835000006</v>
      </c>
      <c r="AN39" s="158">
        <f t="shared" ref="AN39:AN71" si="40">$AN$5</f>
        <v>2200</v>
      </c>
      <c r="AO39" s="159">
        <v>0.2</v>
      </c>
      <c r="AP39" s="160">
        <f t="shared" ref="AP39:AP71" si="41">(AC39+AM39)*AN39*$AP$5</f>
        <v>71415839.118654355</v>
      </c>
      <c r="AQ39" s="161">
        <f t="shared" ref="AQ39:AQ71" si="42">AP39*$AQ$5</f>
        <v>19837.734675533746</v>
      </c>
      <c r="AR39" s="162">
        <f t="shared" ref="AR39:AR71" si="43">AQ39*$AR$5</f>
        <v>3967.5469351067495</v>
      </c>
      <c r="AS39" s="163">
        <f t="shared" ref="AS39:AS71" si="44">AR39/$AS$5</f>
        <v>0.5661453959912599</v>
      </c>
      <c r="AT39" s="164">
        <f t="shared" ref="AT39:AT71" si="45">AS39</f>
        <v>0.5661453959912599</v>
      </c>
      <c r="AU39" s="165"/>
      <c r="AV39" s="166"/>
      <c r="AW39" s="167"/>
      <c r="AX39" s="146"/>
      <c r="AY39" s="168"/>
    </row>
    <row r="40" spans="1:51" s="139" customFormat="1" ht="11.25" x14ac:dyDescent="0.25">
      <c r="A40" s="1"/>
      <c r="B40" s="140">
        <v>2</v>
      </c>
      <c r="C40" s="224" t="s">
        <v>89</v>
      </c>
      <c r="D40" s="142"/>
      <c r="E40" s="143"/>
      <c r="F40" s="143"/>
      <c r="G40" s="143"/>
      <c r="H40" s="143"/>
      <c r="I40" s="143"/>
      <c r="J40" s="143"/>
      <c r="K40" s="143"/>
      <c r="L40" s="143"/>
      <c r="M40" s="143"/>
      <c r="N40" s="222">
        <v>403894</v>
      </c>
      <c r="O40" s="143"/>
      <c r="P40" s="145"/>
      <c r="Q40" s="223">
        <f t="shared" si="25"/>
        <v>403894</v>
      </c>
      <c r="R40" s="147">
        <f t="shared" si="26"/>
        <v>44428.340000000004</v>
      </c>
      <c r="S40" s="147">
        <f t="shared" si="27"/>
        <v>121.72147945205481</v>
      </c>
      <c r="T40" s="148">
        <f t="shared" si="28"/>
        <v>26657.004000000001</v>
      </c>
      <c r="U40" s="199"/>
      <c r="V40" s="150"/>
      <c r="W40" s="151"/>
      <c r="X40" s="151"/>
      <c r="Y40" s="152"/>
      <c r="Z40" s="153"/>
      <c r="AA40" s="153"/>
      <c r="AB40" s="154"/>
      <c r="AC40" s="155">
        <f t="shared" si="29"/>
        <v>15461.062319999999</v>
      </c>
      <c r="AD40" s="156">
        <f t="shared" si="30"/>
        <v>3465.4105200000004</v>
      </c>
      <c r="AE40" s="156">
        <f t="shared" si="31"/>
        <v>2339.1521010000001</v>
      </c>
      <c r="AF40" s="156">
        <f t="shared" si="32"/>
        <v>1066.28016</v>
      </c>
      <c r="AG40" s="156">
        <f t="shared" si="33"/>
        <v>533.14008000000001</v>
      </c>
      <c r="AH40" s="156">
        <f t="shared" si="34"/>
        <v>533.14008000000001</v>
      </c>
      <c r="AI40" s="156">
        <f t="shared" si="35"/>
        <v>266.57004000000001</v>
      </c>
      <c r="AJ40" s="156">
        <f t="shared" si="36"/>
        <v>533.14008000000001</v>
      </c>
      <c r="AK40" s="156">
        <f t="shared" si="37"/>
        <v>533.14008000000001</v>
      </c>
      <c r="AL40" s="156">
        <f t="shared" si="38"/>
        <v>1865.9902800000002</v>
      </c>
      <c r="AM40" s="157">
        <f t="shared" si="39"/>
        <v>8203.692981000002</v>
      </c>
      <c r="AN40" s="158">
        <f t="shared" si="40"/>
        <v>2200</v>
      </c>
      <c r="AO40" s="159">
        <v>0.2</v>
      </c>
      <c r="AP40" s="160">
        <f t="shared" si="41"/>
        <v>217975114.48729897</v>
      </c>
      <c r="AQ40" s="161">
        <f t="shared" si="42"/>
        <v>60548.647757030034</v>
      </c>
      <c r="AR40" s="162">
        <f t="shared" si="43"/>
        <v>12109.729551406008</v>
      </c>
      <c r="AS40" s="163">
        <f t="shared" si="44"/>
        <v>1.7279865227462912</v>
      </c>
      <c r="AT40" s="164">
        <f t="shared" si="45"/>
        <v>1.7279865227462912</v>
      </c>
      <c r="AU40" s="165"/>
      <c r="AV40" s="166"/>
      <c r="AW40" s="167"/>
      <c r="AX40" s="146"/>
      <c r="AY40" s="168"/>
    </row>
    <row r="41" spans="1:51" s="139" customFormat="1" ht="11.25" x14ac:dyDescent="0.25">
      <c r="A41" s="1"/>
      <c r="B41" s="140">
        <v>3</v>
      </c>
      <c r="C41" s="170" t="s">
        <v>90</v>
      </c>
      <c r="D41" s="142"/>
      <c r="E41" s="143"/>
      <c r="F41" s="143"/>
      <c r="G41" s="143"/>
      <c r="H41" s="143"/>
      <c r="I41" s="143"/>
      <c r="J41" s="143"/>
      <c r="K41" s="143"/>
      <c r="L41" s="143"/>
      <c r="M41" s="143"/>
      <c r="N41" s="222">
        <v>264108</v>
      </c>
      <c r="O41" s="143"/>
      <c r="P41" s="145"/>
      <c r="Q41" s="223">
        <f t="shared" si="25"/>
        <v>264108</v>
      </c>
      <c r="R41" s="147">
        <f t="shared" si="26"/>
        <v>29051.88</v>
      </c>
      <c r="S41" s="147">
        <f t="shared" si="27"/>
        <v>79.594191780821916</v>
      </c>
      <c r="T41" s="148">
        <f t="shared" si="28"/>
        <v>17431.128000000001</v>
      </c>
      <c r="U41" s="199"/>
      <c r="V41" s="150"/>
      <c r="W41" s="151"/>
      <c r="X41" s="151"/>
      <c r="Y41" s="152"/>
      <c r="Z41" s="153"/>
      <c r="AA41" s="153"/>
      <c r="AB41" s="154"/>
      <c r="AC41" s="155">
        <f t="shared" si="29"/>
        <v>10110.054239999999</v>
      </c>
      <c r="AD41" s="156">
        <f t="shared" si="30"/>
        <v>2266.04664</v>
      </c>
      <c r="AE41" s="156">
        <f t="shared" si="31"/>
        <v>1529.5814820000001</v>
      </c>
      <c r="AF41" s="156">
        <f t="shared" si="32"/>
        <v>697.24512000000004</v>
      </c>
      <c r="AG41" s="156">
        <f t="shared" si="33"/>
        <v>348.62256000000002</v>
      </c>
      <c r="AH41" s="156">
        <f t="shared" si="34"/>
        <v>348.62256000000002</v>
      </c>
      <c r="AI41" s="156">
        <f t="shared" si="35"/>
        <v>174.31128000000001</v>
      </c>
      <c r="AJ41" s="156">
        <f t="shared" si="36"/>
        <v>348.62256000000002</v>
      </c>
      <c r="AK41" s="156">
        <f t="shared" si="37"/>
        <v>348.62256000000002</v>
      </c>
      <c r="AL41" s="156">
        <f t="shared" si="38"/>
        <v>1220.1789600000002</v>
      </c>
      <c r="AM41" s="157">
        <f t="shared" si="39"/>
        <v>5364.4296419999991</v>
      </c>
      <c r="AN41" s="158">
        <f t="shared" si="40"/>
        <v>2200</v>
      </c>
      <c r="AO41" s="159">
        <v>0.2</v>
      </c>
      <c r="AP41" s="160">
        <f t="shared" si="41"/>
        <v>142534852.05774671</v>
      </c>
      <c r="AQ41" s="161">
        <f t="shared" si="42"/>
        <v>39593.017627926354</v>
      </c>
      <c r="AR41" s="162">
        <f t="shared" si="43"/>
        <v>7918.6035255852712</v>
      </c>
      <c r="AS41" s="163">
        <f t="shared" si="44"/>
        <v>1.1299377176919623</v>
      </c>
      <c r="AT41" s="164">
        <f t="shared" si="45"/>
        <v>1.1299377176919623</v>
      </c>
      <c r="AU41" s="165"/>
      <c r="AV41" s="166"/>
      <c r="AW41" s="167"/>
      <c r="AX41" s="146"/>
      <c r="AY41" s="168"/>
    </row>
    <row r="42" spans="1:51" s="139" customFormat="1" ht="11.25" x14ac:dyDescent="0.25">
      <c r="A42" s="1"/>
      <c r="B42" s="140">
        <v>4</v>
      </c>
      <c r="C42" s="170" t="s">
        <v>91</v>
      </c>
      <c r="D42" s="142"/>
      <c r="E42" s="143"/>
      <c r="F42" s="143"/>
      <c r="G42" s="143"/>
      <c r="H42" s="143"/>
      <c r="I42" s="143"/>
      <c r="J42" s="143"/>
      <c r="K42" s="143"/>
      <c r="L42" s="143"/>
      <c r="M42" s="143"/>
      <c r="N42" s="222">
        <v>310962</v>
      </c>
      <c r="O42" s="143"/>
      <c r="P42" s="145"/>
      <c r="Q42" s="223">
        <f t="shared" si="25"/>
        <v>310962</v>
      </c>
      <c r="R42" s="147">
        <f t="shared" si="26"/>
        <v>34205.82</v>
      </c>
      <c r="S42" s="147">
        <f t="shared" si="27"/>
        <v>93.71457534246575</v>
      </c>
      <c r="T42" s="148">
        <f t="shared" si="28"/>
        <v>20523.491999999998</v>
      </c>
      <c r="U42" s="199"/>
      <c r="V42" s="150"/>
      <c r="W42" s="151"/>
      <c r="X42" s="151"/>
      <c r="Y42" s="152"/>
      <c r="Z42" s="153"/>
      <c r="AA42" s="153"/>
      <c r="AB42" s="154"/>
      <c r="AC42" s="155">
        <f t="shared" si="29"/>
        <v>11903.625359999998</v>
      </c>
      <c r="AD42" s="156">
        <f t="shared" si="30"/>
        <v>2668.0539599999997</v>
      </c>
      <c r="AE42" s="156">
        <f t="shared" si="31"/>
        <v>1800.9364229999996</v>
      </c>
      <c r="AF42" s="156">
        <f t="shared" si="32"/>
        <v>820.93967999999995</v>
      </c>
      <c r="AG42" s="156">
        <f t="shared" si="33"/>
        <v>410.46983999999998</v>
      </c>
      <c r="AH42" s="156">
        <f t="shared" si="34"/>
        <v>410.46983999999998</v>
      </c>
      <c r="AI42" s="156">
        <f t="shared" si="35"/>
        <v>205.23491999999999</v>
      </c>
      <c r="AJ42" s="156">
        <f t="shared" si="36"/>
        <v>410.46983999999998</v>
      </c>
      <c r="AK42" s="156">
        <f t="shared" si="37"/>
        <v>410.46983999999998</v>
      </c>
      <c r="AL42" s="156">
        <f t="shared" si="38"/>
        <v>1436.64444</v>
      </c>
      <c r="AM42" s="157">
        <f t="shared" si="39"/>
        <v>6316.1046629999992</v>
      </c>
      <c r="AN42" s="158">
        <f t="shared" si="40"/>
        <v>2200</v>
      </c>
      <c r="AO42" s="159">
        <v>0.2</v>
      </c>
      <c r="AP42" s="160">
        <f t="shared" si="41"/>
        <v>167821204.45265204</v>
      </c>
      <c r="AQ42" s="161">
        <f t="shared" si="42"/>
        <v>46617.004966207889</v>
      </c>
      <c r="AR42" s="162">
        <f t="shared" si="43"/>
        <v>9323.4009932415775</v>
      </c>
      <c r="AS42" s="163">
        <f t="shared" si="44"/>
        <v>1.3303939773461155</v>
      </c>
      <c r="AT42" s="164">
        <f t="shared" si="45"/>
        <v>1.3303939773461155</v>
      </c>
      <c r="AU42" s="165"/>
      <c r="AV42" s="166"/>
      <c r="AW42" s="167"/>
      <c r="AX42" s="146"/>
      <c r="AY42" s="168"/>
    </row>
    <row r="43" spans="1:51" s="139" customFormat="1" ht="11.25" x14ac:dyDescent="0.25">
      <c r="A43" s="1"/>
      <c r="B43" s="140">
        <v>5</v>
      </c>
      <c r="C43" s="170" t="s">
        <v>92</v>
      </c>
      <c r="D43" s="142"/>
      <c r="E43" s="143"/>
      <c r="F43" s="143"/>
      <c r="G43" s="143"/>
      <c r="H43" s="143"/>
      <c r="I43" s="143"/>
      <c r="J43" s="143"/>
      <c r="K43" s="143"/>
      <c r="L43" s="143"/>
      <c r="M43" s="143"/>
      <c r="N43" s="222">
        <v>278897</v>
      </c>
      <c r="O43" s="143"/>
      <c r="P43" s="145"/>
      <c r="Q43" s="223">
        <f t="shared" si="25"/>
        <v>278897</v>
      </c>
      <c r="R43" s="147">
        <f t="shared" si="26"/>
        <v>30678.670000000002</v>
      </c>
      <c r="S43" s="147">
        <f t="shared" si="27"/>
        <v>84.051150684931514</v>
      </c>
      <c r="T43" s="148">
        <f t="shared" si="28"/>
        <v>18407.202000000001</v>
      </c>
      <c r="U43" s="199"/>
      <c r="V43" s="150"/>
      <c r="W43" s="151"/>
      <c r="X43" s="151"/>
      <c r="Y43" s="152"/>
      <c r="Z43" s="153"/>
      <c r="AA43" s="153"/>
      <c r="AB43" s="154"/>
      <c r="AC43" s="155">
        <f t="shared" si="29"/>
        <v>10676.177159999999</v>
      </c>
      <c r="AD43" s="156">
        <f t="shared" si="30"/>
        <v>2392.9362600000004</v>
      </c>
      <c r="AE43" s="156">
        <f t="shared" si="31"/>
        <v>1615.2319755000001</v>
      </c>
      <c r="AF43" s="156">
        <f t="shared" si="32"/>
        <v>736.28808000000004</v>
      </c>
      <c r="AG43" s="156">
        <f t="shared" si="33"/>
        <v>368.14404000000002</v>
      </c>
      <c r="AH43" s="156">
        <f t="shared" si="34"/>
        <v>368.14404000000002</v>
      </c>
      <c r="AI43" s="156">
        <f t="shared" si="35"/>
        <v>184.07202000000001</v>
      </c>
      <c r="AJ43" s="156">
        <f t="shared" si="36"/>
        <v>368.14404000000002</v>
      </c>
      <c r="AK43" s="156">
        <f t="shared" si="37"/>
        <v>368.14404000000002</v>
      </c>
      <c r="AL43" s="156">
        <f t="shared" si="38"/>
        <v>1288.5041400000002</v>
      </c>
      <c r="AM43" s="157">
        <f t="shared" si="39"/>
        <v>5664.8164155000004</v>
      </c>
      <c r="AN43" s="158">
        <f t="shared" si="40"/>
        <v>2200</v>
      </c>
      <c r="AO43" s="159">
        <v>0.2</v>
      </c>
      <c r="AP43" s="160">
        <f t="shared" si="41"/>
        <v>150516238.18418747</v>
      </c>
      <c r="AQ43" s="161">
        <f t="shared" si="42"/>
        <v>41810.069507079592</v>
      </c>
      <c r="AR43" s="162">
        <f t="shared" si="43"/>
        <v>8362.0139014159195</v>
      </c>
      <c r="AS43" s="163">
        <f t="shared" si="44"/>
        <v>1.1932097462066096</v>
      </c>
      <c r="AT43" s="164">
        <f t="shared" si="45"/>
        <v>1.1932097462066096</v>
      </c>
      <c r="AU43" s="165"/>
      <c r="AV43" s="166"/>
      <c r="AW43" s="167"/>
      <c r="AX43" s="146"/>
      <c r="AY43" s="168"/>
    </row>
    <row r="44" spans="1:51" s="139" customFormat="1" ht="11.25" x14ac:dyDescent="0.25">
      <c r="A44" s="1"/>
      <c r="B44" s="140">
        <v>6</v>
      </c>
      <c r="C44" s="170" t="s">
        <v>93</v>
      </c>
      <c r="D44" s="142"/>
      <c r="E44" s="143"/>
      <c r="F44" s="143"/>
      <c r="G44" s="143"/>
      <c r="H44" s="143"/>
      <c r="I44" s="143"/>
      <c r="J44" s="143"/>
      <c r="K44" s="143"/>
      <c r="L44" s="143"/>
      <c r="M44" s="143"/>
      <c r="N44" s="222">
        <v>172933</v>
      </c>
      <c r="O44" s="143"/>
      <c r="P44" s="145"/>
      <c r="Q44" s="223">
        <f t="shared" si="25"/>
        <v>172933</v>
      </c>
      <c r="R44" s="147">
        <f t="shared" si="26"/>
        <v>19022.63</v>
      </c>
      <c r="S44" s="147">
        <f t="shared" si="27"/>
        <v>52.116794520547948</v>
      </c>
      <c r="T44" s="148">
        <f t="shared" si="28"/>
        <v>11413.578</v>
      </c>
      <c r="U44" s="199"/>
      <c r="V44" s="150"/>
      <c r="W44" s="151"/>
      <c r="X44" s="151"/>
      <c r="Y44" s="152"/>
      <c r="Z44" s="153"/>
      <c r="AA44" s="153"/>
      <c r="AB44" s="154"/>
      <c r="AC44" s="155">
        <f t="shared" si="29"/>
        <v>6619.8752399999994</v>
      </c>
      <c r="AD44" s="156">
        <f t="shared" si="30"/>
        <v>1483.76514</v>
      </c>
      <c r="AE44" s="156">
        <f t="shared" si="31"/>
        <v>1001.5414694999999</v>
      </c>
      <c r="AF44" s="156">
        <f t="shared" si="32"/>
        <v>456.54311999999999</v>
      </c>
      <c r="AG44" s="156">
        <f t="shared" si="33"/>
        <v>228.27155999999999</v>
      </c>
      <c r="AH44" s="156">
        <f t="shared" si="34"/>
        <v>228.27155999999999</v>
      </c>
      <c r="AI44" s="156">
        <f t="shared" si="35"/>
        <v>114.13578</v>
      </c>
      <c r="AJ44" s="156">
        <f t="shared" si="36"/>
        <v>228.27155999999999</v>
      </c>
      <c r="AK44" s="156">
        <f t="shared" si="37"/>
        <v>228.27155999999999</v>
      </c>
      <c r="AL44" s="156">
        <f t="shared" si="38"/>
        <v>798.95046000000002</v>
      </c>
      <c r="AM44" s="157">
        <f t="shared" si="39"/>
        <v>3512.5286295000001</v>
      </c>
      <c r="AN44" s="158">
        <f t="shared" si="40"/>
        <v>2200</v>
      </c>
      <c r="AO44" s="159">
        <v>0.2</v>
      </c>
      <c r="AP44" s="160">
        <f t="shared" si="41"/>
        <v>93329166.745809704</v>
      </c>
      <c r="AQ44" s="161">
        <f t="shared" si="42"/>
        <v>25924.77061448418</v>
      </c>
      <c r="AR44" s="162">
        <f t="shared" si="43"/>
        <v>5184.9541228968365</v>
      </c>
      <c r="AS44" s="163">
        <f t="shared" si="44"/>
        <v>0.73986217507089558</v>
      </c>
      <c r="AT44" s="164">
        <f t="shared" si="45"/>
        <v>0.73986217507089558</v>
      </c>
      <c r="AU44" s="165"/>
      <c r="AV44" s="166"/>
      <c r="AW44" s="167"/>
      <c r="AX44" s="146"/>
      <c r="AY44" s="168"/>
    </row>
    <row r="45" spans="1:51" s="190" customFormat="1" ht="11.25" x14ac:dyDescent="0.25">
      <c r="A45" s="173"/>
      <c r="B45" s="225">
        <v>7</v>
      </c>
      <c r="C45" s="170" t="s">
        <v>94</v>
      </c>
      <c r="D45" s="142"/>
      <c r="E45" s="143"/>
      <c r="F45" s="143"/>
      <c r="G45" s="143"/>
      <c r="H45" s="143"/>
      <c r="I45" s="143"/>
      <c r="J45" s="143"/>
      <c r="K45" s="143"/>
      <c r="L45" s="143"/>
      <c r="M45" s="143"/>
      <c r="N45" s="143">
        <v>414417</v>
      </c>
      <c r="O45" s="143"/>
      <c r="P45" s="145"/>
      <c r="Q45" s="223">
        <f t="shared" si="25"/>
        <v>414417</v>
      </c>
      <c r="R45" s="147">
        <f t="shared" si="26"/>
        <v>45585.87</v>
      </c>
      <c r="S45" s="147">
        <f t="shared" si="27"/>
        <v>124.89279452054795</v>
      </c>
      <c r="T45" s="148">
        <f t="shared" si="28"/>
        <v>27351.522000000001</v>
      </c>
      <c r="U45" s="199"/>
      <c r="V45" s="179"/>
      <c r="W45" s="226"/>
      <c r="X45" s="226"/>
      <c r="Y45" s="227"/>
      <c r="Z45" s="181"/>
      <c r="AA45" s="181"/>
      <c r="AB45" s="182"/>
      <c r="AC45" s="228">
        <f t="shared" si="29"/>
        <v>15863.882759999999</v>
      </c>
      <c r="AD45" s="229">
        <f t="shared" si="30"/>
        <v>3555.6978600000002</v>
      </c>
      <c r="AE45" s="229">
        <f t="shared" si="31"/>
        <v>2400.0960555000001</v>
      </c>
      <c r="AF45" s="229">
        <f t="shared" si="32"/>
        <v>1094.06088</v>
      </c>
      <c r="AG45" s="229">
        <f t="shared" si="33"/>
        <v>547.03044</v>
      </c>
      <c r="AH45" s="229">
        <f t="shared" si="34"/>
        <v>547.03044</v>
      </c>
      <c r="AI45" s="229">
        <f t="shared" si="35"/>
        <v>273.51522</v>
      </c>
      <c r="AJ45" s="229">
        <f t="shared" si="36"/>
        <v>547.03044</v>
      </c>
      <c r="AK45" s="156">
        <f t="shared" si="37"/>
        <v>547.03044</v>
      </c>
      <c r="AL45" s="156">
        <f t="shared" si="38"/>
        <v>1914.6065400000002</v>
      </c>
      <c r="AM45" s="157">
        <f t="shared" si="39"/>
        <v>8417.4308954999997</v>
      </c>
      <c r="AN45" s="158">
        <f t="shared" si="40"/>
        <v>2200</v>
      </c>
      <c r="AO45" s="230">
        <v>0.2</v>
      </c>
      <c r="AP45" s="160">
        <f t="shared" si="41"/>
        <v>223654208.82826427</v>
      </c>
      <c r="AQ45" s="161">
        <f t="shared" si="42"/>
        <v>62126.174089055821</v>
      </c>
      <c r="AR45" s="162">
        <f t="shared" si="43"/>
        <v>12425.234817811164</v>
      </c>
      <c r="AS45" s="163">
        <f t="shared" si="44"/>
        <v>1.7730072513999948</v>
      </c>
      <c r="AT45" s="164">
        <f t="shared" si="45"/>
        <v>1.7730072513999948</v>
      </c>
      <c r="AU45" s="187"/>
      <c r="AV45" s="188"/>
      <c r="AW45" s="231"/>
      <c r="AX45" s="157"/>
      <c r="AY45" s="189"/>
    </row>
    <row r="46" spans="1:51" s="190" customFormat="1" ht="11.25" x14ac:dyDescent="0.25">
      <c r="A46" s="173"/>
      <c r="B46" s="225">
        <v>8</v>
      </c>
      <c r="C46" s="170" t="s">
        <v>95</v>
      </c>
      <c r="D46" s="142"/>
      <c r="E46" s="143"/>
      <c r="F46" s="143"/>
      <c r="G46" s="143"/>
      <c r="H46" s="143"/>
      <c r="I46" s="143"/>
      <c r="J46" s="143"/>
      <c r="K46" s="143"/>
      <c r="L46" s="143"/>
      <c r="M46" s="143"/>
      <c r="N46" s="143">
        <v>667563</v>
      </c>
      <c r="O46" s="143"/>
      <c r="P46" s="145"/>
      <c r="Q46" s="223">
        <f t="shared" si="25"/>
        <v>667563</v>
      </c>
      <c r="R46" s="147">
        <f>Q46*$R$9</f>
        <v>97464.197999999989</v>
      </c>
      <c r="S46" s="147">
        <f t="shared" si="27"/>
        <v>267.02519999999998</v>
      </c>
      <c r="T46" s="148">
        <f>S46*$T$5*$T$9</f>
        <v>68224.938599999994</v>
      </c>
      <c r="U46" s="199"/>
      <c r="V46" s="179"/>
      <c r="W46" s="226"/>
      <c r="X46" s="226"/>
      <c r="Y46" s="227"/>
      <c r="Z46" s="181"/>
      <c r="AA46" s="181"/>
      <c r="AB46" s="182"/>
      <c r="AC46" s="228">
        <f t="shared" si="29"/>
        <v>39570.464387999993</v>
      </c>
      <c r="AD46" s="229">
        <f t="shared" si="30"/>
        <v>8869.242017999999</v>
      </c>
      <c r="AE46" s="229">
        <f t="shared" si="31"/>
        <v>5986.7383621499994</v>
      </c>
      <c r="AF46" s="229">
        <f t="shared" si="32"/>
        <v>2728.9975439999998</v>
      </c>
      <c r="AG46" s="229">
        <f t="shared" si="33"/>
        <v>1364.4987719999999</v>
      </c>
      <c r="AH46" s="229">
        <f t="shared" si="34"/>
        <v>1364.4987719999999</v>
      </c>
      <c r="AI46" s="229">
        <f t="shared" si="35"/>
        <v>682.24938599999996</v>
      </c>
      <c r="AJ46" s="229">
        <f t="shared" si="36"/>
        <v>1364.4987719999999</v>
      </c>
      <c r="AK46" s="156">
        <f t="shared" si="37"/>
        <v>1364.4987719999999</v>
      </c>
      <c r="AL46" s="156">
        <f t="shared" si="38"/>
        <v>4775.7457020000002</v>
      </c>
      <c r="AM46" s="157">
        <f t="shared" si="39"/>
        <v>20996.224854149998</v>
      </c>
      <c r="AN46" s="158">
        <f t="shared" si="40"/>
        <v>2200</v>
      </c>
      <c r="AO46" s="230">
        <v>0.2</v>
      </c>
      <c r="AP46" s="160">
        <f t="shared" si="41"/>
        <v>557877351.94187391</v>
      </c>
      <c r="AQ46" s="161">
        <f t="shared" si="42"/>
        <v>154965.94349223946</v>
      </c>
      <c r="AR46" s="162">
        <f t="shared" si="43"/>
        <v>30993.188698447892</v>
      </c>
      <c r="AS46" s="163">
        <f t="shared" si="44"/>
        <v>4.4225440494360573</v>
      </c>
      <c r="AT46" s="164">
        <f t="shared" si="45"/>
        <v>4.4225440494360573</v>
      </c>
      <c r="AU46" s="187"/>
      <c r="AV46" s="188"/>
      <c r="AW46" s="231"/>
      <c r="AX46" s="157"/>
      <c r="AY46" s="189"/>
    </row>
    <row r="47" spans="1:51" s="139" customFormat="1" ht="11.25" x14ac:dyDescent="0.25">
      <c r="A47" s="1"/>
      <c r="B47" s="140">
        <v>9</v>
      </c>
      <c r="C47" s="232" t="s">
        <v>96</v>
      </c>
      <c r="D47" s="142"/>
      <c r="E47" s="143"/>
      <c r="F47" s="143"/>
      <c r="G47" s="143"/>
      <c r="H47" s="143"/>
      <c r="I47" s="143"/>
      <c r="J47" s="143"/>
      <c r="K47" s="143"/>
      <c r="L47" s="143"/>
      <c r="M47" s="143"/>
      <c r="N47" s="222">
        <v>818104</v>
      </c>
      <c r="O47" s="143"/>
      <c r="P47" s="145"/>
      <c r="Q47" s="223">
        <f t="shared" si="25"/>
        <v>818104</v>
      </c>
      <c r="R47" s="147">
        <f>Q47*$R$9</f>
        <v>119443.18399999999</v>
      </c>
      <c r="S47" s="147">
        <f t="shared" si="27"/>
        <v>327.24160000000001</v>
      </c>
      <c r="T47" s="148">
        <f>S47*$T$5*$T$9</f>
        <v>83610.228799999997</v>
      </c>
      <c r="U47" s="199"/>
      <c r="V47" s="150"/>
      <c r="W47" s="151"/>
      <c r="X47" s="151"/>
      <c r="Y47" s="152"/>
      <c r="Z47" s="153"/>
      <c r="AA47" s="153"/>
      <c r="AB47" s="154"/>
      <c r="AC47" s="155">
        <f t="shared" si="29"/>
        <v>48493.932703999992</v>
      </c>
      <c r="AD47" s="156">
        <f t="shared" si="30"/>
        <v>10869.329744000001</v>
      </c>
      <c r="AE47" s="156">
        <f t="shared" si="31"/>
        <v>7336.7975771999991</v>
      </c>
      <c r="AF47" s="156">
        <f t="shared" si="32"/>
        <v>3344.4091520000002</v>
      </c>
      <c r="AG47" s="156">
        <f t="shared" si="33"/>
        <v>1672.2045760000001</v>
      </c>
      <c r="AH47" s="156">
        <f t="shared" si="34"/>
        <v>1672.2045760000001</v>
      </c>
      <c r="AI47" s="156">
        <f t="shared" si="35"/>
        <v>836.10228800000004</v>
      </c>
      <c r="AJ47" s="156">
        <f t="shared" si="36"/>
        <v>1672.2045760000001</v>
      </c>
      <c r="AK47" s="156">
        <f t="shared" si="37"/>
        <v>1672.2045760000001</v>
      </c>
      <c r="AL47" s="156">
        <f t="shared" si="38"/>
        <v>5852.7160160000003</v>
      </c>
      <c r="AM47" s="157">
        <f t="shared" si="39"/>
        <v>25731.047913200004</v>
      </c>
      <c r="AN47" s="158">
        <f t="shared" si="40"/>
        <v>2200</v>
      </c>
      <c r="AO47" s="159">
        <v>0.2</v>
      </c>
      <c r="AP47" s="160">
        <f t="shared" si="41"/>
        <v>683683327.46580446</v>
      </c>
      <c r="AQ47" s="161">
        <f t="shared" si="42"/>
        <v>189912.05060013072</v>
      </c>
      <c r="AR47" s="162">
        <f t="shared" si="43"/>
        <v>37982.410120026143</v>
      </c>
      <c r="AS47" s="163">
        <f t="shared" si="44"/>
        <v>5.4198644577662876</v>
      </c>
      <c r="AT47" s="233">
        <f t="shared" si="45"/>
        <v>5.4198644577662876</v>
      </c>
      <c r="AU47" s="187"/>
      <c r="AV47" s="166"/>
      <c r="AW47" s="167"/>
      <c r="AX47" s="146"/>
      <c r="AY47" s="168"/>
    </row>
    <row r="48" spans="1:51" s="139" customFormat="1" ht="11.25" x14ac:dyDescent="0.25">
      <c r="A48" s="1"/>
      <c r="B48" s="140">
        <v>10</v>
      </c>
      <c r="C48" s="232" t="s">
        <v>97</v>
      </c>
      <c r="D48" s="142"/>
      <c r="E48" s="143"/>
      <c r="F48" s="143"/>
      <c r="G48" s="143"/>
      <c r="H48" s="143"/>
      <c r="I48" s="143"/>
      <c r="J48" s="143"/>
      <c r="K48" s="143"/>
      <c r="L48" s="143"/>
      <c r="M48" s="143"/>
      <c r="N48" s="222">
        <v>169848</v>
      </c>
      <c r="O48" s="143"/>
      <c r="P48" s="145"/>
      <c r="Q48" s="223">
        <f t="shared" si="25"/>
        <v>169848</v>
      </c>
      <c r="R48" s="147">
        <f>Q48*$R$10</f>
        <v>18683.28</v>
      </c>
      <c r="S48" s="147">
        <f t="shared" si="27"/>
        <v>51.187068493150683</v>
      </c>
      <c r="T48" s="148">
        <f>S48*$T$5*$T$10</f>
        <v>11209.967999999999</v>
      </c>
      <c r="U48" s="199"/>
      <c r="V48" s="150"/>
      <c r="W48" s="151"/>
      <c r="X48" s="151"/>
      <c r="Y48" s="152"/>
      <c r="Z48" s="153"/>
      <c r="AA48" s="153"/>
      <c r="AB48" s="154"/>
      <c r="AC48" s="155">
        <f t="shared" si="29"/>
        <v>6501.7814399999988</v>
      </c>
      <c r="AD48" s="156">
        <f t="shared" si="30"/>
        <v>1457.29584</v>
      </c>
      <c r="AE48" s="156">
        <f t="shared" si="31"/>
        <v>983.67469199999982</v>
      </c>
      <c r="AF48" s="156">
        <f t="shared" si="32"/>
        <v>448.39871999999997</v>
      </c>
      <c r="AG48" s="156">
        <f t="shared" si="33"/>
        <v>224.19935999999998</v>
      </c>
      <c r="AH48" s="156">
        <f t="shared" si="34"/>
        <v>224.19935999999998</v>
      </c>
      <c r="AI48" s="156">
        <f t="shared" si="35"/>
        <v>112.09967999999999</v>
      </c>
      <c r="AJ48" s="156">
        <f t="shared" si="36"/>
        <v>224.19935999999998</v>
      </c>
      <c r="AK48" s="156">
        <f t="shared" si="37"/>
        <v>224.19935999999998</v>
      </c>
      <c r="AL48" s="156">
        <f t="shared" si="38"/>
        <v>784.69776000000002</v>
      </c>
      <c r="AM48" s="157">
        <f t="shared" si="39"/>
        <v>3449.8676519999999</v>
      </c>
      <c r="AN48" s="158">
        <f t="shared" si="40"/>
        <v>2200</v>
      </c>
      <c r="AO48" s="159">
        <v>0.2</v>
      </c>
      <c r="AP48" s="160">
        <f t="shared" si="41"/>
        <v>91664241.720448315</v>
      </c>
      <c r="AQ48" s="161">
        <f t="shared" si="42"/>
        <v>25462.291403774347</v>
      </c>
      <c r="AR48" s="162">
        <f t="shared" si="43"/>
        <v>5092.4582807548695</v>
      </c>
      <c r="AS48" s="163">
        <f t="shared" si="44"/>
        <v>0.7266635674593136</v>
      </c>
      <c r="AT48" s="164">
        <f t="shared" si="45"/>
        <v>0.7266635674593136</v>
      </c>
      <c r="AU48" s="165"/>
      <c r="AV48" s="166"/>
      <c r="AW48" s="167"/>
      <c r="AX48" s="146"/>
      <c r="AY48" s="168"/>
    </row>
    <row r="49" spans="1:51" s="139" customFormat="1" ht="11.25" x14ac:dyDescent="0.25">
      <c r="A49" s="1"/>
      <c r="B49" s="140">
        <v>11</v>
      </c>
      <c r="C49" s="232" t="s">
        <v>98</v>
      </c>
      <c r="D49" s="142"/>
      <c r="E49" s="143"/>
      <c r="F49" s="143"/>
      <c r="G49" s="143"/>
      <c r="H49" s="143"/>
      <c r="I49" s="143"/>
      <c r="J49" s="143"/>
      <c r="K49" s="143"/>
      <c r="L49" s="143"/>
      <c r="M49" s="143"/>
      <c r="N49" s="222">
        <v>350479</v>
      </c>
      <c r="O49" s="143"/>
      <c r="P49" s="145"/>
      <c r="Q49" s="223">
        <f t="shared" si="25"/>
        <v>350479</v>
      </c>
      <c r="R49" s="147">
        <f>Q49*$R$10</f>
        <v>38552.69</v>
      </c>
      <c r="S49" s="147">
        <f t="shared" si="27"/>
        <v>105.62380821917809</v>
      </c>
      <c r="T49" s="148">
        <f>S49*$T$5*$T$10</f>
        <v>23131.614000000001</v>
      </c>
      <c r="U49" s="199"/>
      <c r="V49" s="150"/>
      <c r="W49" s="151"/>
      <c r="X49" s="151"/>
      <c r="Y49" s="152"/>
      <c r="Z49" s="153"/>
      <c r="AA49" s="153"/>
      <c r="AB49" s="154"/>
      <c r="AC49" s="155">
        <f t="shared" si="29"/>
        <v>13416.33612</v>
      </c>
      <c r="AD49" s="156">
        <f t="shared" si="30"/>
        <v>3007.1098200000001</v>
      </c>
      <c r="AE49" s="156">
        <f t="shared" si="31"/>
        <v>2029.7991285000001</v>
      </c>
      <c r="AF49" s="156">
        <f t="shared" si="32"/>
        <v>925.26456000000007</v>
      </c>
      <c r="AG49" s="156">
        <f t="shared" si="33"/>
        <v>462.63228000000004</v>
      </c>
      <c r="AH49" s="156">
        <f t="shared" si="34"/>
        <v>462.63228000000004</v>
      </c>
      <c r="AI49" s="156">
        <f t="shared" si="35"/>
        <v>231.31614000000002</v>
      </c>
      <c r="AJ49" s="156">
        <f t="shared" si="36"/>
        <v>462.63228000000004</v>
      </c>
      <c r="AK49" s="156">
        <f t="shared" si="37"/>
        <v>462.63228000000004</v>
      </c>
      <c r="AL49" s="156">
        <f t="shared" si="38"/>
        <v>1619.2129800000002</v>
      </c>
      <c r="AM49" s="157">
        <f t="shared" si="39"/>
        <v>7118.7542084999995</v>
      </c>
      <c r="AN49" s="158">
        <f t="shared" si="40"/>
        <v>2200</v>
      </c>
      <c r="AO49" s="159">
        <v>0.2</v>
      </c>
      <c r="AP49" s="160">
        <f t="shared" si="41"/>
        <v>189147895.61220035</v>
      </c>
      <c r="AQ49" s="161">
        <f t="shared" si="42"/>
        <v>52541.086317786663</v>
      </c>
      <c r="AR49" s="162">
        <f t="shared" si="43"/>
        <v>10508.217263557333</v>
      </c>
      <c r="AS49" s="163">
        <f t="shared" si="44"/>
        <v>1.4994602259642313</v>
      </c>
      <c r="AT49" s="164">
        <f t="shared" si="45"/>
        <v>1.4994602259642313</v>
      </c>
      <c r="AU49" s="165"/>
      <c r="AV49" s="166"/>
      <c r="AW49" s="167"/>
      <c r="AX49" s="146"/>
      <c r="AY49" s="168"/>
    </row>
    <row r="50" spans="1:51" s="139" customFormat="1" ht="11.25" x14ac:dyDescent="0.25">
      <c r="A50" s="1"/>
      <c r="B50" s="140">
        <v>12</v>
      </c>
      <c r="C50" s="232" t="s">
        <v>99</v>
      </c>
      <c r="D50" s="142"/>
      <c r="E50" s="143"/>
      <c r="F50" s="143"/>
      <c r="G50" s="143"/>
      <c r="H50" s="143"/>
      <c r="I50" s="143"/>
      <c r="J50" s="143"/>
      <c r="K50" s="143"/>
      <c r="L50" s="143"/>
      <c r="M50" s="143"/>
      <c r="N50" s="222">
        <v>1789243</v>
      </c>
      <c r="O50" s="143"/>
      <c r="P50" s="145"/>
      <c r="Q50" s="223">
        <f t="shared" si="25"/>
        <v>1789243</v>
      </c>
      <c r="R50" s="147">
        <f>Q50*$R$7</f>
        <v>424050.59099999996</v>
      </c>
      <c r="S50" s="147">
        <f t="shared" si="27"/>
        <v>1161.7824410958904</v>
      </c>
      <c r="T50" s="148">
        <f>S50*$T$5*$T$7</f>
        <v>381645.53189999994</v>
      </c>
      <c r="U50" s="199"/>
      <c r="V50" s="150"/>
      <c r="W50" s="151"/>
      <c r="X50" s="151"/>
      <c r="Y50" s="152"/>
      <c r="Z50" s="153"/>
      <c r="AA50" s="153"/>
      <c r="AB50" s="154"/>
      <c r="AC50" s="155">
        <f t="shared" si="29"/>
        <v>221354.40850199995</v>
      </c>
      <c r="AD50" s="156">
        <f t="shared" si="30"/>
        <v>49613.919146999993</v>
      </c>
      <c r="AE50" s="156">
        <f t="shared" si="31"/>
        <v>33489.395424224997</v>
      </c>
      <c r="AF50" s="156">
        <f t="shared" si="32"/>
        <v>15265.821275999999</v>
      </c>
      <c r="AG50" s="156">
        <f t="shared" si="33"/>
        <v>7632.9106379999994</v>
      </c>
      <c r="AH50" s="156">
        <f t="shared" si="34"/>
        <v>7632.9106379999994</v>
      </c>
      <c r="AI50" s="156">
        <f t="shared" si="35"/>
        <v>3816.4553189999997</v>
      </c>
      <c r="AJ50" s="156">
        <f t="shared" si="36"/>
        <v>7632.9106379999994</v>
      </c>
      <c r="AK50" s="156">
        <f t="shared" si="37"/>
        <v>7632.9106379999994</v>
      </c>
      <c r="AL50" s="156">
        <f t="shared" si="38"/>
        <v>26715.187232999997</v>
      </c>
      <c r="AM50" s="157">
        <f t="shared" si="39"/>
        <v>117451.412442225</v>
      </c>
      <c r="AN50" s="158">
        <f t="shared" si="40"/>
        <v>2200</v>
      </c>
      <c r="AO50" s="159">
        <v>0.2</v>
      </c>
      <c r="AP50" s="160">
        <f t="shared" si="41"/>
        <v>3120726864.4844184</v>
      </c>
      <c r="AQ50" s="161">
        <f t="shared" si="42"/>
        <v>866868.64281737991</v>
      </c>
      <c r="AR50" s="162">
        <f t="shared" si="43"/>
        <v>173373.728563476</v>
      </c>
      <c r="AS50" s="163">
        <f t="shared" si="44"/>
        <v>24.739401906888698</v>
      </c>
      <c r="AT50" s="233">
        <f t="shared" si="45"/>
        <v>24.739401906888698</v>
      </c>
      <c r="AU50" s="187"/>
      <c r="AV50" s="166"/>
      <c r="AW50" s="167"/>
      <c r="AX50" s="146"/>
      <c r="AY50" s="168"/>
    </row>
    <row r="51" spans="1:51" s="139" customFormat="1" ht="11.25" x14ac:dyDescent="0.25">
      <c r="A51" s="1"/>
      <c r="B51" s="140">
        <v>13</v>
      </c>
      <c r="C51" s="232" t="s">
        <v>100</v>
      </c>
      <c r="D51" s="142"/>
      <c r="E51" s="143"/>
      <c r="F51" s="143"/>
      <c r="G51" s="143"/>
      <c r="H51" s="143"/>
      <c r="I51" s="143"/>
      <c r="J51" s="143"/>
      <c r="K51" s="143"/>
      <c r="L51" s="143"/>
      <c r="M51" s="143"/>
      <c r="N51" s="222">
        <v>966133</v>
      </c>
      <c r="O51" s="143"/>
      <c r="P51" s="145"/>
      <c r="Q51" s="223">
        <f t="shared" si="25"/>
        <v>966133</v>
      </c>
      <c r="R51" s="147">
        <f>Q51*$R$9</f>
        <v>141055.41800000001</v>
      </c>
      <c r="S51" s="147">
        <f t="shared" si="27"/>
        <v>386.45320000000004</v>
      </c>
      <c r="T51" s="148">
        <f>S51*$T$5*$T$9</f>
        <v>98738.792600000001</v>
      </c>
      <c r="U51" s="199"/>
      <c r="V51" s="150"/>
      <c r="W51" s="151"/>
      <c r="X51" s="151"/>
      <c r="Y51" s="152"/>
      <c r="Z51" s="153"/>
      <c r="AA51" s="153"/>
      <c r="AB51" s="154"/>
      <c r="AC51" s="155">
        <f t="shared" si="29"/>
        <v>57268.499707999996</v>
      </c>
      <c r="AD51" s="156">
        <f t="shared" si="30"/>
        <v>12836.043038</v>
      </c>
      <c r="AE51" s="156">
        <f t="shared" si="31"/>
        <v>8664.3290506499998</v>
      </c>
      <c r="AF51" s="156">
        <f t="shared" si="32"/>
        <v>3949.551704</v>
      </c>
      <c r="AG51" s="156">
        <f t="shared" si="33"/>
        <v>1974.775852</v>
      </c>
      <c r="AH51" s="156">
        <f t="shared" si="34"/>
        <v>1974.775852</v>
      </c>
      <c r="AI51" s="156">
        <f t="shared" si="35"/>
        <v>987.38792599999999</v>
      </c>
      <c r="AJ51" s="156">
        <f t="shared" si="36"/>
        <v>1974.775852</v>
      </c>
      <c r="AK51" s="156">
        <f t="shared" si="37"/>
        <v>1974.775852</v>
      </c>
      <c r="AL51" s="156">
        <f t="shared" si="38"/>
        <v>6911.7154820000005</v>
      </c>
      <c r="AM51" s="157">
        <f t="shared" si="39"/>
        <v>30386.86342265</v>
      </c>
      <c r="AN51" s="158">
        <f t="shared" si="40"/>
        <v>2200</v>
      </c>
      <c r="AO51" s="159">
        <v>0.2</v>
      </c>
      <c r="AP51" s="160">
        <f t="shared" si="41"/>
        <v>807390043.58189178</v>
      </c>
      <c r="AQ51" s="161">
        <f t="shared" si="42"/>
        <v>224275.030048082</v>
      </c>
      <c r="AR51" s="162">
        <f t="shared" si="43"/>
        <v>44855.006009616402</v>
      </c>
      <c r="AS51" s="163">
        <f t="shared" si="44"/>
        <v>6.4005430949795095</v>
      </c>
      <c r="AT51" s="233">
        <f t="shared" si="45"/>
        <v>6.4005430949795095</v>
      </c>
      <c r="AU51" s="187"/>
      <c r="AV51" s="166"/>
      <c r="AW51" s="167"/>
      <c r="AX51" s="146"/>
      <c r="AY51" s="168"/>
    </row>
    <row r="52" spans="1:51" s="139" customFormat="1" ht="11.25" x14ac:dyDescent="0.25">
      <c r="A52" s="1"/>
      <c r="B52" s="140">
        <v>14</v>
      </c>
      <c r="C52" s="170" t="s">
        <v>101</v>
      </c>
      <c r="D52" s="142"/>
      <c r="E52" s="143"/>
      <c r="F52" s="143"/>
      <c r="G52" s="143"/>
      <c r="H52" s="143"/>
      <c r="I52" s="143"/>
      <c r="J52" s="143"/>
      <c r="K52" s="143"/>
      <c r="L52" s="143"/>
      <c r="M52" s="143"/>
      <c r="N52" s="222">
        <v>289876</v>
      </c>
      <c r="O52" s="143"/>
      <c r="P52" s="145"/>
      <c r="Q52" s="223">
        <f t="shared" si="25"/>
        <v>289876</v>
      </c>
      <c r="R52" s="147">
        <f>Q52*$R$10</f>
        <v>31886.36</v>
      </c>
      <c r="S52" s="147">
        <f t="shared" si="27"/>
        <v>87.359890410958911</v>
      </c>
      <c r="T52" s="148">
        <f>S52*$T$5*$T$10</f>
        <v>19131.816000000003</v>
      </c>
      <c r="U52" s="199"/>
      <c r="V52" s="150"/>
      <c r="W52" s="151"/>
      <c r="X52" s="151"/>
      <c r="Y52" s="152"/>
      <c r="Z52" s="153"/>
      <c r="AA52" s="153"/>
      <c r="AB52" s="154"/>
      <c r="AC52" s="155">
        <f t="shared" si="29"/>
        <v>11096.453280000002</v>
      </c>
      <c r="AD52" s="156">
        <f t="shared" si="30"/>
        <v>2487.1360800000002</v>
      </c>
      <c r="AE52" s="156">
        <f t="shared" si="31"/>
        <v>1678.8168540000001</v>
      </c>
      <c r="AF52" s="156">
        <f t="shared" si="32"/>
        <v>765.27264000000014</v>
      </c>
      <c r="AG52" s="156">
        <f t="shared" si="33"/>
        <v>382.63632000000007</v>
      </c>
      <c r="AH52" s="156">
        <f t="shared" si="34"/>
        <v>382.63632000000007</v>
      </c>
      <c r="AI52" s="156">
        <f t="shared" si="35"/>
        <v>191.31816000000003</v>
      </c>
      <c r="AJ52" s="156">
        <f t="shared" si="36"/>
        <v>382.63632000000007</v>
      </c>
      <c r="AK52" s="156">
        <f t="shared" si="37"/>
        <v>382.63632000000007</v>
      </c>
      <c r="AL52" s="156">
        <f t="shared" si="38"/>
        <v>1339.2271200000002</v>
      </c>
      <c r="AM52" s="157">
        <f t="shared" si="39"/>
        <v>5887.8163740000009</v>
      </c>
      <c r="AN52" s="158">
        <f t="shared" si="40"/>
        <v>2200</v>
      </c>
      <c r="AO52" s="159">
        <v>0.2</v>
      </c>
      <c r="AP52" s="160">
        <f t="shared" si="41"/>
        <v>156441428.41220784</v>
      </c>
      <c r="AQ52" s="161">
        <f t="shared" si="42"/>
        <v>43455.955813200584</v>
      </c>
      <c r="AR52" s="162">
        <f t="shared" si="43"/>
        <v>8691.1911626401179</v>
      </c>
      <c r="AS52" s="163">
        <f t="shared" si="44"/>
        <v>1.2401813873630305</v>
      </c>
      <c r="AT52" s="164">
        <f t="shared" si="45"/>
        <v>1.2401813873630305</v>
      </c>
      <c r="AU52" s="165"/>
      <c r="AV52" s="166"/>
      <c r="AW52" s="167"/>
      <c r="AX52" s="146"/>
      <c r="AY52" s="168"/>
    </row>
    <row r="53" spans="1:51" s="139" customFormat="1" ht="11.25" x14ac:dyDescent="0.25">
      <c r="A53" s="1"/>
      <c r="B53" s="140">
        <v>15</v>
      </c>
      <c r="C53" s="170" t="s">
        <v>102</v>
      </c>
      <c r="D53" s="142"/>
      <c r="E53" s="143"/>
      <c r="F53" s="143"/>
      <c r="G53" s="143"/>
      <c r="H53" s="143"/>
      <c r="I53" s="143"/>
      <c r="J53" s="143"/>
      <c r="K53" s="143"/>
      <c r="L53" s="143"/>
      <c r="M53" s="143"/>
      <c r="N53" s="222">
        <v>171687</v>
      </c>
      <c r="O53" s="143"/>
      <c r="P53" s="145"/>
      <c r="Q53" s="223">
        <f t="shared" si="25"/>
        <v>171687</v>
      </c>
      <c r="R53" s="147">
        <f>Q53*$R$10</f>
        <v>18885.57</v>
      </c>
      <c r="S53" s="147">
        <f t="shared" si="27"/>
        <v>51.741287671232875</v>
      </c>
      <c r="T53" s="148">
        <f>S53*$T$5*$T$10</f>
        <v>11331.341999999999</v>
      </c>
      <c r="U53" s="199"/>
      <c r="V53" s="150"/>
      <c r="W53" s="151"/>
      <c r="X53" s="151"/>
      <c r="Y53" s="152"/>
      <c r="Z53" s="153"/>
      <c r="AA53" s="153"/>
      <c r="AB53" s="154"/>
      <c r="AC53" s="155">
        <f t="shared" si="29"/>
        <v>6572.178359999999</v>
      </c>
      <c r="AD53" s="156">
        <f t="shared" si="30"/>
        <v>1473.0744599999998</v>
      </c>
      <c r="AE53" s="156">
        <f t="shared" si="31"/>
        <v>994.32526049999979</v>
      </c>
      <c r="AF53" s="156">
        <f t="shared" si="32"/>
        <v>453.25367999999997</v>
      </c>
      <c r="AG53" s="156">
        <f t="shared" si="33"/>
        <v>226.62683999999999</v>
      </c>
      <c r="AH53" s="156">
        <f t="shared" si="34"/>
        <v>226.62683999999999</v>
      </c>
      <c r="AI53" s="156">
        <f t="shared" si="35"/>
        <v>113.31341999999999</v>
      </c>
      <c r="AJ53" s="156">
        <f t="shared" si="36"/>
        <v>226.62683999999999</v>
      </c>
      <c r="AK53" s="156">
        <f t="shared" si="37"/>
        <v>226.62683999999999</v>
      </c>
      <c r="AL53" s="156">
        <f t="shared" si="38"/>
        <v>793.19394</v>
      </c>
      <c r="AM53" s="157">
        <f t="shared" si="39"/>
        <v>3487.2205004999992</v>
      </c>
      <c r="AN53" s="158">
        <f t="shared" si="40"/>
        <v>2200</v>
      </c>
      <c r="AO53" s="159">
        <v>0.2</v>
      </c>
      <c r="AP53" s="160">
        <f t="shared" si="41"/>
        <v>92656720.528111055</v>
      </c>
      <c r="AQ53" s="161">
        <f t="shared" si="42"/>
        <v>25737.979983513527</v>
      </c>
      <c r="AR53" s="162">
        <f t="shared" si="43"/>
        <v>5147.5959967027056</v>
      </c>
      <c r="AS53" s="163">
        <f t="shared" si="44"/>
        <v>0.73453139222355956</v>
      </c>
      <c r="AT53" s="164">
        <f t="shared" si="45"/>
        <v>0.73453139222355956</v>
      </c>
      <c r="AU53" s="165"/>
      <c r="AV53" s="166"/>
      <c r="AW53" s="167"/>
      <c r="AX53" s="146"/>
      <c r="AY53" s="168"/>
    </row>
    <row r="54" spans="1:51" s="139" customFormat="1" ht="11.25" x14ac:dyDescent="0.25">
      <c r="A54" s="1"/>
      <c r="B54" s="140">
        <v>16</v>
      </c>
      <c r="C54" s="170" t="s">
        <v>103</v>
      </c>
      <c r="D54" s="142"/>
      <c r="E54" s="143"/>
      <c r="F54" s="143"/>
      <c r="G54" s="143"/>
      <c r="H54" s="143"/>
      <c r="I54" s="143"/>
      <c r="J54" s="143"/>
      <c r="K54" s="143"/>
      <c r="L54" s="143"/>
      <c r="M54" s="143"/>
      <c r="N54" s="222">
        <v>40481</v>
      </c>
      <c r="O54" s="143"/>
      <c r="P54" s="145"/>
      <c r="Q54" s="223">
        <f t="shared" si="25"/>
        <v>40481</v>
      </c>
      <c r="R54" s="147">
        <f>Q54*$R$10</f>
        <v>4452.91</v>
      </c>
      <c r="S54" s="147">
        <f t="shared" si="27"/>
        <v>12.199753424657533</v>
      </c>
      <c r="T54" s="148">
        <f>S54*$T$5*$T$10</f>
        <v>2671.7459999999996</v>
      </c>
      <c r="U54" s="199"/>
      <c r="V54" s="150"/>
      <c r="W54" s="151"/>
      <c r="X54" s="151"/>
      <c r="Y54" s="152"/>
      <c r="Z54" s="153"/>
      <c r="AA54" s="153"/>
      <c r="AB54" s="154"/>
      <c r="AC54" s="155">
        <f t="shared" si="29"/>
        <v>1549.6126799999997</v>
      </c>
      <c r="AD54" s="156">
        <f t="shared" si="30"/>
        <v>347.32697999999999</v>
      </c>
      <c r="AE54" s="156">
        <f t="shared" si="31"/>
        <v>234.44571149999996</v>
      </c>
      <c r="AF54" s="156">
        <f t="shared" si="32"/>
        <v>106.86983999999998</v>
      </c>
      <c r="AG54" s="156">
        <f t="shared" si="33"/>
        <v>53.434919999999991</v>
      </c>
      <c r="AH54" s="156">
        <f t="shared" si="34"/>
        <v>53.434919999999991</v>
      </c>
      <c r="AI54" s="156">
        <f t="shared" si="35"/>
        <v>26.717459999999996</v>
      </c>
      <c r="AJ54" s="156">
        <f t="shared" si="36"/>
        <v>53.434919999999991</v>
      </c>
      <c r="AK54" s="156">
        <f t="shared" si="37"/>
        <v>53.434919999999991</v>
      </c>
      <c r="AL54" s="156">
        <f t="shared" si="38"/>
        <v>187.02222</v>
      </c>
      <c r="AM54" s="157">
        <f t="shared" si="39"/>
        <v>822.22983149999993</v>
      </c>
      <c r="AN54" s="158">
        <f t="shared" si="40"/>
        <v>2200</v>
      </c>
      <c r="AO54" s="159">
        <v>0.2</v>
      </c>
      <c r="AP54" s="160">
        <f t="shared" si="41"/>
        <v>21846946.499726035</v>
      </c>
      <c r="AQ54" s="161">
        <f t="shared" si="42"/>
        <v>6068.5967354115983</v>
      </c>
      <c r="AR54" s="162">
        <f t="shared" si="43"/>
        <v>1213.7193470823197</v>
      </c>
      <c r="AS54" s="163">
        <f t="shared" si="44"/>
        <v>0.17319054610192919</v>
      </c>
      <c r="AT54" s="164">
        <f t="shared" si="45"/>
        <v>0.17319054610192919</v>
      </c>
      <c r="AU54" s="165"/>
      <c r="AV54" s="166"/>
      <c r="AW54" s="167"/>
      <c r="AX54" s="146"/>
      <c r="AY54" s="168"/>
    </row>
    <row r="55" spans="1:51" s="139" customFormat="1" ht="11.25" x14ac:dyDescent="0.25">
      <c r="A55" s="1"/>
      <c r="B55" s="140">
        <v>17</v>
      </c>
      <c r="C55" s="170" t="s">
        <v>104</v>
      </c>
      <c r="D55" s="142"/>
      <c r="E55" s="143"/>
      <c r="F55" s="143"/>
      <c r="G55" s="143"/>
      <c r="H55" s="143"/>
      <c r="I55" s="143"/>
      <c r="J55" s="143"/>
      <c r="K55" s="143"/>
      <c r="L55" s="143"/>
      <c r="M55" s="143"/>
      <c r="N55" s="222">
        <v>119650</v>
      </c>
      <c r="O55" s="143"/>
      <c r="P55" s="145"/>
      <c r="Q55" s="223">
        <f t="shared" si="25"/>
        <v>119650</v>
      </c>
      <c r="R55" s="147">
        <f>Q55*$R$10</f>
        <v>13161.5</v>
      </c>
      <c r="S55" s="147">
        <f t="shared" si="27"/>
        <v>36.058904109589044</v>
      </c>
      <c r="T55" s="148">
        <f>S55*$T$5*$T$10</f>
        <v>7896.9000000000005</v>
      </c>
      <c r="U55" s="199"/>
      <c r="V55" s="150"/>
      <c r="W55" s="151"/>
      <c r="X55" s="151"/>
      <c r="Y55" s="152"/>
      <c r="Z55" s="153"/>
      <c r="AA55" s="153"/>
      <c r="AB55" s="154"/>
      <c r="AC55" s="155">
        <f t="shared" si="29"/>
        <v>4580.2020000000002</v>
      </c>
      <c r="AD55" s="156">
        <f t="shared" si="30"/>
        <v>1026.5970000000002</v>
      </c>
      <c r="AE55" s="156">
        <f t="shared" si="31"/>
        <v>692.95297500000004</v>
      </c>
      <c r="AF55" s="156">
        <f t="shared" si="32"/>
        <v>315.87600000000003</v>
      </c>
      <c r="AG55" s="156">
        <f t="shared" si="33"/>
        <v>157.93800000000002</v>
      </c>
      <c r="AH55" s="156">
        <f t="shared" si="34"/>
        <v>157.93800000000002</v>
      </c>
      <c r="AI55" s="156">
        <f t="shared" si="35"/>
        <v>78.969000000000008</v>
      </c>
      <c r="AJ55" s="156">
        <f t="shared" si="36"/>
        <v>157.93800000000002</v>
      </c>
      <c r="AK55" s="156">
        <f t="shared" si="37"/>
        <v>157.93800000000002</v>
      </c>
      <c r="AL55" s="156">
        <f t="shared" si="38"/>
        <v>552.78300000000013</v>
      </c>
      <c r="AM55" s="157">
        <f t="shared" si="39"/>
        <v>2430.2709750000004</v>
      </c>
      <c r="AN55" s="158">
        <f t="shared" si="40"/>
        <v>2200</v>
      </c>
      <c r="AO55" s="159">
        <v>0.2</v>
      </c>
      <c r="AP55" s="160">
        <f t="shared" si="41"/>
        <v>64573186.153806008</v>
      </c>
      <c r="AQ55" s="161">
        <f t="shared" si="42"/>
        <v>17936.997588794693</v>
      </c>
      <c r="AR55" s="162">
        <f t="shared" si="43"/>
        <v>3587.3995177589386</v>
      </c>
      <c r="AS55" s="163">
        <f t="shared" si="44"/>
        <v>0.51190061611856996</v>
      </c>
      <c r="AT55" s="164">
        <f t="shared" si="45"/>
        <v>0.51190061611856996</v>
      </c>
      <c r="AU55" s="165"/>
      <c r="AV55" s="166"/>
      <c r="AW55" s="167"/>
      <c r="AX55" s="146"/>
      <c r="AY55" s="168"/>
    </row>
    <row r="56" spans="1:51" s="139" customFormat="1" ht="11.25" x14ac:dyDescent="0.25">
      <c r="A56" s="1"/>
      <c r="B56" s="140">
        <v>18</v>
      </c>
      <c r="C56" s="170" t="s">
        <v>105</v>
      </c>
      <c r="D56" s="142"/>
      <c r="E56" s="143"/>
      <c r="F56" s="143"/>
      <c r="G56" s="143"/>
      <c r="H56" s="143"/>
      <c r="I56" s="143"/>
      <c r="J56" s="143"/>
      <c r="K56" s="143"/>
      <c r="L56" s="143"/>
      <c r="M56" s="143"/>
      <c r="N56" s="222">
        <v>592922</v>
      </c>
      <c r="O56" s="143"/>
      <c r="P56" s="145"/>
      <c r="Q56" s="223">
        <f t="shared" si="25"/>
        <v>592922</v>
      </c>
      <c r="R56" s="147">
        <f>Q56*$R$9</f>
        <v>86566.611999999994</v>
      </c>
      <c r="S56" s="147">
        <f t="shared" si="27"/>
        <v>237.16879999999998</v>
      </c>
      <c r="T56" s="148">
        <f>S56*$T$5*$T$9</f>
        <v>60596.628399999994</v>
      </c>
      <c r="U56" s="199"/>
      <c r="V56" s="150"/>
      <c r="W56" s="151"/>
      <c r="X56" s="151"/>
      <c r="Y56" s="152"/>
      <c r="Z56" s="153"/>
      <c r="AA56" s="153"/>
      <c r="AB56" s="154"/>
      <c r="AC56" s="155">
        <f t="shared" si="29"/>
        <v>35146.044471999994</v>
      </c>
      <c r="AD56" s="156">
        <f t="shared" si="30"/>
        <v>7877.5616919999993</v>
      </c>
      <c r="AE56" s="156">
        <f t="shared" si="31"/>
        <v>5317.3541420999991</v>
      </c>
      <c r="AF56" s="156">
        <f t="shared" si="32"/>
        <v>2423.8651359999999</v>
      </c>
      <c r="AG56" s="156">
        <f t="shared" si="33"/>
        <v>1211.9325679999999</v>
      </c>
      <c r="AH56" s="156">
        <f t="shared" si="34"/>
        <v>1211.9325679999999</v>
      </c>
      <c r="AI56" s="156">
        <f t="shared" si="35"/>
        <v>605.96628399999997</v>
      </c>
      <c r="AJ56" s="156">
        <f t="shared" si="36"/>
        <v>1211.9325679999999</v>
      </c>
      <c r="AK56" s="156">
        <f t="shared" si="37"/>
        <v>1211.9325679999999</v>
      </c>
      <c r="AL56" s="156">
        <f t="shared" si="38"/>
        <v>4241.7639879999997</v>
      </c>
      <c r="AM56" s="157">
        <f t="shared" si="39"/>
        <v>18648.612390099996</v>
      </c>
      <c r="AN56" s="158">
        <f t="shared" si="40"/>
        <v>2200</v>
      </c>
      <c r="AO56" s="159">
        <v>0.2</v>
      </c>
      <c r="AP56" s="160">
        <f t="shared" si="41"/>
        <v>495500432.57052851</v>
      </c>
      <c r="AQ56" s="161">
        <f t="shared" si="42"/>
        <v>137639.02005848975</v>
      </c>
      <c r="AR56" s="162">
        <f t="shared" si="43"/>
        <v>27527.804011697954</v>
      </c>
      <c r="AS56" s="163">
        <f t="shared" si="44"/>
        <v>3.9280542254135207</v>
      </c>
      <c r="AT56" s="164">
        <f t="shared" si="45"/>
        <v>3.9280542254135207</v>
      </c>
      <c r="AU56" s="165"/>
      <c r="AV56" s="166"/>
      <c r="AW56" s="167"/>
      <c r="AX56" s="146"/>
      <c r="AY56" s="168"/>
    </row>
    <row r="57" spans="1:51" s="139" customFormat="1" ht="11.25" x14ac:dyDescent="0.25">
      <c r="A57" s="1"/>
      <c r="B57" s="140">
        <v>19</v>
      </c>
      <c r="C57" s="170" t="s">
        <v>106</v>
      </c>
      <c r="D57" s="142"/>
      <c r="E57" s="143"/>
      <c r="F57" s="143"/>
      <c r="G57" s="143"/>
      <c r="H57" s="143"/>
      <c r="I57" s="143"/>
      <c r="J57" s="143"/>
      <c r="K57" s="143"/>
      <c r="L57" s="143"/>
      <c r="M57" s="143"/>
      <c r="N57" s="222">
        <v>374535</v>
      </c>
      <c r="O57" s="143"/>
      <c r="P57" s="145"/>
      <c r="Q57" s="223">
        <f t="shared" si="25"/>
        <v>374535</v>
      </c>
      <c r="R57" s="147">
        <f t="shared" ref="R57:R71" si="46">Q57*$R$10</f>
        <v>41198.85</v>
      </c>
      <c r="S57" s="147">
        <f t="shared" si="27"/>
        <v>112.87356164383561</v>
      </c>
      <c r="T57" s="148">
        <f t="shared" ref="T57:T67" si="47">S57*$T$5*$T$10</f>
        <v>24719.309999999998</v>
      </c>
      <c r="U57" s="199"/>
      <c r="V57" s="150"/>
      <c r="W57" s="151"/>
      <c r="X57" s="151"/>
      <c r="Y57" s="152"/>
      <c r="Z57" s="153"/>
      <c r="AA57" s="153"/>
      <c r="AB57" s="154"/>
      <c r="AC57" s="155">
        <f t="shared" si="29"/>
        <v>14337.199799999999</v>
      </c>
      <c r="AD57" s="156">
        <f t="shared" si="30"/>
        <v>3213.5102999999999</v>
      </c>
      <c r="AE57" s="156">
        <f t="shared" si="31"/>
        <v>2169.1194524999996</v>
      </c>
      <c r="AF57" s="156">
        <f t="shared" si="32"/>
        <v>988.77239999999995</v>
      </c>
      <c r="AG57" s="156">
        <f t="shared" si="33"/>
        <v>494.38619999999997</v>
      </c>
      <c r="AH57" s="156">
        <f t="shared" si="34"/>
        <v>494.38619999999997</v>
      </c>
      <c r="AI57" s="156">
        <f t="shared" si="35"/>
        <v>247.19309999999999</v>
      </c>
      <c r="AJ57" s="156">
        <f t="shared" si="36"/>
        <v>494.38619999999997</v>
      </c>
      <c r="AK57" s="156">
        <f t="shared" si="37"/>
        <v>494.38619999999997</v>
      </c>
      <c r="AL57" s="156">
        <f t="shared" si="38"/>
        <v>1730.3516999999999</v>
      </c>
      <c r="AM57" s="157">
        <f t="shared" si="39"/>
        <v>7607.3676524999992</v>
      </c>
      <c r="AN57" s="158">
        <f t="shared" si="40"/>
        <v>2200</v>
      </c>
      <c r="AO57" s="159">
        <v>0.2</v>
      </c>
      <c r="AP57" s="160">
        <f t="shared" si="41"/>
        <v>202130533.02227938</v>
      </c>
      <c r="AQ57" s="161">
        <f t="shared" si="42"/>
        <v>56147.374775756114</v>
      </c>
      <c r="AR57" s="162">
        <f t="shared" si="43"/>
        <v>11229.474955151223</v>
      </c>
      <c r="AS57" s="163">
        <f t="shared" si="44"/>
        <v>1.6023794171163275</v>
      </c>
      <c r="AT57" s="164">
        <f t="shared" si="45"/>
        <v>1.6023794171163275</v>
      </c>
      <c r="AU57" s="165"/>
      <c r="AV57" s="166"/>
      <c r="AW57" s="167"/>
      <c r="AX57" s="146"/>
      <c r="AY57" s="168"/>
    </row>
    <row r="58" spans="1:51" s="139" customFormat="1" ht="11.25" x14ac:dyDescent="0.25">
      <c r="A58" s="1"/>
      <c r="B58" s="140">
        <v>20</v>
      </c>
      <c r="C58" s="170" t="s">
        <v>107</v>
      </c>
      <c r="D58" s="142"/>
      <c r="E58" s="143"/>
      <c r="F58" s="143"/>
      <c r="G58" s="143"/>
      <c r="H58" s="143"/>
      <c r="I58" s="143"/>
      <c r="J58" s="143"/>
      <c r="K58" s="143"/>
      <c r="L58" s="143"/>
      <c r="M58" s="143"/>
      <c r="N58" s="222">
        <v>223049</v>
      </c>
      <c r="O58" s="143"/>
      <c r="P58" s="145"/>
      <c r="Q58" s="223">
        <f t="shared" si="25"/>
        <v>223049</v>
      </c>
      <c r="R58" s="147">
        <f t="shared" si="46"/>
        <v>24535.39</v>
      </c>
      <c r="S58" s="147">
        <f t="shared" si="27"/>
        <v>67.220246575342458</v>
      </c>
      <c r="T58" s="148">
        <f t="shared" si="47"/>
        <v>14721.233999999997</v>
      </c>
      <c r="U58" s="199"/>
      <c r="V58" s="150"/>
      <c r="W58" s="151"/>
      <c r="X58" s="151"/>
      <c r="Y58" s="152"/>
      <c r="Z58" s="153"/>
      <c r="AA58" s="153"/>
      <c r="AB58" s="154"/>
      <c r="AC58" s="155">
        <f t="shared" si="29"/>
        <v>8538.3157199999969</v>
      </c>
      <c r="AD58" s="156">
        <f t="shared" si="30"/>
        <v>1913.7604199999996</v>
      </c>
      <c r="AE58" s="156">
        <f t="shared" si="31"/>
        <v>1291.7882834999996</v>
      </c>
      <c r="AF58" s="156">
        <f t="shared" si="32"/>
        <v>588.84935999999993</v>
      </c>
      <c r="AG58" s="156">
        <f t="shared" si="33"/>
        <v>294.42467999999997</v>
      </c>
      <c r="AH58" s="156">
        <f t="shared" si="34"/>
        <v>294.42467999999997</v>
      </c>
      <c r="AI58" s="156">
        <f t="shared" si="35"/>
        <v>147.21233999999998</v>
      </c>
      <c r="AJ58" s="156">
        <f t="shared" si="36"/>
        <v>294.42467999999997</v>
      </c>
      <c r="AK58" s="156">
        <f t="shared" si="37"/>
        <v>294.42467999999997</v>
      </c>
      <c r="AL58" s="156">
        <f t="shared" si="38"/>
        <v>1030.4863799999998</v>
      </c>
      <c r="AM58" s="157">
        <f t="shared" si="39"/>
        <v>4530.4597634999991</v>
      </c>
      <c r="AN58" s="158">
        <f t="shared" si="40"/>
        <v>2200</v>
      </c>
      <c r="AO58" s="159">
        <v>0.2</v>
      </c>
      <c r="AP58" s="160">
        <f t="shared" si="41"/>
        <v>120375968.22749911</v>
      </c>
      <c r="AQ58" s="161">
        <f t="shared" si="42"/>
        <v>33437.771627104601</v>
      </c>
      <c r="AR58" s="162">
        <f t="shared" si="43"/>
        <v>6687.5543254209206</v>
      </c>
      <c r="AS58" s="163">
        <f t="shared" si="44"/>
        <v>0.95427430442650119</v>
      </c>
      <c r="AT58" s="164">
        <f t="shared" si="45"/>
        <v>0.95427430442650119</v>
      </c>
      <c r="AU58" s="165"/>
      <c r="AV58" s="166"/>
      <c r="AW58" s="167"/>
      <c r="AX58" s="146"/>
      <c r="AY58" s="168"/>
    </row>
    <row r="59" spans="1:51" s="139" customFormat="1" ht="11.25" x14ac:dyDescent="0.25">
      <c r="A59" s="1"/>
      <c r="B59" s="140">
        <v>21</v>
      </c>
      <c r="C59" s="170" t="s">
        <v>108</v>
      </c>
      <c r="D59" s="142"/>
      <c r="E59" s="143"/>
      <c r="F59" s="143"/>
      <c r="G59" s="143"/>
      <c r="H59" s="143"/>
      <c r="I59" s="143"/>
      <c r="J59" s="143"/>
      <c r="K59" s="143"/>
      <c r="L59" s="143"/>
      <c r="M59" s="143"/>
      <c r="N59" s="222">
        <v>223480</v>
      </c>
      <c r="O59" s="143"/>
      <c r="P59" s="145"/>
      <c r="Q59" s="223">
        <f t="shared" si="25"/>
        <v>223480</v>
      </c>
      <c r="R59" s="147">
        <f t="shared" si="46"/>
        <v>24582.799999999999</v>
      </c>
      <c r="S59" s="147">
        <f t="shared" si="27"/>
        <v>67.350136986301365</v>
      </c>
      <c r="T59" s="148">
        <f t="shared" si="47"/>
        <v>14749.679999999998</v>
      </c>
      <c r="U59" s="199"/>
      <c r="V59" s="150"/>
      <c r="W59" s="151"/>
      <c r="X59" s="151"/>
      <c r="Y59" s="152"/>
      <c r="Z59" s="153"/>
      <c r="AA59" s="153"/>
      <c r="AB59" s="154"/>
      <c r="AC59" s="155">
        <f t="shared" si="29"/>
        <v>8554.8143999999993</v>
      </c>
      <c r="AD59" s="156">
        <f t="shared" si="30"/>
        <v>1917.4583999999998</v>
      </c>
      <c r="AE59" s="156">
        <f t="shared" si="31"/>
        <v>1294.2844199999997</v>
      </c>
      <c r="AF59" s="156">
        <f t="shared" si="32"/>
        <v>589.98719999999992</v>
      </c>
      <c r="AG59" s="156">
        <f t="shared" si="33"/>
        <v>294.99359999999996</v>
      </c>
      <c r="AH59" s="156">
        <f t="shared" si="34"/>
        <v>294.99359999999996</v>
      </c>
      <c r="AI59" s="156">
        <f t="shared" si="35"/>
        <v>147.49679999999998</v>
      </c>
      <c r="AJ59" s="156">
        <f t="shared" si="36"/>
        <v>294.99359999999996</v>
      </c>
      <c r="AK59" s="156">
        <f t="shared" si="37"/>
        <v>294.99359999999996</v>
      </c>
      <c r="AL59" s="156">
        <f t="shared" si="38"/>
        <v>1032.4775999999999</v>
      </c>
      <c r="AM59" s="157">
        <f t="shared" si="39"/>
        <v>4539.2140199999994</v>
      </c>
      <c r="AN59" s="158">
        <f t="shared" si="40"/>
        <v>2200</v>
      </c>
      <c r="AO59" s="159">
        <v>0.2</v>
      </c>
      <c r="AP59" s="160">
        <f t="shared" si="41"/>
        <v>120608572.01548319</v>
      </c>
      <c r="AQ59" s="161">
        <f t="shared" si="42"/>
        <v>33502.383795602487</v>
      </c>
      <c r="AR59" s="162">
        <f t="shared" si="43"/>
        <v>6700.4767591204982</v>
      </c>
      <c r="AS59" s="163">
        <f t="shared" si="44"/>
        <v>0.95611825900692038</v>
      </c>
      <c r="AT59" s="164">
        <f t="shared" si="45"/>
        <v>0.95611825900692038</v>
      </c>
      <c r="AU59" s="165"/>
      <c r="AV59" s="166"/>
      <c r="AW59" s="167"/>
      <c r="AX59" s="146"/>
      <c r="AY59" s="168"/>
    </row>
    <row r="60" spans="1:51" s="139" customFormat="1" ht="11.25" x14ac:dyDescent="0.25">
      <c r="A60" s="1"/>
      <c r="B60" s="140">
        <v>22</v>
      </c>
      <c r="C60" s="170" t="s">
        <v>109</v>
      </c>
      <c r="D60" s="142"/>
      <c r="E60" s="143"/>
      <c r="F60" s="143"/>
      <c r="G60" s="143"/>
      <c r="H60" s="143"/>
      <c r="I60" s="143"/>
      <c r="J60" s="143"/>
      <c r="K60" s="143"/>
      <c r="L60" s="143"/>
      <c r="M60" s="143"/>
      <c r="N60" s="222">
        <v>277549</v>
      </c>
      <c r="O60" s="143"/>
      <c r="P60" s="145"/>
      <c r="Q60" s="223">
        <f t="shared" si="25"/>
        <v>277549</v>
      </c>
      <c r="R60" s="147">
        <f t="shared" si="46"/>
        <v>30530.39</v>
      </c>
      <c r="S60" s="147">
        <f t="shared" si="27"/>
        <v>83.644904109589035</v>
      </c>
      <c r="T60" s="148">
        <f t="shared" si="47"/>
        <v>18318.234</v>
      </c>
      <c r="U60" s="199"/>
      <c r="V60" s="150"/>
      <c r="W60" s="151"/>
      <c r="X60" s="151"/>
      <c r="Y60" s="152"/>
      <c r="Z60" s="153"/>
      <c r="AA60" s="153"/>
      <c r="AB60" s="154"/>
      <c r="AC60" s="155">
        <f t="shared" si="29"/>
        <v>10624.575719999999</v>
      </c>
      <c r="AD60" s="156">
        <f t="shared" si="30"/>
        <v>2381.3704200000002</v>
      </c>
      <c r="AE60" s="156">
        <f t="shared" si="31"/>
        <v>1607.4250334999999</v>
      </c>
      <c r="AF60" s="156">
        <f t="shared" si="32"/>
        <v>732.72936000000004</v>
      </c>
      <c r="AG60" s="156">
        <f t="shared" si="33"/>
        <v>366.36468000000002</v>
      </c>
      <c r="AH60" s="156">
        <f t="shared" si="34"/>
        <v>366.36468000000002</v>
      </c>
      <c r="AI60" s="156">
        <f t="shared" si="35"/>
        <v>183.18234000000001</v>
      </c>
      <c r="AJ60" s="156">
        <f t="shared" si="36"/>
        <v>366.36468000000002</v>
      </c>
      <c r="AK60" s="156">
        <f t="shared" si="37"/>
        <v>366.36468000000002</v>
      </c>
      <c r="AL60" s="156">
        <f t="shared" si="38"/>
        <v>1282.2763800000002</v>
      </c>
      <c r="AM60" s="157">
        <f t="shared" si="39"/>
        <v>5637.4365134999998</v>
      </c>
      <c r="AN60" s="158">
        <f t="shared" si="40"/>
        <v>2200</v>
      </c>
      <c r="AO60" s="159">
        <v>0.2</v>
      </c>
      <c r="AP60" s="160">
        <f t="shared" si="41"/>
        <v>149788744.20227912</v>
      </c>
      <c r="AQ60" s="161">
        <f t="shared" si="42"/>
        <v>41607.987829271849</v>
      </c>
      <c r="AR60" s="162">
        <f t="shared" si="43"/>
        <v>8321.5975658543703</v>
      </c>
      <c r="AS60" s="163">
        <f t="shared" si="44"/>
        <v>1.1874425750362971</v>
      </c>
      <c r="AT60" s="164">
        <f t="shared" si="45"/>
        <v>1.1874425750362971</v>
      </c>
      <c r="AU60" s="165"/>
      <c r="AV60" s="166"/>
      <c r="AW60" s="167"/>
      <c r="AX60" s="146"/>
      <c r="AY60" s="168"/>
    </row>
    <row r="61" spans="1:51" s="139" customFormat="1" ht="11.25" x14ac:dyDescent="0.25">
      <c r="A61" s="1"/>
      <c r="B61" s="140">
        <v>23</v>
      </c>
      <c r="C61" s="170" t="s">
        <v>110</v>
      </c>
      <c r="D61" s="142"/>
      <c r="E61" s="143"/>
      <c r="F61" s="143"/>
      <c r="G61" s="143"/>
      <c r="H61" s="143"/>
      <c r="I61" s="143"/>
      <c r="J61" s="143"/>
      <c r="K61" s="143"/>
      <c r="L61" s="143"/>
      <c r="M61" s="143"/>
      <c r="N61" s="222">
        <v>331660</v>
      </c>
      <c r="O61" s="143"/>
      <c r="P61" s="145"/>
      <c r="Q61" s="223">
        <f t="shared" si="25"/>
        <v>331660</v>
      </c>
      <c r="R61" s="147">
        <f t="shared" si="46"/>
        <v>36482.6</v>
      </c>
      <c r="S61" s="147">
        <f t="shared" si="27"/>
        <v>99.952328767123291</v>
      </c>
      <c r="T61" s="148">
        <f t="shared" si="47"/>
        <v>21889.559999999998</v>
      </c>
      <c r="U61" s="199"/>
      <c r="V61" s="150"/>
      <c r="W61" s="151"/>
      <c r="X61" s="151"/>
      <c r="Y61" s="152"/>
      <c r="Z61" s="153"/>
      <c r="AA61" s="153"/>
      <c r="AB61" s="154"/>
      <c r="AC61" s="155">
        <f t="shared" si="29"/>
        <v>12695.944799999997</v>
      </c>
      <c r="AD61" s="156">
        <f t="shared" si="30"/>
        <v>2845.6427999999996</v>
      </c>
      <c r="AE61" s="156">
        <f t="shared" si="31"/>
        <v>1920.8088899999998</v>
      </c>
      <c r="AF61" s="156">
        <f t="shared" si="32"/>
        <v>875.58239999999989</v>
      </c>
      <c r="AG61" s="156">
        <f t="shared" si="33"/>
        <v>437.79119999999995</v>
      </c>
      <c r="AH61" s="156">
        <f t="shared" si="34"/>
        <v>437.79119999999995</v>
      </c>
      <c r="AI61" s="156">
        <f t="shared" si="35"/>
        <v>218.89559999999997</v>
      </c>
      <c r="AJ61" s="156">
        <f t="shared" si="36"/>
        <v>437.79119999999995</v>
      </c>
      <c r="AK61" s="156">
        <f t="shared" si="37"/>
        <v>437.79119999999995</v>
      </c>
      <c r="AL61" s="156">
        <f t="shared" si="38"/>
        <v>1532.2692</v>
      </c>
      <c r="AM61" s="157">
        <f t="shared" si="39"/>
        <v>6736.5120899999993</v>
      </c>
      <c r="AN61" s="158">
        <f t="shared" si="40"/>
        <v>2200</v>
      </c>
      <c r="AO61" s="159">
        <v>0.2</v>
      </c>
      <c r="AP61" s="160">
        <f t="shared" si="41"/>
        <v>178991583.11551437</v>
      </c>
      <c r="AQ61" s="161">
        <f t="shared" si="42"/>
        <v>49719.888176344728</v>
      </c>
      <c r="AR61" s="162">
        <f t="shared" si="43"/>
        <v>9943.977635268946</v>
      </c>
      <c r="AS61" s="163">
        <f t="shared" si="44"/>
        <v>1.4189465803751349</v>
      </c>
      <c r="AT61" s="164">
        <f t="shared" si="45"/>
        <v>1.4189465803751349</v>
      </c>
      <c r="AU61" s="165"/>
      <c r="AV61" s="166"/>
      <c r="AW61" s="167"/>
      <c r="AX61" s="146"/>
      <c r="AY61" s="168"/>
    </row>
    <row r="62" spans="1:51" s="139" customFormat="1" ht="11.25" x14ac:dyDescent="0.25">
      <c r="A62" s="1"/>
      <c r="B62" s="140">
        <v>24</v>
      </c>
      <c r="C62" s="170" t="s">
        <v>111</v>
      </c>
      <c r="D62" s="142"/>
      <c r="E62" s="143"/>
      <c r="F62" s="143"/>
      <c r="G62" s="143"/>
      <c r="H62" s="143"/>
      <c r="I62" s="143"/>
      <c r="J62" s="143"/>
      <c r="K62" s="143"/>
      <c r="L62" s="143"/>
      <c r="M62" s="143"/>
      <c r="N62" s="222">
        <v>127530</v>
      </c>
      <c r="O62" s="143"/>
      <c r="P62" s="145"/>
      <c r="Q62" s="223">
        <f t="shared" si="25"/>
        <v>127530</v>
      </c>
      <c r="R62" s="147">
        <f t="shared" si="46"/>
        <v>14028.3</v>
      </c>
      <c r="S62" s="147">
        <f t="shared" si="27"/>
        <v>38.433698630136988</v>
      </c>
      <c r="T62" s="148">
        <f t="shared" si="47"/>
        <v>8416.98</v>
      </c>
      <c r="U62" s="199"/>
      <c r="V62" s="150"/>
      <c r="W62" s="151"/>
      <c r="X62" s="151"/>
      <c r="Y62" s="152"/>
      <c r="Z62" s="153"/>
      <c r="AA62" s="153"/>
      <c r="AB62" s="154"/>
      <c r="AC62" s="155">
        <f t="shared" si="29"/>
        <v>4881.8483999999999</v>
      </c>
      <c r="AD62" s="156">
        <f t="shared" si="30"/>
        <v>1094.2074</v>
      </c>
      <c r="AE62" s="156">
        <f t="shared" si="31"/>
        <v>738.58999499999993</v>
      </c>
      <c r="AF62" s="156">
        <f t="shared" si="32"/>
        <v>336.67919999999998</v>
      </c>
      <c r="AG62" s="156">
        <f t="shared" si="33"/>
        <v>168.33959999999999</v>
      </c>
      <c r="AH62" s="156">
        <f t="shared" si="34"/>
        <v>168.33959999999999</v>
      </c>
      <c r="AI62" s="156">
        <f t="shared" si="35"/>
        <v>84.169799999999995</v>
      </c>
      <c r="AJ62" s="156">
        <f t="shared" si="36"/>
        <v>168.33959999999999</v>
      </c>
      <c r="AK62" s="156">
        <f t="shared" si="37"/>
        <v>168.33959999999999</v>
      </c>
      <c r="AL62" s="156">
        <f t="shared" si="38"/>
        <v>589.18860000000006</v>
      </c>
      <c r="AM62" s="157">
        <f t="shared" si="39"/>
        <v>2590.3255949999998</v>
      </c>
      <c r="AN62" s="158">
        <f t="shared" si="40"/>
        <v>2200</v>
      </c>
      <c r="AO62" s="159">
        <v>0.2</v>
      </c>
      <c r="AP62" s="160">
        <f t="shared" si="41"/>
        <v>68825895.780985191</v>
      </c>
      <c r="AQ62" s="161">
        <f t="shared" si="42"/>
        <v>19118.305913071348</v>
      </c>
      <c r="AR62" s="162">
        <f t="shared" si="43"/>
        <v>3823.6611826142698</v>
      </c>
      <c r="AS62" s="163">
        <f t="shared" si="44"/>
        <v>0.54561375322692207</v>
      </c>
      <c r="AT62" s="164">
        <f t="shared" si="45"/>
        <v>0.54561375322692207</v>
      </c>
      <c r="AU62" s="165"/>
      <c r="AV62" s="166"/>
      <c r="AW62" s="167"/>
      <c r="AX62" s="146"/>
      <c r="AY62" s="168"/>
    </row>
    <row r="63" spans="1:51" s="139" customFormat="1" ht="11.25" x14ac:dyDescent="0.25">
      <c r="A63" s="1"/>
      <c r="B63" s="140">
        <v>25</v>
      </c>
      <c r="C63" s="170" t="s">
        <v>112</v>
      </c>
      <c r="D63" s="142"/>
      <c r="E63" s="143"/>
      <c r="F63" s="143"/>
      <c r="G63" s="143"/>
      <c r="H63" s="143"/>
      <c r="I63" s="143"/>
      <c r="J63" s="143"/>
      <c r="K63" s="143"/>
      <c r="L63" s="143"/>
      <c r="M63" s="143"/>
      <c r="N63" s="222">
        <v>81461</v>
      </c>
      <c r="O63" s="143"/>
      <c r="P63" s="145"/>
      <c r="Q63" s="223">
        <f t="shared" si="25"/>
        <v>81461</v>
      </c>
      <c r="R63" s="147">
        <f t="shared" si="46"/>
        <v>8960.7100000000009</v>
      </c>
      <c r="S63" s="147">
        <f t="shared" si="27"/>
        <v>24.549890410958906</v>
      </c>
      <c r="T63" s="148">
        <f t="shared" si="47"/>
        <v>5376.4260000000004</v>
      </c>
      <c r="U63" s="199"/>
      <c r="V63" s="150"/>
      <c r="W63" s="151"/>
      <c r="X63" s="151"/>
      <c r="Y63" s="152"/>
      <c r="Z63" s="153"/>
      <c r="AA63" s="153"/>
      <c r="AB63" s="154"/>
      <c r="AC63" s="155">
        <f t="shared" si="29"/>
        <v>3118.32708</v>
      </c>
      <c r="AD63" s="156">
        <f t="shared" si="30"/>
        <v>698.93538000000012</v>
      </c>
      <c r="AE63" s="156">
        <f t="shared" si="31"/>
        <v>471.78138150000001</v>
      </c>
      <c r="AF63" s="156">
        <f t="shared" si="32"/>
        <v>215.05704000000003</v>
      </c>
      <c r="AG63" s="156">
        <f t="shared" si="33"/>
        <v>107.52852000000001</v>
      </c>
      <c r="AH63" s="156">
        <f t="shared" si="34"/>
        <v>107.52852000000001</v>
      </c>
      <c r="AI63" s="156">
        <f t="shared" si="35"/>
        <v>53.764260000000007</v>
      </c>
      <c r="AJ63" s="156">
        <f t="shared" si="36"/>
        <v>107.52852000000001</v>
      </c>
      <c r="AK63" s="156">
        <f t="shared" si="37"/>
        <v>107.52852000000001</v>
      </c>
      <c r="AL63" s="156">
        <f t="shared" si="38"/>
        <v>376.34982000000008</v>
      </c>
      <c r="AM63" s="157">
        <f t="shared" si="39"/>
        <v>1654.5951015000001</v>
      </c>
      <c r="AN63" s="158">
        <f t="shared" si="40"/>
        <v>2200</v>
      </c>
      <c r="AO63" s="159">
        <v>0.2</v>
      </c>
      <c r="AP63" s="160">
        <f t="shared" si="41"/>
        <v>43963195.296909235</v>
      </c>
      <c r="AQ63" s="161">
        <f t="shared" si="42"/>
        <v>12211.999670545794</v>
      </c>
      <c r="AR63" s="162">
        <f t="shared" si="43"/>
        <v>2442.3999341091589</v>
      </c>
      <c r="AS63" s="163">
        <f t="shared" si="44"/>
        <v>0.34851597233292791</v>
      </c>
      <c r="AT63" s="164">
        <f t="shared" si="45"/>
        <v>0.34851597233292791</v>
      </c>
      <c r="AU63" s="165"/>
      <c r="AV63" s="166"/>
      <c r="AW63" s="167"/>
      <c r="AX63" s="146"/>
      <c r="AY63" s="168"/>
    </row>
    <row r="64" spans="1:51" s="139" customFormat="1" ht="11.25" x14ac:dyDescent="0.25">
      <c r="A64" s="1"/>
      <c r="B64" s="140">
        <v>26</v>
      </c>
      <c r="C64" s="170" t="s">
        <v>113</v>
      </c>
      <c r="D64" s="142"/>
      <c r="E64" s="143"/>
      <c r="F64" s="143"/>
      <c r="G64" s="143"/>
      <c r="H64" s="143"/>
      <c r="I64" s="143"/>
      <c r="J64" s="143"/>
      <c r="K64" s="143"/>
      <c r="L64" s="143"/>
      <c r="M64" s="143"/>
      <c r="N64" s="222">
        <v>84444</v>
      </c>
      <c r="O64" s="143"/>
      <c r="P64" s="145"/>
      <c r="Q64" s="223">
        <f t="shared" si="25"/>
        <v>84444</v>
      </c>
      <c r="R64" s="147">
        <f t="shared" si="46"/>
        <v>9288.84</v>
      </c>
      <c r="S64" s="147">
        <f t="shared" si="27"/>
        <v>25.448876712328769</v>
      </c>
      <c r="T64" s="148">
        <f t="shared" si="47"/>
        <v>5573.3040000000001</v>
      </c>
      <c r="U64" s="199"/>
      <c r="V64" s="150"/>
      <c r="W64" s="151"/>
      <c r="X64" s="151"/>
      <c r="Y64" s="152"/>
      <c r="Z64" s="153"/>
      <c r="AA64" s="153"/>
      <c r="AB64" s="154"/>
      <c r="AC64" s="155">
        <f t="shared" si="29"/>
        <v>3232.5163199999997</v>
      </c>
      <c r="AD64" s="156">
        <f t="shared" si="30"/>
        <v>724.52952000000005</v>
      </c>
      <c r="AE64" s="156">
        <f t="shared" si="31"/>
        <v>489.05742599999996</v>
      </c>
      <c r="AF64" s="156">
        <f t="shared" si="32"/>
        <v>222.93216000000001</v>
      </c>
      <c r="AG64" s="156">
        <f t="shared" si="33"/>
        <v>111.46608000000001</v>
      </c>
      <c r="AH64" s="156">
        <f t="shared" si="34"/>
        <v>111.46608000000001</v>
      </c>
      <c r="AI64" s="156">
        <f t="shared" si="35"/>
        <v>55.733040000000003</v>
      </c>
      <c r="AJ64" s="156">
        <f t="shared" si="36"/>
        <v>111.46608000000001</v>
      </c>
      <c r="AK64" s="156">
        <f t="shared" si="37"/>
        <v>111.46608000000001</v>
      </c>
      <c r="AL64" s="156">
        <f t="shared" si="38"/>
        <v>390.13128000000006</v>
      </c>
      <c r="AM64" s="157">
        <f t="shared" si="39"/>
        <v>1715.1843059999999</v>
      </c>
      <c r="AN64" s="158">
        <f t="shared" si="40"/>
        <v>2200</v>
      </c>
      <c r="AO64" s="159">
        <v>0.2</v>
      </c>
      <c r="AP64" s="160">
        <f t="shared" si="41"/>
        <v>45573072.558060959</v>
      </c>
      <c r="AQ64" s="161">
        <f t="shared" si="42"/>
        <v>12659.187834418546</v>
      </c>
      <c r="AR64" s="162">
        <f t="shared" si="43"/>
        <v>2531.8375668837093</v>
      </c>
      <c r="AS64" s="163">
        <f t="shared" si="44"/>
        <v>0.36127819162153385</v>
      </c>
      <c r="AT64" s="164">
        <f t="shared" si="45"/>
        <v>0.36127819162153385</v>
      </c>
      <c r="AU64" s="165"/>
      <c r="AV64" s="166"/>
      <c r="AW64" s="167"/>
      <c r="AX64" s="146"/>
      <c r="AY64" s="168"/>
    </row>
    <row r="65" spans="1:51" s="139" customFormat="1" ht="11.25" x14ac:dyDescent="0.25">
      <c r="A65" s="1"/>
      <c r="B65" s="140">
        <v>27</v>
      </c>
      <c r="C65" s="170" t="s">
        <v>114</v>
      </c>
      <c r="D65" s="142"/>
      <c r="E65" s="143"/>
      <c r="F65" s="143"/>
      <c r="G65" s="143"/>
      <c r="H65" s="143"/>
      <c r="I65" s="143"/>
      <c r="J65" s="143"/>
      <c r="K65" s="143"/>
      <c r="L65" s="143"/>
      <c r="M65" s="143"/>
      <c r="N65" s="222">
        <v>154426</v>
      </c>
      <c r="O65" s="143"/>
      <c r="P65" s="145"/>
      <c r="Q65" s="223">
        <f t="shared" si="25"/>
        <v>154426</v>
      </c>
      <c r="R65" s="147">
        <f t="shared" si="46"/>
        <v>16986.86</v>
      </c>
      <c r="S65" s="147">
        <f t="shared" si="27"/>
        <v>46.539342465753428</v>
      </c>
      <c r="T65" s="148">
        <f t="shared" si="47"/>
        <v>10192.116</v>
      </c>
      <c r="U65" s="199"/>
      <c r="V65" s="150"/>
      <c r="W65" s="151"/>
      <c r="X65" s="151"/>
      <c r="Y65" s="152"/>
      <c r="Z65" s="153"/>
      <c r="AA65" s="153"/>
      <c r="AB65" s="154"/>
      <c r="AC65" s="155">
        <f t="shared" si="29"/>
        <v>5911.4272799999999</v>
      </c>
      <c r="AD65" s="156">
        <f t="shared" si="30"/>
        <v>1324.9750799999999</v>
      </c>
      <c r="AE65" s="156">
        <f t="shared" si="31"/>
        <v>894.35817899999995</v>
      </c>
      <c r="AF65" s="156">
        <f t="shared" si="32"/>
        <v>407.68464</v>
      </c>
      <c r="AG65" s="156">
        <f t="shared" si="33"/>
        <v>203.84232</v>
      </c>
      <c r="AH65" s="156">
        <f t="shared" si="34"/>
        <v>203.84232</v>
      </c>
      <c r="AI65" s="156">
        <f t="shared" si="35"/>
        <v>101.92116</v>
      </c>
      <c r="AJ65" s="156">
        <f t="shared" si="36"/>
        <v>203.84232</v>
      </c>
      <c r="AK65" s="156">
        <f t="shared" si="37"/>
        <v>203.84232</v>
      </c>
      <c r="AL65" s="156">
        <f t="shared" si="38"/>
        <v>713.44812000000002</v>
      </c>
      <c r="AM65" s="157">
        <f t="shared" si="39"/>
        <v>3136.6236990000002</v>
      </c>
      <c r="AN65" s="158">
        <f t="shared" si="40"/>
        <v>2200</v>
      </c>
      <c r="AO65" s="159">
        <v>0.2</v>
      </c>
      <c r="AP65" s="160">
        <f t="shared" si="41"/>
        <v>83341235.645529836</v>
      </c>
      <c r="AQ65" s="161">
        <f t="shared" si="42"/>
        <v>23150.345086896858</v>
      </c>
      <c r="AR65" s="162">
        <f t="shared" si="43"/>
        <v>4630.0690173793719</v>
      </c>
      <c r="AS65" s="163">
        <f t="shared" si="44"/>
        <v>0.66068336435207931</v>
      </c>
      <c r="AT65" s="164">
        <f t="shared" si="45"/>
        <v>0.66068336435207931</v>
      </c>
      <c r="AU65" s="165"/>
      <c r="AV65" s="166"/>
      <c r="AW65" s="167"/>
      <c r="AX65" s="146"/>
      <c r="AY65" s="168"/>
    </row>
    <row r="66" spans="1:51" s="139" customFormat="1" ht="11.25" x14ac:dyDescent="0.25">
      <c r="A66" s="1"/>
      <c r="B66" s="140">
        <v>28</v>
      </c>
      <c r="C66" s="234" t="s">
        <v>115</v>
      </c>
      <c r="D66" s="235"/>
      <c r="E66" s="236"/>
      <c r="F66" s="236"/>
      <c r="G66" s="236"/>
      <c r="H66" s="236"/>
      <c r="I66" s="236"/>
      <c r="J66" s="236"/>
      <c r="K66" s="236"/>
      <c r="L66" s="236"/>
      <c r="M66" s="236"/>
      <c r="N66" s="236">
        <v>234885</v>
      </c>
      <c r="O66" s="236"/>
      <c r="P66" s="237"/>
      <c r="Q66" s="223">
        <f t="shared" si="25"/>
        <v>234885</v>
      </c>
      <c r="R66" s="147">
        <f t="shared" si="46"/>
        <v>25837.35</v>
      </c>
      <c r="S66" s="147">
        <f t="shared" si="27"/>
        <v>70.787260273972592</v>
      </c>
      <c r="T66" s="148">
        <f t="shared" si="47"/>
        <v>15502.409999999996</v>
      </c>
      <c r="U66" s="199"/>
      <c r="V66" s="150"/>
      <c r="W66" s="151"/>
      <c r="X66" s="151"/>
      <c r="Y66" s="152"/>
      <c r="Z66" s="153"/>
      <c r="AA66" s="153"/>
      <c r="AB66" s="154"/>
      <c r="AC66" s="155">
        <f t="shared" si="29"/>
        <v>8991.397799999997</v>
      </c>
      <c r="AD66" s="156">
        <f t="shared" si="30"/>
        <v>2015.3132999999996</v>
      </c>
      <c r="AE66" s="156">
        <f t="shared" si="31"/>
        <v>1360.3364774999995</v>
      </c>
      <c r="AF66" s="156">
        <f t="shared" si="32"/>
        <v>620.0963999999999</v>
      </c>
      <c r="AG66" s="156">
        <f t="shared" si="33"/>
        <v>310.04819999999995</v>
      </c>
      <c r="AH66" s="156">
        <f t="shared" si="34"/>
        <v>310.04819999999995</v>
      </c>
      <c r="AI66" s="156">
        <f t="shared" si="35"/>
        <v>155.02409999999998</v>
      </c>
      <c r="AJ66" s="156">
        <f t="shared" si="36"/>
        <v>310.04819999999995</v>
      </c>
      <c r="AK66" s="156">
        <f t="shared" si="37"/>
        <v>310.04819999999995</v>
      </c>
      <c r="AL66" s="156">
        <f t="shared" si="38"/>
        <v>1085.1686999999999</v>
      </c>
      <c r="AM66" s="157">
        <f t="shared" si="39"/>
        <v>4770.8666774999983</v>
      </c>
      <c r="AN66" s="158">
        <f t="shared" si="40"/>
        <v>2200</v>
      </c>
      <c r="AO66" s="159">
        <v>0.2</v>
      </c>
      <c r="AP66" s="160">
        <f t="shared" si="41"/>
        <v>126763667.61167336</v>
      </c>
      <c r="AQ66" s="161">
        <f t="shared" si="42"/>
        <v>35212.132709101876</v>
      </c>
      <c r="AR66" s="162">
        <f t="shared" si="43"/>
        <v>7042.4265418203759</v>
      </c>
      <c r="AS66" s="163">
        <f t="shared" si="44"/>
        <v>1.0049124631593003</v>
      </c>
      <c r="AT66" s="164">
        <f t="shared" si="45"/>
        <v>1.0049124631593003</v>
      </c>
      <c r="AU66" s="165"/>
      <c r="AV66" s="166"/>
      <c r="AW66" s="167"/>
      <c r="AX66" s="146"/>
      <c r="AY66" s="168"/>
    </row>
    <row r="67" spans="1:51" s="139" customFormat="1" ht="11.25" x14ac:dyDescent="0.25">
      <c r="A67" s="1"/>
      <c r="B67" s="140">
        <v>29</v>
      </c>
      <c r="C67" s="221" t="s">
        <v>116</v>
      </c>
      <c r="D67" s="235"/>
      <c r="E67" s="236"/>
      <c r="F67" s="236"/>
      <c r="G67" s="236"/>
      <c r="H67" s="236"/>
      <c r="I67" s="236"/>
      <c r="J67" s="236"/>
      <c r="K67" s="236"/>
      <c r="L67" s="236"/>
      <c r="M67" s="236"/>
      <c r="N67" s="236">
        <v>145180</v>
      </c>
      <c r="O67" s="236"/>
      <c r="P67" s="237"/>
      <c r="Q67" s="223">
        <f t="shared" si="25"/>
        <v>145180</v>
      </c>
      <c r="R67" s="147">
        <f t="shared" si="46"/>
        <v>15969.8</v>
      </c>
      <c r="S67" s="147">
        <f t="shared" si="27"/>
        <v>43.752876712328764</v>
      </c>
      <c r="T67" s="148">
        <f t="shared" si="47"/>
        <v>9581.8799999999992</v>
      </c>
      <c r="U67" s="199"/>
      <c r="V67" s="150"/>
      <c r="W67" s="151"/>
      <c r="X67" s="151"/>
      <c r="Y67" s="152"/>
      <c r="Z67" s="153"/>
      <c r="AA67" s="153"/>
      <c r="AB67" s="154"/>
      <c r="AC67" s="155">
        <f t="shared" si="29"/>
        <v>5557.4903999999988</v>
      </c>
      <c r="AD67" s="156">
        <f t="shared" si="30"/>
        <v>1245.6443999999999</v>
      </c>
      <c r="AE67" s="156">
        <f t="shared" si="31"/>
        <v>840.80996999999991</v>
      </c>
      <c r="AF67" s="156">
        <f t="shared" si="32"/>
        <v>383.27519999999998</v>
      </c>
      <c r="AG67" s="156">
        <f t="shared" si="33"/>
        <v>191.63759999999999</v>
      </c>
      <c r="AH67" s="156">
        <f t="shared" si="34"/>
        <v>191.63759999999999</v>
      </c>
      <c r="AI67" s="156">
        <f t="shared" si="35"/>
        <v>95.818799999999996</v>
      </c>
      <c r="AJ67" s="156">
        <f t="shared" si="36"/>
        <v>191.63759999999999</v>
      </c>
      <c r="AK67" s="156">
        <f t="shared" si="37"/>
        <v>191.63759999999999</v>
      </c>
      <c r="AL67" s="156">
        <f t="shared" si="38"/>
        <v>670.73159999999996</v>
      </c>
      <c r="AM67" s="157">
        <f t="shared" si="39"/>
        <v>2948.82357</v>
      </c>
      <c r="AN67" s="158">
        <f t="shared" si="40"/>
        <v>2200</v>
      </c>
      <c r="AO67" s="159">
        <v>0.2</v>
      </c>
      <c r="AP67" s="160">
        <f t="shared" si="41"/>
        <v>78351317.725111187</v>
      </c>
      <c r="AQ67" s="161">
        <f t="shared" si="42"/>
        <v>21764.256664782391</v>
      </c>
      <c r="AR67" s="162">
        <f t="shared" si="43"/>
        <v>4352.8513329564785</v>
      </c>
      <c r="AS67" s="163">
        <f t="shared" si="44"/>
        <v>0.62112604636936053</v>
      </c>
      <c r="AT67" s="164">
        <f t="shared" si="45"/>
        <v>0.62112604636936053</v>
      </c>
      <c r="AU67" s="165"/>
      <c r="AV67" s="166"/>
      <c r="AW67" s="167"/>
      <c r="AX67" s="146"/>
      <c r="AY67" s="168"/>
    </row>
    <row r="68" spans="1:51" s="139" customFormat="1" ht="11.25" x14ac:dyDescent="0.25">
      <c r="A68" s="1"/>
      <c r="B68" s="140">
        <v>30</v>
      </c>
      <c r="C68" s="238" t="s">
        <v>117</v>
      </c>
      <c r="D68" s="235"/>
      <c r="E68" s="236"/>
      <c r="F68" s="236"/>
      <c r="G68" s="236"/>
      <c r="H68" s="236"/>
      <c r="I68" s="236"/>
      <c r="J68" s="236"/>
      <c r="K68" s="236"/>
      <c r="L68" s="236"/>
      <c r="M68" s="236"/>
      <c r="N68" s="236">
        <v>2109339</v>
      </c>
      <c r="O68" s="236"/>
      <c r="P68" s="237"/>
      <c r="Q68" s="223">
        <f t="shared" si="25"/>
        <v>2109339</v>
      </c>
      <c r="R68" s="147">
        <f>Q68*$R$7</f>
        <v>499913.34299999999</v>
      </c>
      <c r="S68" s="147">
        <f t="shared" si="27"/>
        <v>1369.6255972602739</v>
      </c>
      <c r="T68" s="148">
        <f>S68*$T$5*$T$7</f>
        <v>449922.00870000001</v>
      </c>
      <c r="U68" s="199"/>
      <c r="V68" s="150"/>
      <c r="W68" s="151"/>
      <c r="X68" s="151"/>
      <c r="Y68" s="152"/>
      <c r="Z68" s="153"/>
      <c r="AA68" s="153"/>
      <c r="AB68" s="154"/>
      <c r="AC68" s="155">
        <f t="shared" si="29"/>
        <v>260954.76504599999</v>
      </c>
      <c r="AD68" s="156">
        <f t="shared" si="30"/>
        <v>58489.861131000005</v>
      </c>
      <c r="AE68" s="156">
        <f t="shared" si="31"/>
        <v>39480.656263425</v>
      </c>
      <c r="AF68" s="156">
        <f t="shared" si="32"/>
        <v>17996.880348000002</v>
      </c>
      <c r="AG68" s="156">
        <f t="shared" si="33"/>
        <v>8998.4401740000012</v>
      </c>
      <c r="AH68" s="156">
        <f t="shared" si="34"/>
        <v>8998.4401740000012</v>
      </c>
      <c r="AI68" s="156">
        <f t="shared" si="35"/>
        <v>4499.2200870000006</v>
      </c>
      <c r="AJ68" s="156">
        <f t="shared" si="36"/>
        <v>8998.4401740000012</v>
      </c>
      <c r="AK68" s="156">
        <f t="shared" si="37"/>
        <v>8998.4401740000012</v>
      </c>
      <c r="AL68" s="156">
        <f t="shared" si="38"/>
        <v>31494.540609000003</v>
      </c>
      <c r="AM68" s="157">
        <f t="shared" si="39"/>
        <v>138463.498177425</v>
      </c>
      <c r="AN68" s="158">
        <f t="shared" si="40"/>
        <v>2200</v>
      </c>
      <c r="AO68" s="159">
        <v>0.2</v>
      </c>
      <c r="AP68" s="160">
        <f t="shared" si="41"/>
        <v>3679025645.8204389</v>
      </c>
      <c r="AQ68" s="161">
        <f t="shared" si="42"/>
        <v>1021951.6500395807</v>
      </c>
      <c r="AR68" s="162">
        <f t="shared" si="43"/>
        <v>204390.33000791614</v>
      </c>
      <c r="AS68" s="163">
        <f t="shared" si="44"/>
        <v>29.16528681619808</v>
      </c>
      <c r="AT68" s="233">
        <f t="shared" si="45"/>
        <v>29.16528681619808</v>
      </c>
      <c r="AU68" s="187"/>
      <c r="AV68" s="166"/>
      <c r="AW68" s="167"/>
      <c r="AX68" s="146"/>
      <c r="AY68" s="168"/>
    </row>
    <row r="69" spans="1:51" s="139" customFormat="1" ht="11.25" x14ac:dyDescent="0.25">
      <c r="A69" s="1"/>
      <c r="B69" s="140">
        <v>31</v>
      </c>
      <c r="C69" s="221" t="s">
        <v>118</v>
      </c>
      <c r="D69" s="235"/>
      <c r="E69" s="236"/>
      <c r="F69" s="236"/>
      <c r="G69" s="236"/>
      <c r="H69" s="236"/>
      <c r="I69" s="236"/>
      <c r="J69" s="236"/>
      <c r="K69" s="236"/>
      <c r="L69" s="236"/>
      <c r="M69" s="236"/>
      <c r="N69" s="236">
        <v>246010</v>
      </c>
      <c r="O69" s="236"/>
      <c r="P69" s="237"/>
      <c r="Q69" s="223">
        <f t="shared" si="25"/>
        <v>246010</v>
      </c>
      <c r="R69" s="147">
        <f t="shared" si="46"/>
        <v>27061.1</v>
      </c>
      <c r="S69" s="147">
        <f t="shared" si="27"/>
        <v>74.14</v>
      </c>
      <c r="T69" s="148">
        <f>S69*$T$5*$T$10</f>
        <v>16236.659999999998</v>
      </c>
      <c r="U69" s="199"/>
      <c r="V69" s="150"/>
      <c r="W69" s="151"/>
      <c r="X69" s="151"/>
      <c r="Y69" s="152"/>
      <c r="Z69" s="153"/>
      <c r="AA69" s="153"/>
      <c r="AB69" s="154"/>
      <c r="AC69" s="155">
        <f t="shared" si="29"/>
        <v>9417.2627999999986</v>
      </c>
      <c r="AD69" s="156">
        <f t="shared" si="30"/>
        <v>2110.7657999999997</v>
      </c>
      <c r="AE69" s="156">
        <f t="shared" si="31"/>
        <v>1424.7669149999997</v>
      </c>
      <c r="AF69" s="156">
        <f t="shared" si="32"/>
        <v>649.46639999999991</v>
      </c>
      <c r="AG69" s="156">
        <f t="shared" si="33"/>
        <v>324.73319999999995</v>
      </c>
      <c r="AH69" s="156">
        <f t="shared" si="34"/>
        <v>324.73319999999995</v>
      </c>
      <c r="AI69" s="156">
        <f t="shared" si="35"/>
        <v>162.36659999999998</v>
      </c>
      <c r="AJ69" s="156">
        <f t="shared" si="36"/>
        <v>324.73319999999995</v>
      </c>
      <c r="AK69" s="156">
        <f t="shared" si="37"/>
        <v>324.73319999999995</v>
      </c>
      <c r="AL69" s="156">
        <f t="shared" si="38"/>
        <v>1136.5662</v>
      </c>
      <c r="AM69" s="157">
        <f t="shared" si="39"/>
        <v>4996.8321149999992</v>
      </c>
      <c r="AN69" s="158">
        <f t="shared" si="40"/>
        <v>2200</v>
      </c>
      <c r="AO69" s="159">
        <v>0.2</v>
      </c>
      <c r="AP69" s="160">
        <f t="shared" si="41"/>
        <v>132767651.69826837</v>
      </c>
      <c r="AQ69" s="161">
        <f t="shared" si="42"/>
        <v>36879.906199911253</v>
      </c>
      <c r="AR69" s="162">
        <f t="shared" si="43"/>
        <v>7375.9812399822513</v>
      </c>
      <c r="AS69" s="163">
        <f t="shared" si="44"/>
        <v>1.0525087385819423</v>
      </c>
      <c r="AT69" s="164">
        <f t="shared" si="45"/>
        <v>1.0525087385819423</v>
      </c>
      <c r="AU69" s="165"/>
      <c r="AV69" s="166"/>
      <c r="AW69" s="167"/>
      <c r="AX69" s="146"/>
      <c r="AY69" s="168"/>
    </row>
    <row r="70" spans="1:51" s="139" customFormat="1" ht="11.25" x14ac:dyDescent="0.25">
      <c r="A70" s="1"/>
      <c r="B70" s="140">
        <v>32</v>
      </c>
      <c r="C70" s="239" t="s">
        <v>119</v>
      </c>
      <c r="D70" s="235"/>
      <c r="E70" s="236"/>
      <c r="F70" s="236"/>
      <c r="G70" s="236"/>
      <c r="H70" s="236"/>
      <c r="I70" s="236"/>
      <c r="J70" s="236"/>
      <c r="K70" s="236"/>
      <c r="L70" s="236"/>
      <c r="M70" s="236"/>
      <c r="N70" s="236">
        <v>191554</v>
      </c>
      <c r="O70" s="236"/>
      <c r="P70" s="237"/>
      <c r="Q70" s="223">
        <f t="shared" si="25"/>
        <v>191554</v>
      </c>
      <c r="R70" s="147">
        <f t="shared" si="46"/>
        <v>21070.94</v>
      </c>
      <c r="S70" s="147">
        <f t="shared" si="27"/>
        <v>57.728602739726021</v>
      </c>
      <c r="T70" s="148">
        <f>S70*$T$5*$T$10</f>
        <v>12642.563999999998</v>
      </c>
      <c r="U70" s="199"/>
      <c r="V70" s="150"/>
      <c r="W70" s="151"/>
      <c r="X70" s="151"/>
      <c r="Y70" s="152"/>
      <c r="Z70" s="153"/>
      <c r="AA70" s="153"/>
      <c r="AB70" s="154"/>
      <c r="AC70" s="155">
        <f t="shared" si="29"/>
        <v>7332.6871199999987</v>
      </c>
      <c r="AD70" s="156">
        <f t="shared" si="30"/>
        <v>1643.5333199999998</v>
      </c>
      <c r="AE70" s="156">
        <f t="shared" si="31"/>
        <v>1109.3849909999999</v>
      </c>
      <c r="AF70" s="156">
        <f t="shared" si="32"/>
        <v>505.70255999999995</v>
      </c>
      <c r="AG70" s="156">
        <f t="shared" si="33"/>
        <v>252.85127999999997</v>
      </c>
      <c r="AH70" s="156">
        <f t="shared" si="34"/>
        <v>252.85127999999997</v>
      </c>
      <c r="AI70" s="156">
        <f t="shared" si="35"/>
        <v>126.42563999999999</v>
      </c>
      <c r="AJ70" s="156">
        <f t="shared" si="36"/>
        <v>252.85127999999997</v>
      </c>
      <c r="AK70" s="156">
        <f t="shared" si="37"/>
        <v>252.85127999999997</v>
      </c>
      <c r="AL70" s="156">
        <f t="shared" si="38"/>
        <v>884.97947999999997</v>
      </c>
      <c r="AM70" s="157">
        <f t="shared" si="39"/>
        <v>3890.7490709999988</v>
      </c>
      <c r="AN70" s="158">
        <f t="shared" si="40"/>
        <v>2200</v>
      </c>
      <c r="AO70" s="159">
        <v>0.2</v>
      </c>
      <c r="AP70" s="160">
        <f t="shared" si="41"/>
        <v>103378621.81785333</v>
      </c>
      <c r="AQ70" s="161">
        <f t="shared" si="42"/>
        <v>28716.286135595299</v>
      </c>
      <c r="AR70" s="162">
        <f t="shared" si="43"/>
        <v>5743.2572271190602</v>
      </c>
      <c r="AS70" s="163">
        <f t="shared" si="44"/>
        <v>0.81952871391539106</v>
      </c>
      <c r="AT70" s="164">
        <f t="shared" si="45"/>
        <v>0.81952871391539106</v>
      </c>
      <c r="AU70" s="165"/>
      <c r="AV70" s="166"/>
      <c r="AW70" s="167"/>
      <c r="AX70" s="146"/>
      <c r="AY70" s="168"/>
    </row>
    <row r="71" spans="1:51" s="139" customFormat="1" ht="11.25" x14ac:dyDescent="0.25">
      <c r="A71" s="1"/>
      <c r="B71" s="140">
        <v>33</v>
      </c>
      <c r="C71" s="239" t="s">
        <v>120</v>
      </c>
      <c r="D71" s="235"/>
      <c r="E71" s="236"/>
      <c r="F71" s="236"/>
      <c r="G71" s="236"/>
      <c r="H71" s="236"/>
      <c r="I71" s="236"/>
      <c r="J71" s="236"/>
      <c r="K71" s="236"/>
      <c r="L71" s="236"/>
      <c r="M71" s="236"/>
      <c r="N71" s="236">
        <v>125566</v>
      </c>
      <c r="O71" s="236"/>
      <c r="P71" s="237"/>
      <c r="Q71" s="223">
        <f t="shared" si="25"/>
        <v>125566</v>
      </c>
      <c r="R71" s="147">
        <f t="shared" si="46"/>
        <v>13812.26</v>
      </c>
      <c r="S71" s="147">
        <f t="shared" si="27"/>
        <v>37.841808219178084</v>
      </c>
      <c r="T71" s="148">
        <f>S71*$T$5*$T$10</f>
        <v>8287.3559999999998</v>
      </c>
      <c r="U71" s="199"/>
      <c r="V71" s="150"/>
      <c r="W71" s="151"/>
      <c r="X71" s="151"/>
      <c r="Y71" s="152"/>
      <c r="Z71" s="153"/>
      <c r="AA71" s="153"/>
      <c r="AB71" s="154"/>
      <c r="AC71" s="155">
        <f t="shared" si="29"/>
        <v>4806.6664799999999</v>
      </c>
      <c r="AD71" s="156">
        <f t="shared" si="30"/>
        <v>1077.35628</v>
      </c>
      <c r="AE71" s="156">
        <f t="shared" si="31"/>
        <v>727.21548899999993</v>
      </c>
      <c r="AF71" s="156">
        <f t="shared" si="32"/>
        <v>331.49423999999999</v>
      </c>
      <c r="AG71" s="156">
        <f t="shared" si="33"/>
        <v>165.74712</v>
      </c>
      <c r="AH71" s="156">
        <f t="shared" si="34"/>
        <v>165.74712</v>
      </c>
      <c r="AI71" s="156">
        <f t="shared" si="35"/>
        <v>82.873559999999998</v>
      </c>
      <c r="AJ71" s="156">
        <f t="shared" si="36"/>
        <v>165.74712</v>
      </c>
      <c r="AK71" s="156">
        <f t="shared" si="37"/>
        <v>165.74712</v>
      </c>
      <c r="AL71" s="156">
        <f t="shared" si="38"/>
        <v>580.11491999999998</v>
      </c>
      <c r="AM71" s="157">
        <f t="shared" si="39"/>
        <v>2550.4338090000001</v>
      </c>
      <c r="AN71" s="158">
        <f t="shared" si="40"/>
        <v>2200</v>
      </c>
      <c r="AO71" s="159">
        <v>0.2</v>
      </c>
      <c r="AP71" s="160">
        <f t="shared" si="41"/>
        <v>67765956.477967441</v>
      </c>
      <c r="AQ71" s="161">
        <f t="shared" si="42"/>
        <v>18823.878305345545</v>
      </c>
      <c r="AR71" s="162">
        <f t="shared" si="43"/>
        <v>3764.775661069109</v>
      </c>
      <c r="AS71" s="163">
        <f t="shared" si="44"/>
        <v>0.53721113885118565</v>
      </c>
      <c r="AT71" s="164">
        <f t="shared" si="45"/>
        <v>0.53721113885118565</v>
      </c>
      <c r="AU71" s="165"/>
      <c r="AV71" s="166"/>
      <c r="AW71" s="167"/>
      <c r="AX71" s="167"/>
      <c r="AY71" s="168"/>
    </row>
    <row r="72" spans="1:51" s="190" customFormat="1" ht="16.7" customHeight="1" x14ac:dyDescent="0.25">
      <c r="A72" s="173"/>
      <c r="B72" s="120"/>
      <c r="C72" s="121" t="s">
        <v>121</v>
      </c>
      <c r="D72" s="240">
        <f t="shared" ref="D72:U72" si="48">SUM(D39:D71)</f>
        <v>0</v>
      </c>
      <c r="E72" s="240">
        <f t="shared" si="48"/>
        <v>0</v>
      </c>
      <c r="F72" s="240">
        <f t="shared" si="48"/>
        <v>0</v>
      </c>
      <c r="G72" s="240">
        <f t="shared" si="48"/>
        <v>0</v>
      </c>
      <c r="H72" s="240">
        <f t="shared" si="48"/>
        <v>0</v>
      </c>
      <c r="I72" s="240">
        <f t="shared" si="48"/>
        <v>0</v>
      </c>
      <c r="J72" s="240">
        <f t="shared" si="48"/>
        <v>0</v>
      </c>
      <c r="K72" s="240">
        <f t="shared" si="48"/>
        <v>0</v>
      </c>
      <c r="L72" s="240">
        <f t="shared" si="48"/>
        <v>0</v>
      </c>
      <c r="M72" s="240">
        <f t="shared" si="48"/>
        <v>0</v>
      </c>
      <c r="N72" s="240">
        <f t="shared" si="48"/>
        <v>12884194</v>
      </c>
      <c r="O72" s="240">
        <f t="shared" si="48"/>
        <v>0</v>
      </c>
      <c r="P72" s="240">
        <f t="shared" si="48"/>
        <v>0</v>
      </c>
      <c r="Q72" s="240">
        <f t="shared" si="48"/>
        <v>12884194</v>
      </c>
      <c r="R72" s="240">
        <f t="shared" si="48"/>
        <v>2021991.2460000005</v>
      </c>
      <c r="S72" s="240">
        <f t="shared" si="48"/>
        <v>5539.7020438356167</v>
      </c>
      <c r="T72" s="240">
        <f t="shared" si="48"/>
        <v>1534836.8689999999</v>
      </c>
      <c r="U72" s="199">
        <f t="shared" si="48"/>
        <v>0</v>
      </c>
      <c r="V72" s="241"/>
      <c r="W72" s="242">
        <f>SUM(W39:W71)</f>
        <v>0</v>
      </c>
      <c r="X72" s="242">
        <f>SUM(X39:X71)</f>
        <v>0</v>
      </c>
      <c r="Y72" s="242">
        <f>SUM(Y39:Y71)</f>
        <v>0</v>
      </c>
      <c r="Z72" s="199"/>
      <c r="AA72" s="199"/>
      <c r="AB72" s="243"/>
      <c r="AC72" s="240">
        <f t="shared" ref="AC72:AM72" si="49">SUM(AC39:AC71)</f>
        <v>890205.38401999988</v>
      </c>
      <c r="AD72" s="244">
        <f t="shared" si="49"/>
        <v>199528.79297000001</v>
      </c>
      <c r="AE72" s="244">
        <f t="shared" si="49"/>
        <v>134681.93525474999</v>
      </c>
      <c r="AF72" s="244">
        <f t="shared" si="49"/>
        <v>61393.474759999983</v>
      </c>
      <c r="AG72" s="244">
        <f t="shared" si="49"/>
        <v>30696.737379999991</v>
      </c>
      <c r="AH72" s="244">
        <f t="shared" si="49"/>
        <v>30696.737379999991</v>
      </c>
      <c r="AI72" s="244">
        <f t="shared" si="49"/>
        <v>15348.368689999996</v>
      </c>
      <c r="AJ72" s="244">
        <f t="shared" si="49"/>
        <v>30696.737379999991</v>
      </c>
      <c r="AK72" s="244">
        <f t="shared" si="49"/>
        <v>30696.737379999991</v>
      </c>
      <c r="AL72" s="244">
        <f t="shared" si="49"/>
        <v>107438.58082999996</v>
      </c>
      <c r="AM72" s="245">
        <f t="shared" si="49"/>
        <v>472346.04643475002</v>
      </c>
      <c r="AN72" s="158"/>
      <c r="AO72" s="183"/>
      <c r="AP72" s="184">
        <f>SUM(AP39:AP71)</f>
        <v>12550406723.861485</v>
      </c>
      <c r="AQ72" s="184">
        <f>SUM(AQ39:AQ71)</f>
        <v>3486224.3688594494</v>
      </c>
      <c r="AR72" s="184">
        <f>SUM(AR39:AR71)</f>
        <v>697244.87377189007</v>
      </c>
      <c r="AS72" s="185">
        <f>SUM(AS39:AS71)</f>
        <v>99.492704590737745</v>
      </c>
      <c r="AT72" s="186">
        <f>SUM(AT39:AT71)</f>
        <v>99.492704590737745</v>
      </c>
      <c r="AU72" s="187"/>
      <c r="AV72" s="246">
        <f>SUM(AV43:AV70)</f>
        <v>0</v>
      </c>
      <c r="AW72" s="246"/>
      <c r="AX72" s="185">
        <f>SUM(AX43:AX70)</f>
        <v>0</v>
      </c>
      <c r="AY72" s="189"/>
    </row>
    <row r="73" spans="1:51" s="139" customFormat="1" ht="10.9" customHeight="1" x14ac:dyDescent="0.25">
      <c r="B73" s="247"/>
      <c r="C73" s="152"/>
      <c r="D73" s="247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248"/>
      <c r="Q73" s="249"/>
      <c r="R73" s="250"/>
      <c r="S73" s="250"/>
      <c r="T73" s="251"/>
      <c r="U73" s="199"/>
      <c r="V73" s="179"/>
      <c r="W73" s="249"/>
      <c r="X73" s="249"/>
      <c r="Y73" s="152"/>
      <c r="Z73" s="153"/>
      <c r="AA73" s="153"/>
      <c r="AB73" s="154"/>
      <c r="AC73" s="247"/>
      <c r="AD73" s="252"/>
      <c r="AE73" s="252"/>
      <c r="AF73" s="252"/>
      <c r="AG73" s="252"/>
      <c r="AH73" s="252"/>
      <c r="AI73" s="252"/>
      <c r="AJ73" s="252"/>
      <c r="AK73" s="252"/>
      <c r="AL73" s="252"/>
      <c r="AM73" s="214"/>
      <c r="AN73" s="203"/>
      <c r="AO73" s="204"/>
      <c r="AP73" s="203"/>
      <c r="AQ73" s="205"/>
      <c r="AR73" s="206"/>
      <c r="AS73" s="253"/>
      <c r="AT73" s="254"/>
      <c r="AU73" s="255"/>
      <c r="AV73" s="256"/>
      <c r="AW73" s="257"/>
      <c r="AX73" s="214"/>
      <c r="AY73" s="212"/>
    </row>
    <row r="74" spans="1:51" s="139" customFormat="1" ht="15" customHeight="1" x14ac:dyDescent="0.25">
      <c r="A74" s="1"/>
      <c r="B74" s="120"/>
      <c r="C74" s="258" t="s">
        <v>122</v>
      </c>
      <c r="D74" s="122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213"/>
      <c r="Q74" s="76"/>
      <c r="R74" s="108"/>
      <c r="S74" s="108"/>
      <c r="T74" s="94"/>
      <c r="U74" s="199"/>
      <c r="V74" s="179"/>
      <c r="W74" s="180"/>
      <c r="X74" s="180"/>
      <c r="Y74" s="214"/>
      <c r="Z74" s="181"/>
      <c r="AA74" s="181"/>
      <c r="AB74" s="182"/>
      <c r="AC74" s="62"/>
      <c r="AD74" s="215"/>
      <c r="AE74" s="215"/>
      <c r="AF74" s="215"/>
      <c r="AG74" s="215"/>
      <c r="AH74" s="215"/>
      <c r="AI74" s="215"/>
      <c r="AJ74" s="215"/>
      <c r="AK74" s="215"/>
      <c r="AL74" s="215"/>
      <c r="AM74" s="125"/>
      <c r="AN74" s="75"/>
      <c r="AO74" s="216"/>
      <c r="AP74" s="75"/>
      <c r="AQ74" s="51"/>
      <c r="AR74" s="259"/>
      <c r="AS74" s="218"/>
      <c r="AT74" s="219"/>
      <c r="AU74" s="220"/>
      <c r="AV74" s="135"/>
      <c r="AW74" s="136"/>
      <c r="AX74" s="137"/>
      <c r="AY74" s="138"/>
    </row>
    <row r="75" spans="1:51" ht="10.9" customHeight="1" x14ac:dyDescent="0.25">
      <c r="B75" s="140">
        <v>1</v>
      </c>
      <c r="C75" s="221" t="s">
        <v>123</v>
      </c>
      <c r="D75" s="235"/>
      <c r="E75" s="236"/>
      <c r="F75" s="236"/>
      <c r="G75" s="236"/>
      <c r="H75" s="236"/>
      <c r="I75" s="236"/>
      <c r="J75" s="236"/>
      <c r="K75" s="236"/>
      <c r="L75" s="236"/>
      <c r="M75" s="236"/>
      <c r="N75" s="236">
        <v>76173</v>
      </c>
      <c r="O75" s="236"/>
      <c r="P75" s="237"/>
      <c r="Q75" s="223">
        <f t="shared" ref="Q75:Q93" si="50">MAX(D75:P75)</f>
        <v>76173</v>
      </c>
      <c r="R75" s="147">
        <f t="shared" ref="R75:R86" si="51">Q75*$R$10</f>
        <v>8379.0300000000007</v>
      </c>
      <c r="S75" s="147">
        <f t="shared" ref="S75:S93" si="52">R75/$S$5</f>
        <v>22.956246575342469</v>
      </c>
      <c r="T75" s="148">
        <f t="shared" ref="T75:T86" si="53">S75*$T$5*$T$10</f>
        <v>5027.4180000000006</v>
      </c>
      <c r="U75" s="199"/>
      <c r="V75" s="150"/>
      <c r="W75" s="249"/>
      <c r="X75" s="249"/>
      <c r="Y75" s="152"/>
      <c r="Z75" s="153"/>
      <c r="AA75" s="153"/>
      <c r="AB75" s="154"/>
      <c r="AC75" s="155">
        <f t="shared" ref="AC75:AC93" si="54">T75*$AC$5</f>
        <v>2915.9024400000003</v>
      </c>
      <c r="AD75" s="156">
        <f t="shared" ref="AD75:AD93" si="55">T75*$AD$5</f>
        <v>653.56434000000013</v>
      </c>
      <c r="AE75" s="156">
        <f t="shared" ref="AE75:AE93" si="56">T75*$AE$5</f>
        <v>441.15592950000001</v>
      </c>
      <c r="AF75" s="156">
        <f t="shared" ref="AF75:AF93" si="57">T75*$AF$5</f>
        <v>201.09672000000003</v>
      </c>
      <c r="AG75" s="156">
        <f t="shared" ref="AG75:AG93" si="58">T75*$AG$5</f>
        <v>100.54836000000002</v>
      </c>
      <c r="AH75" s="156">
        <f t="shared" ref="AH75:AH93" si="59">T75*$AH$5</f>
        <v>100.54836000000002</v>
      </c>
      <c r="AI75" s="156">
        <f t="shared" ref="AI75:AI93" si="60">T75*$AI$5</f>
        <v>50.274180000000008</v>
      </c>
      <c r="AJ75" s="156">
        <f t="shared" ref="AJ75:AJ93" si="61">T75*$AJ$5</f>
        <v>100.54836000000002</v>
      </c>
      <c r="AK75" s="156">
        <f t="shared" ref="AK75:AK93" si="62">T75*$AK$5</f>
        <v>100.54836000000002</v>
      </c>
      <c r="AL75" s="156">
        <f t="shared" ref="AL75:AL93" si="63">T75*$AL$5</f>
        <v>351.91926000000007</v>
      </c>
      <c r="AM75" s="157">
        <f t="shared" ref="AM75:AM93" si="64">SUM(AD75:AI75)</f>
        <v>1547.1878895000002</v>
      </c>
      <c r="AN75" s="158">
        <f t="shared" ref="AN75:AN93" si="65">$AN$5</f>
        <v>2200</v>
      </c>
      <c r="AO75" s="159">
        <v>0.2</v>
      </c>
      <c r="AP75" s="160">
        <f t="shared" ref="AP75:AP93" si="66">(AC75+AM75)*AN75*$AP$5</f>
        <v>41109346.501411326</v>
      </c>
      <c r="AQ75" s="161">
        <f t="shared" ref="AQ75:AQ93" si="67">AP75*$AQ$5</f>
        <v>11419.263830599735</v>
      </c>
      <c r="AR75" s="162">
        <f t="shared" ref="AR75:AR93" si="68">AQ75*$AR$5</f>
        <v>2283.8527661199473</v>
      </c>
      <c r="AS75" s="163">
        <f t="shared" ref="AS75:AS93" si="69">AR75/$AS$5</f>
        <v>0.32589223260843997</v>
      </c>
      <c r="AT75" s="164">
        <f t="shared" ref="AT75:AT93" si="70">AS75</f>
        <v>0.32589223260843997</v>
      </c>
      <c r="AU75" s="165"/>
      <c r="AV75" s="166"/>
      <c r="AW75" s="167"/>
      <c r="AX75" s="146"/>
      <c r="AY75" s="168"/>
    </row>
    <row r="76" spans="1:51" ht="10.9" customHeight="1" x14ac:dyDescent="0.25">
      <c r="B76" s="140">
        <v>2</v>
      </c>
      <c r="C76" s="221" t="s">
        <v>124</v>
      </c>
      <c r="D76" s="235"/>
      <c r="E76" s="236"/>
      <c r="F76" s="236"/>
      <c r="G76" s="236"/>
      <c r="H76" s="236"/>
      <c r="I76" s="236"/>
      <c r="J76" s="236"/>
      <c r="K76" s="236"/>
      <c r="L76" s="236"/>
      <c r="M76" s="236"/>
      <c r="N76" s="236">
        <v>429246</v>
      </c>
      <c r="O76" s="236"/>
      <c r="P76" s="237"/>
      <c r="Q76" s="223">
        <f t="shared" si="50"/>
        <v>429246</v>
      </c>
      <c r="R76" s="147">
        <f t="shared" si="51"/>
        <v>47217.06</v>
      </c>
      <c r="S76" s="147">
        <f t="shared" si="52"/>
        <v>129.36180821917807</v>
      </c>
      <c r="T76" s="148">
        <f t="shared" si="53"/>
        <v>28330.235999999997</v>
      </c>
      <c r="U76" s="199"/>
      <c r="V76" s="150"/>
      <c r="W76" s="249"/>
      <c r="X76" s="249"/>
      <c r="Y76" s="152"/>
      <c r="Z76" s="153"/>
      <c r="AA76" s="153"/>
      <c r="AB76" s="154"/>
      <c r="AC76" s="155">
        <f t="shared" si="54"/>
        <v>16431.536879999996</v>
      </c>
      <c r="AD76" s="156">
        <f t="shared" si="55"/>
        <v>3682.9306799999999</v>
      </c>
      <c r="AE76" s="156">
        <f t="shared" si="56"/>
        <v>2485.9782089999994</v>
      </c>
      <c r="AF76" s="156">
        <f t="shared" si="57"/>
        <v>1133.2094399999999</v>
      </c>
      <c r="AG76" s="156">
        <f t="shared" si="58"/>
        <v>566.60471999999993</v>
      </c>
      <c r="AH76" s="156">
        <f t="shared" si="59"/>
        <v>566.60471999999993</v>
      </c>
      <c r="AI76" s="156">
        <f t="shared" si="60"/>
        <v>283.30235999999996</v>
      </c>
      <c r="AJ76" s="156">
        <f t="shared" si="61"/>
        <v>566.60471999999993</v>
      </c>
      <c r="AK76" s="156">
        <f t="shared" si="62"/>
        <v>566.60471999999993</v>
      </c>
      <c r="AL76" s="156">
        <f t="shared" si="63"/>
        <v>1983.11652</v>
      </c>
      <c r="AM76" s="157">
        <f t="shared" si="64"/>
        <v>8718.6301289999992</v>
      </c>
      <c r="AN76" s="158">
        <f t="shared" si="65"/>
        <v>2200</v>
      </c>
      <c r="AO76" s="159">
        <v>0.2</v>
      </c>
      <c r="AP76" s="160">
        <f t="shared" si="66"/>
        <v>231657182.31321859</v>
      </c>
      <c r="AQ76" s="161">
        <f t="shared" si="67"/>
        <v>64349.222457164768</v>
      </c>
      <c r="AR76" s="162">
        <f t="shared" si="68"/>
        <v>12869.844491432954</v>
      </c>
      <c r="AS76" s="163">
        <f t="shared" si="69"/>
        <v>1.8364504125903187</v>
      </c>
      <c r="AT76" s="164">
        <f t="shared" si="70"/>
        <v>1.8364504125903187</v>
      </c>
      <c r="AU76" s="165"/>
      <c r="AV76" s="166"/>
      <c r="AW76" s="167"/>
      <c r="AX76" s="146"/>
      <c r="AY76" s="168"/>
    </row>
    <row r="77" spans="1:51" ht="10.9" customHeight="1" x14ac:dyDescent="0.25">
      <c r="B77" s="140">
        <v>3</v>
      </c>
      <c r="C77" s="221" t="s">
        <v>125</v>
      </c>
      <c r="D77" s="235"/>
      <c r="E77" s="236"/>
      <c r="F77" s="236"/>
      <c r="G77" s="236"/>
      <c r="H77" s="236"/>
      <c r="I77" s="236"/>
      <c r="J77" s="236"/>
      <c r="K77" s="236"/>
      <c r="L77" s="236"/>
      <c r="M77" s="236"/>
      <c r="N77" s="236">
        <v>348566</v>
      </c>
      <c r="O77" s="236"/>
      <c r="P77" s="237"/>
      <c r="Q77" s="223">
        <f t="shared" si="50"/>
        <v>348566</v>
      </c>
      <c r="R77" s="147">
        <f t="shared" si="51"/>
        <v>38342.26</v>
      </c>
      <c r="S77" s="147">
        <f t="shared" si="52"/>
        <v>105.04728767123288</v>
      </c>
      <c r="T77" s="148">
        <f t="shared" si="53"/>
        <v>23005.356</v>
      </c>
      <c r="U77" s="199"/>
      <c r="V77" s="150"/>
      <c r="W77" s="249"/>
      <c r="X77" s="249"/>
      <c r="Y77" s="152"/>
      <c r="Z77" s="153"/>
      <c r="AA77" s="153"/>
      <c r="AB77" s="154"/>
      <c r="AC77" s="155">
        <f t="shared" si="54"/>
        <v>13343.106479999999</v>
      </c>
      <c r="AD77" s="156">
        <f t="shared" si="55"/>
        <v>2990.6962800000001</v>
      </c>
      <c r="AE77" s="156">
        <f t="shared" si="56"/>
        <v>2018.7199889999999</v>
      </c>
      <c r="AF77" s="156">
        <f t="shared" si="57"/>
        <v>920.21424000000002</v>
      </c>
      <c r="AG77" s="156">
        <f t="shared" si="58"/>
        <v>460.10712000000001</v>
      </c>
      <c r="AH77" s="156">
        <f t="shared" si="59"/>
        <v>460.10712000000001</v>
      </c>
      <c r="AI77" s="156">
        <f t="shared" si="60"/>
        <v>230.05356</v>
      </c>
      <c r="AJ77" s="156">
        <f t="shared" si="61"/>
        <v>460.10712000000001</v>
      </c>
      <c r="AK77" s="156">
        <f t="shared" si="62"/>
        <v>460.10712000000001</v>
      </c>
      <c r="AL77" s="156">
        <f t="shared" si="63"/>
        <v>1610.3749200000002</v>
      </c>
      <c r="AM77" s="157">
        <f t="shared" si="64"/>
        <v>7079.8983090000002</v>
      </c>
      <c r="AN77" s="158">
        <f t="shared" si="65"/>
        <v>2200</v>
      </c>
      <c r="AO77" s="159">
        <v>0.2</v>
      </c>
      <c r="AP77" s="160">
        <f t="shared" si="66"/>
        <v>188115480.1912874</v>
      </c>
      <c r="AQ77" s="161">
        <f t="shared" si="67"/>
        <v>52254.304233479394</v>
      </c>
      <c r="AR77" s="162">
        <f t="shared" si="68"/>
        <v>10450.860846695879</v>
      </c>
      <c r="AS77" s="163">
        <f t="shared" si="69"/>
        <v>1.4912758057499829</v>
      </c>
      <c r="AT77" s="164">
        <f t="shared" si="70"/>
        <v>1.4912758057499829</v>
      </c>
      <c r="AU77" s="165"/>
      <c r="AV77" s="166"/>
      <c r="AW77" s="167"/>
      <c r="AX77" s="146"/>
      <c r="AY77" s="168"/>
    </row>
    <row r="78" spans="1:51" ht="10.9" customHeight="1" x14ac:dyDescent="0.25">
      <c r="B78" s="140">
        <v>4</v>
      </c>
      <c r="C78" s="221" t="s">
        <v>126</v>
      </c>
      <c r="D78" s="235"/>
      <c r="E78" s="236"/>
      <c r="F78" s="236"/>
      <c r="G78" s="236"/>
      <c r="H78" s="236"/>
      <c r="I78" s="236"/>
      <c r="J78" s="236"/>
      <c r="K78" s="236"/>
      <c r="L78" s="236"/>
      <c r="M78" s="236"/>
      <c r="N78" s="236">
        <v>201823</v>
      </c>
      <c r="O78" s="236"/>
      <c r="P78" s="237"/>
      <c r="Q78" s="223">
        <f t="shared" si="50"/>
        <v>201823</v>
      </c>
      <c r="R78" s="147">
        <f t="shared" si="51"/>
        <v>22200.53</v>
      </c>
      <c r="S78" s="147">
        <f t="shared" si="52"/>
        <v>60.823369863013696</v>
      </c>
      <c r="T78" s="148">
        <f t="shared" si="53"/>
        <v>13320.317999999999</v>
      </c>
      <c r="U78" s="199"/>
      <c r="V78" s="150"/>
      <c r="W78" s="249"/>
      <c r="X78" s="249"/>
      <c r="Y78" s="152"/>
      <c r="Z78" s="153"/>
      <c r="AA78" s="153"/>
      <c r="AB78" s="154"/>
      <c r="AC78" s="155">
        <f t="shared" si="54"/>
        <v>7725.7844399999994</v>
      </c>
      <c r="AD78" s="156">
        <f t="shared" si="55"/>
        <v>1731.6413399999999</v>
      </c>
      <c r="AE78" s="156">
        <f t="shared" si="56"/>
        <v>1168.8579044999999</v>
      </c>
      <c r="AF78" s="156">
        <f t="shared" si="57"/>
        <v>532.81272000000001</v>
      </c>
      <c r="AG78" s="156">
        <f t="shared" si="58"/>
        <v>266.40636000000001</v>
      </c>
      <c r="AH78" s="156">
        <f t="shared" si="59"/>
        <v>266.40636000000001</v>
      </c>
      <c r="AI78" s="156">
        <f t="shared" si="60"/>
        <v>133.20318</v>
      </c>
      <c r="AJ78" s="156">
        <f t="shared" si="61"/>
        <v>266.40636000000001</v>
      </c>
      <c r="AK78" s="156">
        <f t="shared" si="62"/>
        <v>266.40636000000001</v>
      </c>
      <c r="AL78" s="156">
        <f t="shared" si="63"/>
        <v>932.42226000000005</v>
      </c>
      <c r="AM78" s="157">
        <f t="shared" si="64"/>
        <v>4099.3278645</v>
      </c>
      <c r="AN78" s="158">
        <f t="shared" si="65"/>
        <v>2200</v>
      </c>
      <c r="AO78" s="159">
        <v>0.2</v>
      </c>
      <c r="AP78" s="160">
        <f t="shared" si="66"/>
        <v>108920636.43225731</v>
      </c>
      <c r="AQ78" s="161">
        <f t="shared" si="67"/>
        <v>30255.734762752283</v>
      </c>
      <c r="AR78" s="162">
        <f t="shared" si="68"/>
        <v>6051.1469525504572</v>
      </c>
      <c r="AS78" s="163">
        <f t="shared" si="69"/>
        <v>0.863462750078547</v>
      </c>
      <c r="AT78" s="164">
        <f t="shared" si="70"/>
        <v>0.863462750078547</v>
      </c>
      <c r="AU78" s="165"/>
      <c r="AV78" s="166"/>
      <c r="AW78" s="167"/>
      <c r="AX78" s="146"/>
      <c r="AY78" s="168"/>
    </row>
    <row r="79" spans="1:51" ht="10.9" customHeight="1" x14ac:dyDescent="0.25">
      <c r="B79" s="140">
        <v>5</v>
      </c>
      <c r="C79" s="221" t="s">
        <v>127</v>
      </c>
      <c r="D79" s="235"/>
      <c r="E79" s="236"/>
      <c r="F79" s="236"/>
      <c r="G79" s="236"/>
      <c r="H79" s="236"/>
      <c r="I79" s="236"/>
      <c r="J79" s="236"/>
      <c r="K79" s="236"/>
      <c r="L79" s="236"/>
      <c r="M79" s="236"/>
      <c r="N79" s="236">
        <v>338494</v>
      </c>
      <c r="O79" s="236"/>
      <c r="P79" s="237"/>
      <c r="Q79" s="223">
        <f t="shared" si="50"/>
        <v>338494</v>
      </c>
      <c r="R79" s="147">
        <f t="shared" si="51"/>
        <v>37234.340000000004</v>
      </c>
      <c r="S79" s="147">
        <f t="shared" si="52"/>
        <v>102.01189041095891</v>
      </c>
      <c r="T79" s="148">
        <f t="shared" si="53"/>
        <v>22340.604000000003</v>
      </c>
      <c r="U79" s="199"/>
      <c r="V79" s="150"/>
      <c r="W79" s="249"/>
      <c r="X79" s="249"/>
      <c r="Y79" s="152"/>
      <c r="Z79" s="153"/>
      <c r="AA79" s="153"/>
      <c r="AB79" s="154"/>
      <c r="AC79" s="155">
        <f t="shared" si="54"/>
        <v>12957.55032</v>
      </c>
      <c r="AD79" s="156">
        <f t="shared" si="55"/>
        <v>2904.2785200000003</v>
      </c>
      <c r="AE79" s="156">
        <f t="shared" si="56"/>
        <v>1960.388001</v>
      </c>
      <c r="AF79" s="156">
        <f t="shared" si="57"/>
        <v>893.62416000000019</v>
      </c>
      <c r="AG79" s="156">
        <f t="shared" si="58"/>
        <v>446.81208000000009</v>
      </c>
      <c r="AH79" s="156">
        <f t="shared" si="59"/>
        <v>446.81208000000009</v>
      </c>
      <c r="AI79" s="156">
        <f t="shared" si="60"/>
        <v>223.40604000000005</v>
      </c>
      <c r="AJ79" s="156">
        <f t="shared" si="61"/>
        <v>446.81208000000009</v>
      </c>
      <c r="AK79" s="156">
        <f t="shared" si="62"/>
        <v>446.81208000000009</v>
      </c>
      <c r="AL79" s="156">
        <f t="shared" si="63"/>
        <v>1563.8422800000003</v>
      </c>
      <c r="AM79" s="157">
        <f t="shared" si="64"/>
        <v>6875.3208809999996</v>
      </c>
      <c r="AN79" s="158">
        <f t="shared" si="65"/>
        <v>2200</v>
      </c>
      <c r="AO79" s="159">
        <v>0.2</v>
      </c>
      <c r="AP79" s="160">
        <f t="shared" si="66"/>
        <v>182679783.31756297</v>
      </c>
      <c r="AQ79" s="161">
        <f t="shared" si="67"/>
        <v>50744.388314429343</v>
      </c>
      <c r="AR79" s="162">
        <f t="shared" si="68"/>
        <v>10148.877662885869</v>
      </c>
      <c r="AS79" s="163">
        <f t="shared" si="69"/>
        <v>1.448184598014536</v>
      </c>
      <c r="AT79" s="164">
        <f t="shared" si="70"/>
        <v>1.448184598014536</v>
      </c>
      <c r="AU79" s="165"/>
      <c r="AV79" s="166"/>
      <c r="AW79" s="167"/>
      <c r="AX79" s="146"/>
      <c r="AY79" s="168"/>
    </row>
    <row r="80" spans="1:51" ht="10.9" customHeight="1" x14ac:dyDescent="0.25">
      <c r="B80" s="140">
        <v>6</v>
      </c>
      <c r="C80" s="221" t="s">
        <v>128</v>
      </c>
      <c r="D80" s="235"/>
      <c r="E80" s="236"/>
      <c r="F80" s="236"/>
      <c r="G80" s="236"/>
      <c r="H80" s="236"/>
      <c r="I80" s="236"/>
      <c r="J80" s="236"/>
      <c r="K80" s="236"/>
      <c r="L80" s="236"/>
      <c r="M80" s="236"/>
      <c r="N80" s="236">
        <v>391056</v>
      </c>
      <c r="O80" s="236"/>
      <c r="P80" s="237"/>
      <c r="Q80" s="223">
        <f t="shared" si="50"/>
        <v>391056</v>
      </c>
      <c r="R80" s="147">
        <f t="shared" si="51"/>
        <v>43016.160000000003</v>
      </c>
      <c r="S80" s="147">
        <f t="shared" si="52"/>
        <v>117.85249315068494</v>
      </c>
      <c r="T80" s="148">
        <f t="shared" si="53"/>
        <v>25809.696</v>
      </c>
      <c r="U80" s="199"/>
      <c r="V80" s="150"/>
      <c r="W80" s="249"/>
      <c r="X80" s="249"/>
      <c r="Y80" s="152"/>
      <c r="Z80" s="153"/>
      <c r="AA80" s="153"/>
      <c r="AB80" s="154"/>
      <c r="AC80" s="155">
        <f t="shared" si="54"/>
        <v>14969.623679999999</v>
      </c>
      <c r="AD80" s="156">
        <f t="shared" si="55"/>
        <v>3355.2604799999999</v>
      </c>
      <c r="AE80" s="156">
        <f t="shared" si="56"/>
        <v>2264.8008239999999</v>
      </c>
      <c r="AF80" s="156">
        <f t="shared" si="57"/>
        <v>1032.3878400000001</v>
      </c>
      <c r="AG80" s="156">
        <f t="shared" si="58"/>
        <v>516.19392000000005</v>
      </c>
      <c r="AH80" s="156">
        <f t="shared" si="59"/>
        <v>516.19392000000005</v>
      </c>
      <c r="AI80" s="156">
        <f t="shared" si="60"/>
        <v>258.09696000000002</v>
      </c>
      <c r="AJ80" s="156">
        <f t="shared" si="61"/>
        <v>516.19392000000005</v>
      </c>
      <c r="AK80" s="156">
        <f t="shared" si="62"/>
        <v>516.19392000000005</v>
      </c>
      <c r="AL80" s="156">
        <f t="shared" si="63"/>
        <v>1806.6787200000001</v>
      </c>
      <c r="AM80" s="157">
        <f t="shared" si="64"/>
        <v>7942.9339439999994</v>
      </c>
      <c r="AN80" s="158">
        <f t="shared" si="65"/>
        <v>2200</v>
      </c>
      <c r="AO80" s="159">
        <v>0.2</v>
      </c>
      <c r="AP80" s="160">
        <f t="shared" si="66"/>
        <v>211046651.77235898</v>
      </c>
      <c r="AQ80" s="161">
        <f t="shared" si="67"/>
        <v>58624.074626691981</v>
      </c>
      <c r="AR80" s="162">
        <f t="shared" si="68"/>
        <v>11724.814925338396</v>
      </c>
      <c r="AS80" s="163">
        <f t="shared" si="69"/>
        <v>1.673061490487785</v>
      </c>
      <c r="AT80" s="164">
        <f t="shared" si="70"/>
        <v>1.673061490487785</v>
      </c>
      <c r="AU80" s="165"/>
      <c r="AV80" s="166"/>
      <c r="AW80" s="167"/>
      <c r="AX80" s="146"/>
      <c r="AY80" s="168"/>
    </row>
    <row r="81" spans="1:51" ht="10.9" customHeight="1" x14ac:dyDescent="0.25">
      <c r="B81" s="140">
        <v>7</v>
      </c>
      <c r="C81" s="221" t="s">
        <v>129</v>
      </c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6">
        <v>454853</v>
      </c>
      <c r="O81" s="236"/>
      <c r="P81" s="237"/>
      <c r="Q81" s="223">
        <f t="shared" si="50"/>
        <v>454853</v>
      </c>
      <c r="R81" s="147">
        <f t="shared" si="51"/>
        <v>50033.83</v>
      </c>
      <c r="S81" s="147">
        <f t="shared" si="52"/>
        <v>137.07898630136987</v>
      </c>
      <c r="T81" s="148">
        <f t="shared" si="53"/>
        <v>30020.297999999999</v>
      </c>
      <c r="U81" s="199"/>
      <c r="V81" s="150"/>
      <c r="W81" s="249"/>
      <c r="X81" s="249"/>
      <c r="Y81" s="152"/>
      <c r="Z81" s="153"/>
      <c r="AA81" s="153"/>
      <c r="AB81" s="154"/>
      <c r="AC81" s="155">
        <f t="shared" si="54"/>
        <v>17411.772839999998</v>
      </c>
      <c r="AD81" s="156">
        <f t="shared" si="55"/>
        <v>3902.6387399999999</v>
      </c>
      <c r="AE81" s="156">
        <f t="shared" si="56"/>
        <v>2634.2811494999996</v>
      </c>
      <c r="AF81" s="156">
        <f t="shared" si="57"/>
        <v>1200.8119199999999</v>
      </c>
      <c r="AG81" s="156">
        <f t="shared" si="58"/>
        <v>600.40595999999994</v>
      </c>
      <c r="AH81" s="156">
        <f t="shared" si="59"/>
        <v>600.40595999999994</v>
      </c>
      <c r="AI81" s="156">
        <f t="shared" si="60"/>
        <v>300.20297999999997</v>
      </c>
      <c r="AJ81" s="156">
        <f t="shared" si="61"/>
        <v>600.40595999999994</v>
      </c>
      <c r="AK81" s="156">
        <f t="shared" si="62"/>
        <v>600.40595999999994</v>
      </c>
      <c r="AL81" s="156">
        <f t="shared" si="63"/>
        <v>2101.4208600000002</v>
      </c>
      <c r="AM81" s="157">
        <f t="shared" si="64"/>
        <v>9238.7467094999993</v>
      </c>
      <c r="AN81" s="158">
        <f t="shared" si="65"/>
        <v>2200</v>
      </c>
      <c r="AO81" s="159">
        <v>0.2</v>
      </c>
      <c r="AP81" s="160">
        <f t="shared" si="66"/>
        <v>245476869.5496625</v>
      </c>
      <c r="AQ81" s="161">
        <f t="shared" si="67"/>
        <v>68188.024774392237</v>
      </c>
      <c r="AR81" s="162">
        <f t="shared" si="68"/>
        <v>13637.604954878449</v>
      </c>
      <c r="AS81" s="163">
        <f t="shared" si="69"/>
        <v>1.9460052732417878</v>
      </c>
      <c r="AT81" s="164">
        <f t="shared" si="70"/>
        <v>1.9460052732417878</v>
      </c>
      <c r="AU81" s="165"/>
      <c r="AV81" s="166"/>
      <c r="AW81" s="167"/>
      <c r="AX81" s="146"/>
      <c r="AY81" s="168"/>
    </row>
    <row r="82" spans="1:51" ht="10.9" customHeight="1" x14ac:dyDescent="0.25">
      <c r="B82" s="140">
        <v>8</v>
      </c>
      <c r="C82" s="221" t="s">
        <v>130</v>
      </c>
      <c r="D82" s="235"/>
      <c r="E82" s="236"/>
      <c r="F82" s="236"/>
      <c r="G82" s="236"/>
      <c r="H82" s="236"/>
      <c r="I82" s="236"/>
      <c r="J82" s="236"/>
      <c r="K82" s="236"/>
      <c r="L82" s="236"/>
      <c r="M82" s="236"/>
      <c r="N82" s="236">
        <v>348555</v>
      </c>
      <c r="O82" s="236"/>
      <c r="P82" s="237"/>
      <c r="Q82" s="223">
        <f t="shared" si="50"/>
        <v>348555</v>
      </c>
      <c r="R82" s="147">
        <f t="shared" si="51"/>
        <v>38341.050000000003</v>
      </c>
      <c r="S82" s="147">
        <f t="shared" si="52"/>
        <v>105.04397260273973</v>
      </c>
      <c r="T82" s="148">
        <f t="shared" si="53"/>
        <v>23004.63</v>
      </c>
      <c r="U82" s="199"/>
      <c r="V82" s="150"/>
      <c r="W82" s="249"/>
      <c r="X82" s="249"/>
      <c r="Y82" s="152"/>
      <c r="Z82" s="153"/>
      <c r="AA82" s="153"/>
      <c r="AB82" s="154"/>
      <c r="AC82" s="155">
        <f t="shared" si="54"/>
        <v>13342.6854</v>
      </c>
      <c r="AD82" s="156">
        <f t="shared" si="55"/>
        <v>2990.6019000000001</v>
      </c>
      <c r="AE82" s="156">
        <f t="shared" si="56"/>
        <v>2018.6562824999999</v>
      </c>
      <c r="AF82" s="156">
        <f t="shared" si="57"/>
        <v>920.18520000000001</v>
      </c>
      <c r="AG82" s="156">
        <f t="shared" si="58"/>
        <v>460.0926</v>
      </c>
      <c r="AH82" s="156">
        <f t="shared" si="59"/>
        <v>460.0926</v>
      </c>
      <c r="AI82" s="156">
        <f t="shared" si="60"/>
        <v>230.0463</v>
      </c>
      <c r="AJ82" s="156">
        <f t="shared" si="61"/>
        <v>460.0926</v>
      </c>
      <c r="AK82" s="156">
        <f t="shared" si="62"/>
        <v>460.0926</v>
      </c>
      <c r="AL82" s="156">
        <f t="shared" si="63"/>
        <v>1610.3241000000003</v>
      </c>
      <c r="AM82" s="157">
        <f t="shared" si="64"/>
        <v>7079.6748824999995</v>
      </c>
      <c r="AN82" s="158">
        <f t="shared" si="65"/>
        <v>2200</v>
      </c>
      <c r="AO82" s="159">
        <v>0.2</v>
      </c>
      <c r="AP82" s="160">
        <f t="shared" si="66"/>
        <v>188109543.66769618</v>
      </c>
      <c r="AQ82" s="161">
        <f t="shared" si="67"/>
        <v>52252.655199016575</v>
      </c>
      <c r="AR82" s="162">
        <f t="shared" si="68"/>
        <v>10450.531039803316</v>
      </c>
      <c r="AS82" s="163">
        <f t="shared" si="69"/>
        <v>1.4912287442641718</v>
      </c>
      <c r="AT82" s="164">
        <f t="shared" si="70"/>
        <v>1.4912287442641718</v>
      </c>
      <c r="AU82" s="165"/>
      <c r="AV82" s="166"/>
      <c r="AW82" s="167"/>
      <c r="AX82" s="146"/>
      <c r="AY82" s="168"/>
    </row>
    <row r="83" spans="1:51" ht="10.9" customHeight="1" x14ac:dyDescent="0.25">
      <c r="B83" s="140">
        <v>9</v>
      </c>
      <c r="C83" s="221" t="s">
        <v>131</v>
      </c>
      <c r="D83" s="235"/>
      <c r="E83" s="236"/>
      <c r="F83" s="236"/>
      <c r="G83" s="236"/>
      <c r="H83" s="236"/>
      <c r="I83" s="236"/>
      <c r="J83" s="236"/>
      <c r="K83" s="236"/>
      <c r="L83" s="236"/>
      <c r="M83" s="236"/>
      <c r="N83" s="236">
        <v>253299</v>
      </c>
      <c r="O83" s="236"/>
      <c r="P83" s="237"/>
      <c r="Q83" s="223">
        <f t="shared" si="50"/>
        <v>253299</v>
      </c>
      <c r="R83" s="147">
        <f t="shared" si="51"/>
        <v>27862.89</v>
      </c>
      <c r="S83" s="147">
        <f t="shared" si="52"/>
        <v>76.336684931506852</v>
      </c>
      <c r="T83" s="148">
        <f t="shared" si="53"/>
        <v>16717.734</v>
      </c>
      <c r="U83" s="199"/>
      <c r="V83" s="150"/>
      <c r="W83" s="249"/>
      <c r="X83" s="249"/>
      <c r="Y83" s="152"/>
      <c r="Z83" s="153"/>
      <c r="AA83" s="153"/>
      <c r="AB83" s="154"/>
      <c r="AC83" s="155">
        <f t="shared" si="54"/>
        <v>9696.2857199999999</v>
      </c>
      <c r="AD83" s="156">
        <f t="shared" si="55"/>
        <v>2173.3054200000001</v>
      </c>
      <c r="AE83" s="156">
        <f t="shared" si="56"/>
        <v>1466.9811585</v>
      </c>
      <c r="AF83" s="156">
        <f t="shared" si="57"/>
        <v>668.70936000000006</v>
      </c>
      <c r="AG83" s="156">
        <f t="shared" si="58"/>
        <v>334.35468000000003</v>
      </c>
      <c r="AH83" s="156">
        <f t="shared" si="59"/>
        <v>334.35468000000003</v>
      </c>
      <c r="AI83" s="156">
        <f t="shared" si="60"/>
        <v>167.17734000000002</v>
      </c>
      <c r="AJ83" s="156">
        <f t="shared" si="61"/>
        <v>334.35468000000003</v>
      </c>
      <c r="AK83" s="156">
        <f t="shared" si="62"/>
        <v>334.35468000000003</v>
      </c>
      <c r="AL83" s="156">
        <f t="shared" si="63"/>
        <v>1170.2413800000002</v>
      </c>
      <c r="AM83" s="157">
        <f t="shared" si="64"/>
        <v>5144.8826385000011</v>
      </c>
      <c r="AN83" s="158">
        <f t="shared" si="65"/>
        <v>2200</v>
      </c>
      <c r="AO83" s="159">
        <v>0.2</v>
      </c>
      <c r="AP83" s="160">
        <f t="shared" si="66"/>
        <v>136701408.10340917</v>
      </c>
      <c r="AQ83" s="161">
        <f t="shared" si="67"/>
        <v>37972.616399867169</v>
      </c>
      <c r="AR83" s="162">
        <f t="shared" si="68"/>
        <v>7594.523279973434</v>
      </c>
      <c r="AS83" s="163">
        <f t="shared" si="69"/>
        <v>1.0836933904071682</v>
      </c>
      <c r="AT83" s="164">
        <f t="shared" si="70"/>
        <v>1.0836933904071682</v>
      </c>
      <c r="AU83" s="165"/>
      <c r="AV83" s="166"/>
      <c r="AW83" s="167"/>
      <c r="AX83" s="146"/>
      <c r="AY83" s="168"/>
    </row>
    <row r="84" spans="1:51" ht="10.9" customHeight="1" x14ac:dyDescent="0.25">
      <c r="B84" s="140">
        <v>10</v>
      </c>
      <c r="C84" s="221" t="s">
        <v>132</v>
      </c>
      <c r="D84" s="235"/>
      <c r="E84" s="236"/>
      <c r="F84" s="236"/>
      <c r="G84" s="236"/>
      <c r="H84" s="236"/>
      <c r="I84" s="236"/>
      <c r="J84" s="236"/>
      <c r="K84" s="236"/>
      <c r="L84" s="236"/>
      <c r="M84" s="236"/>
      <c r="N84" s="236">
        <v>144281</v>
      </c>
      <c r="O84" s="236"/>
      <c r="P84" s="237"/>
      <c r="Q84" s="223">
        <f t="shared" si="50"/>
        <v>144281</v>
      </c>
      <c r="R84" s="147">
        <f t="shared" si="51"/>
        <v>15870.91</v>
      </c>
      <c r="S84" s="147">
        <f t="shared" si="52"/>
        <v>43.481945205479448</v>
      </c>
      <c r="T84" s="148">
        <f t="shared" si="53"/>
        <v>9522.5459999999985</v>
      </c>
      <c r="U84" s="199"/>
      <c r="V84" s="150"/>
      <c r="W84" s="249"/>
      <c r="X84" s="249"/>
      <c r="Y84" s="152"/>
      <c r="Z84" s="153"/>
      <c r="AA84" s="153"/>
      <c r="AB84" s="154"/>
      <c r="AC84" s="155">
        <f t="shared" si="54"/>
        <v>5523.0766799999983</v>
      </c>
      <c r="AD84" s="156">
        <f t="shared" si="55"/>
        <v>1237.9309799999999</v>
      </c>
      <c r="AE84" s="156">
        <f t="shared" si="56"/>
        <v>835.60341149999977</v>
      </c>
      <c r="AF84" s="156">
        <f t="shared" si="57"/>
        <v>380.90183999999994</v>
      </c>
      <c r="AG84" s="156">
        <f t="shared" si="58"/>
        <v>190.45091999999997</v>
      </c>
      <c r="AH84" s="156">
        <f t="shared" si="59"/>
        <v>190.45091999999997</v>
      </c>
      <c r="AI84" s="156">
        <f t="shared" si="60"/>
        <v>95.225459999999984</v>
      </c>
      <c r="AJ84" s="156">
        <f t="shared" si="61"/>
        <v>190.45091999999997</v>
      </c>
      <c r="AK84" s="156">
        <f t="shared" si="62"/>
        <v>190.45091999999997</v>
      </c>
      <c r="AL84" s="156">
        <f t="shared" si="63"/>
        <v>666.57821999999999</v>
      </c>
      <c r="AM84" s="157">
        <f t="shared" si="64"/>
        <v>2930.563531499999</v>
      </c>
      <c r="AN84" s="158">
        <f t="shared" si="65"/>
        <v>2200</v>
      </c>
      <c r="AO84" s="159">
        <v>0.2</v>
      </c>
      <c r="AP84" s="160">
        <f t="shared" si="66"/>
        <v>77866141.842518032</v>
      </c>
      <c r="AQ84" s="161">
        <f t="shared" si="67"/>
        <v>21629.485575502604</v>
      </c>
      <c r="AR84" s="162">
        <f t="shared" si="68"/>
        <v>4325.8971151005208</v>
      </c>
      <c r="AS84" s="163">
        <f t="shared" si="69"/>
        <v>0.61727983948352183</v>
      </c>
      <c r="AT84" s="164">
        <f t="shared" si="70"/>
        <v>0.61727983948352183</v>
      </c>
      <c r="AU84" s="165"/>
      <c r="AV84" s="166"/>
      <c r="AW84" s="167"/>
      <c r="AX84" s="146"/>
      <c r="AY84" s="168"/>
    </row>
    <row r="85" spans="1:51" ht="10.9" customHeight="1" x14ac:dyDescent="0.25">
      <c r="B85" s="140">
        <v>11</v>
      </c>
      <c r="C85" s="221" t="s">
        <v>133</v>
      </c>
      <c r="D85" s="235"/>
      <c r="E85" s="236"/>
      <c r="F85" s="236"/>
      <c r="G85" s="236"/>
      <c r="H85" s="236"/>
      <c r="I85" s="236"/>
      <c r="J85" s="236"/>
      <c r="K85" s="236"/>
      <c r="L85" s="236"/>
      <c r="M85" s="236"/>
      <c r="N85" s="236">
        <v>191422</v>
      </c>
      <c r="O85" s="236"/>
      <c r="P85" s="237"/>
      <c r="Q85" s="223">
        <f t="shared" si="50"/>
        <v>191422</v>
      </c>
      <c r="R85" s="147">
        <f t="shared" si="51"/>
        <v>21056.420000000002</v>
      </c>
      <c r="S85" s="147">
        <f t="shared" si="52"/>
        <v>57.688821917808227</v>
      </c>
      <c r="T85" s="148">
        <f t="shared" si="53"/>
        <v>12633.852000000001</v>
      </c>
      <c r="U85" s="199"/>
      <c r="V85" s="150"/>
      <c r="W85" s="249"/>
      <c r="X85" s="249"/>
      <c r="Y85" s="152"/>
      <c r="Z85" s="153"/>
      <c r="AA85" s="153"/>
      <c r="AB85" s="154"/>
      <c r="AC85" s="155">
        <f t="shared" si="54"/>
        <v>7327.6341599999996</v>
      </c>
      <c r="AD85" s="156">
        <f t="shared" si="55"/>
        <v>1642.4007600000002</v>
      </c>
      <c r="AE85" s="156">
        <f t="shared" si="56"/>
        <v>1108.6205130000001</v>
      </c>
      <c r="AF85" s="156">
        <f t="shared" si="57"/>
        <v>505.35408000000007</v>
      </c>
      <c r="AG85" s="156">
        <f t="shared" si="58"/>
        <v>252.67704000000003</v>
      </c>
      <c r="AH85" s="156">
        <f t="shared" si="59"/>
        <v>252.67704000000003</v>
      </c>
      <c r="AI85" s="156">
        <f t="shared" si="60"/>
        <v>126.33852000000002</v>
      </c>
      <c r="AJ85" s="156">
        <f t="shared" si="61"/>
        <v>252.67704000000003</v>
      </c>
      <c r="AK85" s="156">
        <f t="shared" si="62"/>
        <v>252.67704000000003</v>
      </c>
      <c r="AL85" s="156">
        <f t="shared" si="63"/>
        <v>884.36964000000012</v>
      </c>
      <c r="AM85" s="157">
        <f t="shared" si="64"/>
        <v>3888.0679530000007</v>
      </c>
      <c r="AN85" s="158">
        <f t="shared" si="65"/>
        <v>2200</v>
      </c>
      <c r="AO85" s="159">
        <v>0.2</v>
      </c>
      <c r="AP85" s="160">
        <f t="shared" si="66"/>
        <v>103307383.53475846</v>
      </c>
      <c r="AQ85" s="161">
        <f t="shared" si="67"/>
        <v>28696.497722041429</v>
      </c>
      <c r="AR85" s="162">
        <f t="shared" si="68"/>
        <v>5739.2995444082862</v>
      </c>
      <c r="AS85" s="163">
        <f t="shared" si="69"/>
        <v>0.8189639760856573</v>
      </c>
      <c r="AT85" s="164">
        <f t="shared" si="70"/>
        <v>0.8189639760856573</v>
      </c>
      <c r="AU85" s="165"/>
      <c r="AV85" s="166"/>
      <c r="AW85" s="167"/>
      <c r="AX85" s="146"/>
      <c r="AY85" s="168"/>
    </row>
    <row r="86" spans="1:51" ht="10.9" customHeight="1" x14ac:dyDescent="0.25">
      <c r="B86" s="140">
        <v>12</v>
      </c>
      <c r="C86" s="221" t="s">
        <v>134</v>
      </c>
      <c r="D86" s="235"/>
      <c r="E86" s="236"/>
      <c r="F86" s="236"/>
      <c r="G86" s="236"/>
      <c r="H86" s="236"/>
      <c r="I86" s="236"/>
      <c r="J86" s="236"/>
      <c r="K86" s="236"/>
      <c r="L86" s="236"/>
      <c r="M86" s="236"/>
      <c r="N86" s="236">
        <v>365129</v>
      </c>
      <c r="O86" s="236"/>
      <c r="P86" s="237"/>
      <c r="Q86" s="223">
        <f t="shared" si="50"/>
        <v>365129</v>
      </c>
      <c r="R86" s="147">
        <f t="shared" si="51"/>
        <v>40164.19</v>
      </c>
      <c r="S86" s="147">
        <f t="shared" si="52"/>
        <v>110.03887671232877</v>
      </c>
      <c r="T86" s="148">
        <f t="shared" si="53"/>
        <v>24098.513999999999</v>
      </c>
      <c r="U86" s="199"/>
      <c r="V86" s="150"/>
      <c r="W86" s="249"/>
      <c r="X86" s="249"/>
      <c r="Y86" s="152"/>
      <c r="Z86" s="153"/>
      <c r="AA86" s="153"/>
      <c r="AB86" s="154"/>
      <c r="AC86" s="155">
        <f t="shared" si="54"/>
        <v>13977.138119999998</v>
      </c>
      <c r="AD86" s="156">
        <f t="shared" si="55"/>
        <v>3132.8068199999998</v>
      </c>
      <c r="AE86" s="156">
        <f t="shared" si="56"/>
        <v>2114.6446034999999</v>
      </c>
      <c r="AF86" s="156">
        <f t="shared" si="57"/>
        <v>963.94056</v>
      </c>
      <c r="AG86" s="156">
        <f t="shared" si="58"/>
        <v>481.97028</v>
      </c>
      <c r="AH86" s="156">
        <f t="shared" si="59"/>
        <v>481.97028</v>
      </c>
      <c r="AI86" s="156">
        <f t="shared" si="60"/>
        <v>240.98514</v>
      </c>
      <c r="AJ86" s="156">
        <f t="shared" si="61"/>
        <v>481.97028</v>
      </c>
      <c r="AK86" s="156">
        <f t="shared" si="62"/>
        <v>481.97028</v>
      </c>
      <c r="AL86" s="156">
        <f t="shared" si="63"/>
        <v>1686.89598</v>
      </c>
      <c r="AM86" s="157">
        <f t="shared" si="64"/>
        <v>7416.3176834999986</v>
      </c>
      <c r="AN86" s="158">
        <f t="shared" si="65"/>
        <v>2200</v>
      </c>
      <c r="AO86" s="159">
        <v>0.2</v>
      </c>
      <c r="AP86" s="160">
        <f t="shared" si="66"/>
        <v>197054265.66780633</v>
      </c>
      <c r="AQ86" s="161">
        <f t="shared" si="67"/>
        <v>54737.30039781877</v>
      </c>
      <c r="AR86" s="162">
        <f t="shared" si="68"/>
        <v>10947.460079563754</v>
      </c>
      <c r="AS86" s="163">
        <f t="shared" si="69"/>
        <v>1.5621375684309011</v>
      </c>
      <c r="AT86" s="164">
        <f t="shared" si="70"/>
        <v>1.5621375684309011</v>
      </c>
      <c r="AU86" s="165"/>
      <c r="AV86" s="166"/>
      <c r="AW86" s="167"/>
      <c r="AX86" s="146"/>
      <c r="AY86" s="168"/>
    </row>
    <row r="87" spans="1:51" ht="10.9" customHeight="1" x14ac:dyDescent="0.25">
      <c r="B87" s="140">
        <v>13</v>
      </c>
      <c r="C87" s="238" t="s">
        <v>135</v>
      </c>
      <c r="D87" s="235"/>
      <c r="E87" s="236"/>
      <c r="F87" s="236"/>
      <c r="G87" s="236"/>
      <c r="H87" s="236"/>
      <c r="I87" s="236"/>
      <c r="J87" s="236"/>
      <c r="K87" s="236"/>
      <c r="L87" s="236"/>
      <c r="M87" s="236"/>
      <c r="N87" s="236">
        <v>833562</v>
      </c>
      <c r="O87" s="236"/>
      <c r="P87" s="237"/>
      <c r="Q87" s="223">
        <f t="shared" si="50"/>
        <v>833562</v>
      </c>
      <c r="R87" s="147">
        <f>Q87*$R$9</f>
        <v>121700.052</v>
      </c>
      <c r="S87" s="147">
        <f t="shared" si="52"/>
        <v>333.4248</v>
      </c>
      <c r="T87" s="148">
        <f>S87*$T$5*$T$9</f>
        <v>85190.036399999997</v>
      </c>
      <c r="U87" s="199"/>
      <c r="V87" s="150"/>
      <c r="W87" s="249"/>
      <c r="X87" s="249"/>
      <c r="Y87" s="152"/>
      <c r="Z87" s="153"/>
      <c r="AA87" s="153"/>
      <c r="AB87" s="154"/>
      <c r="AC87" s="155">
        <f t="shared" si="54"/>
        <v>49410.221111999992</v>
      </c>
      <c r="AD87" s="156">
        <f t="shared" si="55"/>
        <v>11074.704732</v>
      </c>
      <c r="AE87" s="156">
        <f t="shared" si="56"/>
        <v>7475.4256940999994</v>
      </c>
      <c r="AF87" s="156">
        <f t="shared" si="57"/>
        <v>3407.6014559999999</v>
      </c>
      <c r="AG87" s="156">
        <f t="shared" si="58"/>
        <v>1703.8007279999999</v>
      </c>
      <c r="AH87" s="156">
        <f t="shared" si="59"/>
        <v>1703.8007279999999</v>
      </c>
      <c r="AI87" s="156">
        <f t="shared" si="60"/>
        <v>851.90036399999997</v>
      </c>
      <c r="AJ87" s="156">
        <f t="shared" si="61"/>
        <v>1703.8007279999999</v>
      </c>
      <c r="AK87" s="156">
        <f t="shared" si="62"/>
        <v>1703.8007279999999</v>
      </c>
      <c r="AL87" s="156">
        <f t="shared" si="63"/>
        <v>5963.3025480000006</v>
      </c>
      <c r="AM87" s="157">
        <f t="shared" si="64"/>
        <v>26217.233702099998</v>
      </c>
      <c r="AN87" s="158">
        <f t="shared" si="65"/>
        <v>2200</v>
      </c>
      <c r="AO87" s="159">
        <v>0.2</v>
      </c>
      <c r="AP87" s="160">
        <f t="shared" si="66"/>
        <v>696601461.19448245</v>
      </c>
      <c r="AQ87" s="161">
        <f t="shared" si="67"/>
        <v>193500.42136738871</v>
      </c>
      <c r="AR87" s="162">
        <f t="shared" si="68"/>
        <v>38700.084273477747</v>
      </c>
      <c r="AS87" s="163">
        <f t="shared" si="69"/>
        <v>5.5222722992976241</v>
      </c>
      <c r="AT87" s="233">
        <f t="shared" si="70"/>
        <v>5.5222722992976241</v>
      </c>
      <c r="AU87" s="187"/>
      <c r="AV87" s="166"/>
      <c r="AW87" s="167"/>
      <c r="AX87" s="146"/>
      <c r="AY87" s="168"/>
    </row>
    <row r="88" spans="1:51" ht="10.9" customHeight="1" x14ac:dyDescent="0.25">
      <c r="B88" s="140">
        <v>14</v>
      </c>
      <c r="C88" s="221" t="s">
        <v>136</v>
      </c>
      <c r="D88" s="235"/>
      <c r="E88" s="236"/>
      <c r="F88" s="236"/>
      <c r="G88" s="236"/>
      <c r="H88" s="236"/>
      <c r="I88" s="236"/>
      <c r="J88" s="236"/>
      <c r="K88" s="236"/>
      <c r="L88" s="236"/>
      <c r="M88" s="236"/>
      <c r="N88" s="236">
        <v>59396</v>
      </c>
      <c r="O88" s="236"/>
      <c r="P88" s="237"/>
      <c r="Q88" s="223">
        <f t="shared" si="50"/>
        <v>59396</v>
      </c>
      <c r="R88" s="147">
        <f t="shared" ref="R88:R93" si="71">Q88*$R$10</f>
        <v>6533.56</v>
      </c>
      <c r="S88" s="147">
        <f t="shared" si="52"/>
        <v>17.900164383561645</v>
      </c>
      <c r="T88" s="148">
        <f t="shared" ref="T88:T93" si="72">S88*$T$5*$T$10</f>
        <v>3920.136</v>
      </c>
      <c r="U88" s="199"/>
      <c r="V88" s="150"/>
      <c r="W88" s="249"/>
      <c r="X88" s="249"/>
      <c r="Y88" s="152"/>
      <c r="Z88" s="153"/>
      <c r="AA88" s="153"/>
      <c r="AB88" s="154"/>
      <c r="AC88" s="155">
        <f t="shared" si="54"/>
        <v>2273.6788799999999</v>
      </c>
      <c r="AD88" s="156">
        <f t="shared" si="55"/>
        <v>509.61768000000001</v>
      </c>
      <c r="AE88" s="156">
        <f t="shared" si="56"/>
        <v>343.99193399999996</v>
      </c>
      <c r="AF88" s="156">
        <f t="shared" si="57"/>
        <v>156.80544</v>
      </c>
      <c r="AG88" s="156">
        <f t="shared" si="58"/>
        <v>78.402720000000002</v>
      </c>
      <c r="AH88" s="156">
        <f t="shared" si="59"/>
        <v>78.402720000000002</v>
      </c>
      <c r="AI88" s="156">
        <f t="shared" si="60"/>
        <v>39.201360000000001</v>
      </c>
      <c r="AJ88" s="156">
        <f t="shared" si="61"/>
        <v>78.402720000000002</v>
      </c>
      <c r="AK88" s="156">
        <f t="shared" si="62"/>
        <v>78.402720000000002</v>
      </c>
      <c r="AL88" s="156">
        <f t="shared" si="63"/>
        <v>274.40952000000004</v>
      </c>
      <c r="AM88" s="157">
        <f t="shared" si="64"/>
        <v>1206.4218539999999</v>
      </c>
      <c r="AN88" s="158">
        <f t="shared" si="65"/>
        <v>2200</v>
      </c>
      <c r="AO88" s="159">
        <v>0.2</v>
      </c>
      <c r="AP88" s="160">
        <f t="shared" si="66"/>
        <v>32055068.656844638</v>
      </c>
      <c r="AQ88" s="161">
        <f t="shared" si="67"/>
        <v>8904.1864503472589</v>
      </c>
      <c r="AR88" s="162">
        <f t="shared" si="68"/>
        <v>1780.8372900694519</v>
      </c>
      <c r="AS88" s="163">
        <f t="shared" si="69"/>
        <v>0.25411491011265008</v>
      </c>
      <c r="AT88" s="164">
        <f t="shared" si="70"/>
        <v>0.25411491011265008</v>
      </c>
      <c r="AU88" s="165"/>
      <c r="AV88" s="166"/>
      <c r="AW88" s="167"/>
      <c r="AX88" s="146"/>
      <c r="AY88" s="168"/>
    </row>
    <row r="89" spans="1:51" ht="10.9" customHeight="1" x14ac:dyDescent="0.25">
      <c r="B89" s="140">
        <v>15</v>
      </c>
      <c r="C89" s="221" t="s">
        <v>137</v>
      </c>
      <c r="D89" s="235"/>
      <c r="E89" s="236"/>
      <c r="F89" s="236"/>
      <c r="G89" s="236"/>
      <c r="H89" s="236"/>
      <c r="I89" s="236"/>
      <c r="J89" s="236"/>
      <c r="K89" s="236"/>
      <c r="L89" s="236"/>
      <c r="M89" s="236"/>
      <c r="N89" s="236">
        <v>56866</v>
      </c>
      <c r="O89" s="236"/>
      <c r="P89" s="237"/>
      <c r="Q89" s="223">
        <f t="shared" si="50"/>
        <v>56866</v>
      </c>
      <c r="R89" s="147">
        <f t="shared" si="71"/>
        <v>6255.26</v>
      </c>
      <c r="S89" s="147">
        <f t="shared" si="52"/>
        <v>17.137698630136988</v>
      </c>
      <c r="T89" s="148">
        <f t="shared" si="72"/>
        <v>3753.1560000000004</v>
      </c>
      <c r="U89" s="199"/>
      <c r="V89" s="150"/>
      <c r="W89" s="249"/>
      <c r="X89" s="249"/>
      <c r="Y89" s="152"/>
      <c r="Z89" s="153"/>
      <c r="AA89" s="153"/>
      <c r="AB89" s="154"/>
      <c r="AC89" s="155">
        <f t="shared" si="54"/>
        <v>2176.8304800000001</v>
      </c>
      <c r="AD89" s="156">
        <f t="shared" si="55"/>
        <v>487.91028000000006</v>
      </c>
      <c r="AE89" s="156">
        <f t="shared" si="56"/>
        <v>329.33943900000003</v>
      </c>
      <c r="AF89" s="156">
        <f t="shared" si="57"/>
        <v>150.12624000000002</v>
      </c>
      <c r="AG89" s="156">
        <f t="shared" si="58"/>
        <v>75.063120000000012</v>
      </c>
      <c r="AH89" s="156">
        <f t="shared" si="59"/>
        <v>75.063120000000012</v>
      </c>
      <c r="AI89" s="156">
        <f t="shared" si="60"/>
        <v>37.531560000000006</v>
      </c>
      <c r="AJ89" s="156">
        <f t="shared" si="61"/>
        <v>75.063120000000012</v>
      </c>
      <c r="AK89" s="156">
        <f t="shared" si="62"/>
        <v>75.063120000000012</v>
      </c>
      <c r="AL89" s="156">
        <f t="shared" si="63"/>
        <v>262.72092000000004</v>
      </c>
      <c r="AM89" s="157">
        <f t="shared" si="64"/>
        <v>1155.0337590000001</v>
      </c>
      <c r="AN89" s="158">
        <f t="shared" si="65"/>
        <v>2200</v>
      </c>
      <c r="AO89" s="159">
        <v>0.2</v>
      </c>
      <c r="AP89" s="160">
        <f t="shared" si="66"/>
        <v>30689668.230859444</v>
      </c>
      <c r="AQ89" s="161">
        <f t="shared" si="67"/>
        <v>8524.9085238980279</v>
      </c>
      <c r="AR89" s="162">
        <f t="shared" si="68"/>
        <v>1704.9817047796057</v>
      </c>
      <c r="AS89" s="163">
        <f t="shared" si="69"/>
        <v>0.24329076837608529</v>
      </c>
      <c r="AT89" s="164">
        <f t="shared" si="70"/>
        <v>0.24329076837608529</v>
      </c>
      <c r="AU89" s="165"/>
      <c r="AV89" s="166"/>
      <c r="AW89" s="167"/>
      <c r="AX89" s="146"/>
      <c r="AY89" s="168"/>
    </row>
    <row r="90" spans="1:51" ht="10.9" customHeight="1" x14ac:dyDescent="0.25">
      <c r="B90" s="140">
        <v>16</v>
      </c>
      <c r="C90" s="221" t="s">
        <v>138</v>
      </c>
      <c r="D90" s="235"/>
      <c r="E90" s="236"/>
      <c r="F90" s="236"/>
      <c r="G90" s="236"/>
      <c r="H90" s="236"/>
      <c r="I90" s="236"/>
      <c r="J90" s="236"/>
      <c r="K90" s="236"/>
      <c r="L90" s="236"/>
      <c r="M90" s="236"/>
      <c r="N90" s="236">
        <v>47008</v>
      </c>
      <c r="O90" s="236"/>
      <c r="P90" s="237"/>
      <c r="Q90" s="223">
        <f t="shared" si="50"/>
        <v>47008</v>
      </c>
      <c r="R90" s="147">
        <f t="shared" si="71"/>
        <v>5170.88</v>
      </c>
      <c r="S90" s="147">
        <f t="shared" si="52"/>
        <v>14.166794520547946</v>
      </c>
      <c r="T90" s="148">
        <f t="shared" si="72"/>
        <v>3102.5279999999998</v>
      </c>
      <c r="U90" s="199"/>
      <c r="V90" s="150"/>
      <c r="W90" s="249"/>
      <c r="X90" s="249"/>
      <c r="Y90" s="152"/>
      <c r="Z90" s="153"/>
      <c r="AA90" s="153"/>
      <c r="AB90" s="154"/>
      <c r="AC90" s="155">
        <f t="shared" si="54"/>
        <v>1799.4662399999997</v>
      </c>
      <c r="AD90" s="156">
        <f t="shared" si="55"/>
        <v>403.32864000000001</v>
      </c>
      <c r="AE90" s="156">
        <f t="shared" si="56"/>
        <v>272.24683199999998</v>
      </c>
      <c r="AF90" s="156">
        <f t="shared" si="57"/>
        <v>124.10111999999999</v>
      </c>
      <c r="AG90" s="156">
        <f t="shared" si="58"/>
        <v>62.050559999999997</v>
      </c>
      <c r="AH90" s="156">
        <f t="shared" si="59"/>
        <v>62.050559999999997</v>
      </c>
      <c r="AI90" s="156">
        <f t="shared" si="60"/>
        <v>31.025279999999999</v>
      </c>
      <c r="AJ90" s="156">
        <f t="shared" si="61"/>
        <v>62.050559999999997</v>
      </c>
      <c r="AK90" s="156">
        <f t="shared" si="62"/>
        <v>62.050559999999997</v>
      </c>
      <c r="AL90" s="156">
        <f t="shared" si="63"/>
        <v>217.17696000000001</v>
      </c>
      <c r="AM90" s="157">
        <f t="shared" si="64"/>
        <v>954.80299200000002</v>
      </c>
      <c r="AN90" s="158">
        <f t="shared" si="65"/>
        <v>2200</v>
      </c>
      <c r="AO90" s="159">
        <v>0.2</v>
      </c>
      <c r="AP90" s="160">
        <f t="shared" si="66"/>
        <v>25369463.725182716</v>
      </c>
      <c r="AQ90" s="161">
        <f t="shared" si="67"/>
        <v>7047.0738207610593</v>
      </c>
      <c r="AR90" s="162">
        <f t="shared" si="68"/>
        <v>1409.414764152212</v>
      </c>
      <c r="AS90" s="163">
        <f t="shared" si="69"/>
        <v>0.20111512045550969</v>
      </c>
      <c r="AT90" s="164">
        <f t="shared" si="70"/>
        <v>0.20111512045550969</v>
      </c>
      <c r="AU90" s="165"/>
      <c r="AV90" s="166"/>
      <c r="AW90" s="167"/>
      <c r="AX90" s="146"/>
      <c r="AY90" s="168"/>
    </row>
    <row r="91" spans="1:51" ht="10.9" customHeight="1" x14ac:dyDescent="0.25">
      <c r="B91" s="140">
        <v>17</v>
      </c>
      <c r="C91" s="221" t="s">
        <v>139</v>
      </c>
      <c r="D91" s="235"/>
      <c r="E91" s="236"/>
      <c r="F91" s="236"/>
      <c r="G91" s="236"/>
      <c r="H91" s="236"/>
      <c r="I91" s="236"/>
      <c r="J91" s="236"/>
      <c r="K91" s="236"/>
      <c r="L91" s="236"/>
      <c r="M91" s="236"/>
      <c r="N91" s="236">
        <v>111312</v>
      </c>
      <c r="O91" s="236"/>
      <c r="P91" s="237"/>
      <c r="Q91" s="223">
        <f t="shared" si="50"/>
        <v>111312</v>
      </c>
      <c r="R91" s="147">
        <f t="shared" si="71"/>
        <v>12244.32</v>
      </c>
      <c r="S91" s="147">
        <f t="shared" si="52"/>
        <v>33.546082191780819</v>
      </c>
      <c r="T91" s="148">
        <f t="shared" si="72"/>
        <v>7346.5919999999996</v>
      </c>
      <c r="U91" s="199"/>
      <c r="V91" s="150"/>
      <c r="W91" s="249"/>
      <c r="X91" s="249"/>
      <c r="Y91" s="152"/>
      <c r="Z91" s="153"/>
      <c r="AA91" s="153"/>
      <c r="AB91" s="154"/>
      <c r="AC91" s="155">
        <f t="shared" si="54"/>
        <v>4261.0233599999992</v>
      </c>
      <c r="AD91" s="156">
        <f t="shared" si="55"/>
        <v>955.05696</v>
      </c>
      <c r="AE91" s="156">
        <f t="shared" si="56"/>
        <v>644.6634479999999</v>
      </c>
      <c r="AF91" s="156">
        <f t="shared" si="57"/>
        <v>293.86367999999999</v>
      </c>
      <c r="AG91" s="156">
        <f t="shared" si="58"/>
        <v>146.93183999999999</v>
      </c>
      <c r="AH91" s="156">
        <f t="shared" si="59"/>
        <v>146.93183999999999</v>
      </c>
      <c r="AI91" s="156">
        <f t="shared" si="60"/>
        <v>73.465919999999997</v>
      </c>
      <c r="AJ91" s="156">
        <f t="shared" si="61"/>
        <v>146.93183999999999</v>
      </c>
      <c r="AK91" s="156">
        <f t="shared" si="62"/>
        <v>146.93183999999999</v>
      </c>
      <c r="AL91" s="156">
        <f t="shared" si="63"/>
        <v>514.26143999999999</v>
      </c>
      <c r="AM91" s="157">
        <f t="shared" si="64"/>
        <v>2260.9136880000001</v>
      </c>
      <c r="AN91" s="158">
        <f t="shared" si="65"/>
        <v>2200</v>
      </c>
      <c r="AO91" s="159">
        <v>0.2</v>
      </c>
      <c r="AP91" s="160">
        <f t="shared" si="66"/>
        <v>60073301.271646075</v>
      </c>
      <c r="AQ91" s="161">
        <f t="shared" si="67"/>
        <v>16687.029465975047</v>
      </c>
      <c r="AR91" s="162">
        <f t="shared" si="68"/>
        <v>3337.4058931950094</v>
      </c>
      <c r="AS91" s="163">
        <f t="shared" si="69"/>
        <v>0.47622800987371711</v>
      </c>
      <c r="AT91" s="164">
        <f t="shared" si="70"/>
        <v>0.47622800987371711</v>
      </c>
      <c r="AU91" s="165"/>
      <c r="AV91" s="166"/>
      <c r="AW91" s="167"/>
      <c r="AX91" s="146"/>
      <c r="AY91" s="168"/>
    </row>
    <row r="92" spans="1:51" ht="10.9" customHeight="1" x14ac:dyDescent="0.25">
      <c r="B92" s="140">
        <v>18</v>
      </c>
      <c r="C92" s="221" t="s">
        <v>140</v>
      </c>
      <c r="D92" s="235"/>
      <c r="E92" s="236"/>
      <c r="F92" s="236"/>
      <c r="G92" s="236"/>
      <c r="H92" s="236"/>
      <c r="I92" s="236"/>
      <c r="J92" s="236"/>
      <c r="K92" s="236"/>
      <c r="L92" s="236"/>
      <c r="M92" s="236"/>
      <c r="N92" s="236">
        <v>116825</v>
      </c>
      <c r="O92" s="236"/>
      <c r="P92" s="237"/>
      <c r="Q92" s="223">
        <f t="shared" si="50"/>
        <v>116825</v>
      </c>
      <c r="R92" s="147">
        <f t="shared" si="71"/>
        <v>12850.75</v>
      </c>
      <c r="S92" s="147">
        <f t="shared" si="52"/>
        <v>35.207534246575342</v>
      </c>
      <c r="T92" s="148">
        <f t="shared" si="72"/>
        <v>7710.45</v>
      </c>
      <c r="U92" s="199"/>
      <c r="V92" s="150"/>
      <c r="W92" s="249"/>
      <c r="X92" s="249"/>
      <c r="Y92" s="152"/>
      <c r="Z92" s="153"/>
      <c r="AA92" s="153"/>
      <c r="AB92" s="154"/>
      <c r="AC92" s="155">
        <f t="shared" si="54"/>
        <v>4472.0609999999997</v>
      </c>
      <c r="AD92" s="156">
        <f t="shared" si="55"/>
        <v>1002.3585</v>
      </c>
      <c r="AE92" s="156">
        <f t="shared" si="56"/>
        <v>676.59198749999996</v>
      </c>
      <c r="AF92" s="156">
        <f t="shared" si="57"/>
        <v>308.41800000000001</v>
      </c>
      <c r="AG92" s="156">
        <f t="shared" si="58"/>
        <v>154.209</v>
      </c>
      <c r="AH92" s="156">
        <f t="shared" si="59"/>
        <v>154.209</v>
      </c>
      <c r="AI92" s="156">
        <f t="shared" si="60"/>
        <v>77.104500000000002</v>
      </c>
      <c r="AJ92" s="156">
        <f t="shared" si="61"/>
        <v>154.209</v>
      </c>
      <c r="AK92" s="156">
        <f t="shared" si="62"/>
        <v>154.209</v>
      </c>
      <c r="AL92" s="156">
        <f t="shared" si="63"/>
        <v>539.73149999999998</v>
      </c>
      <c r="AM92" s="157">
        <f t="shared" si="64"/>
        <v>2372.8909874999995</v>
      </c>
      <c r="AN92" s="158">
        <f t="shared" si="65"/>
        <v>2200</v>
      </c>
      <c r="AO92" s="159">
        <v>0.2</v>
      </c>
      <c r="AP92" s="160">
        <f t="shared" si="66"/>
        <v>63048578.958782986</v>
      </c>
      <c r="AQ92" s="161">
        <f t="shared" si="67"/>
        <v>17513.495556297028</v>
      </c>
      <c r="AR92" s="162">
        <f t="shared" si="68"/>
        <v>3502.699111259406</v>
      </c>
      <c r="AS92" s="163">
        <f t="shared" si="69"/>
        <v>0.49981437089888786</v>
      </c>
      <c r="AT92" s="164">
        <f t="shared" si="70"/>
        <v>0.49981437089888786</v>
      </c>
      <c r="AU92" s="165"/>
      <c r="AV92" s="166"/>
      <c r="AW92" s="167"/>
      <c r="AX92" s="146"/>
      <c r="AY92" s="168"/>
    </row>
    <row r="93" spans="1:51" ht="10.9" customHeight="1" x14ac:dyDescent="0.25">
      <c r="B93" s="140">
        <v>19</v>
      </c>
      <c r="C93" s="221" t="s">
        <v>141</v>
      </c>
      <c r="D93" s="235"/>
      <c r="E93" s="236"/>
      <c r="F93" s="236"/>
      <c r="G93" s="236"/>
      <c r="H93" s="236"/>
      <c r="I93" s="236"/>
      <c r="J93" s="236"/>
      <c r="K93" s="236"/>
      <c r="L93" s="236"/>
      <c r="M93" s="236"/>
      <c r="N93" s="236">
        <v>79043</v>
      </c>
      <c r="O93" s="236"/>
      <c r="P93" s="237"/>
      <c r="Q93" s="223">
        <f t="shared" si="50"/>
        <v>79043</v>
      </c>
      <c r="R93" s="147">
        <f t="shared" si="71"/>
        <v>8694.73</v>
      </c>
      <c r="S93" s="147">
        <f t="shared" si="52"/>
        <v>23.821178082191778</v>
      </c>
      <c r="T93" s="148">
        <f t="shared" si="72"/>
        <v>5216.8379999999997</v>
      </c>
      <c r="U93" s="199"/>
      <c r="V93" s="150"/>
      <c r="W93" s="249"/>
      <c r="X93" s="249"/>
      <c r="Y93" s="152"/>
      <c r="Z93" s="153"/>
      <c r="AA93" s="153"/>
      <c r="AB93" s="154"/>
      <c r="AC93" s="155">
        <f t="shared" si="54"/>
        <v>3025.7660399999995</v>
      </c>
      <c r="AD93" s="156">
        <f t="shared" si="55"/>
        <v>678.18894</v>
      </c>
      <c r="AE93" s="156">
        <f t="shared" si="56"/>
        <v>457.77753449999994</v>
      </c>
      <c r="AF93" s="156">
        <f t="shared" si="57"/>
        <v>208.67352</v>
      </c>
      <c r="AG93" s="156">
        <f t="shared" si="58"/>
        <v>104.33676</v>
      </c>
      <c r="AH93" s="156">
        <f t="shared" si="59"/>
        <v>104.33676</v>
      </c>
      <c r="AI93" s="156">
        <f t="shared" si="60"/>
        <v>52.168379999999999</v>
      </c>
      <c r="AJ93" s="156">
        <f t="shared" si="61"/>
        <v>104.33676</v>
      </c>
      <c r="AK93" s="156">
        <f t="shared" si="62"/>
        <v>104.33676</v>
      </c>
      <c r="AL93" s="156">
        <f t="shared" si="63"/>
        <v>365.17866000000004</v>
      </c>
      <c r="AM93" s="157">
        <f t="shared" si="64"/>
        <v>1605.4818945</v>
      </c>
      <c r="AN93" s="158">
        <f t="shared" si="65"/>
        <v>2200</v>
      </c>
      <c r="AO93" s="159">
        <v>0.2</v>
      </c>
      <c r="AP93" s="160">
        <f t="shared" si="66"/>
        <v>42658239.474762112</v>
      </c>
      <c r="AQ93" s="161">
        <f t="shared" si="67"/>
        <v>11849.511913172575</v>
      </c>
      <c r="AR93" s="162">
        <f t="shared" si="68"/>
        <v>2369.9023826345151</v>
      </c>
      <c r="AS93" s="163">
        <f t="shared" si="69"/>
        <v>0.33817100208825845</v>
      </c>
      <c r="AT93" s="164">
        <f t="shared" si="70"/>
        <v>0.33817100208825845</v>
      </c>
      <c r="AU93" s="165"/>
      <c r="AV93" s="166"/>
      <c r="AW93" s="167"/>
      <c r="AX93" s="146"/>
      <c r="AY93" s="168"/>
    </row>
    <row r="94" spans="1:51" s="263" customFormat="1" ht="16.7" customHeight="1" x14ac:dyDescent="0.25">
      <c r="A94" s="173"/>
      <c r="B94" s="225"/>
      <c r="C94" s="121" t="s">
        <v>142</v>
      </c>
      <c r="D94" s="240">
        <f>SUM(D75:D93)</f>
        <v>0</v>
      </c>
      <c r="E94" s="240">
        <f t="shared" ref="E94:P94" si="73">SUM(E75:E93)</f>
        <v>0</v>
      </c>
      <c r="F94" s="240">
        <f t="shared" si="73"/>
        <v>0</v>
      </c>
      <c r="G94" s="240">
        <f t="shared" si="73"/>
        <v>0</v>
      </c>
      <c r="H94" s="240">
        <f t="shared" si="73"/>
        <v>0</v>
      </c>
      <c r="I94" s="240">
        <f t="shared" si="73"/>
        <v>0</v>
      </c>
      <c r="J94" s="240">
        <v>4632152</v>
      </c>
      <c r="K94" s="240">
        <v>4697764</v>
      </c>
      <c r="L94" s="240">
        <v>4763099</v>
      </c>
      <c r="M94" s="240">
        <v>4827973</v>
      </c>
      <c r="N94" s="240">
        <f>SUM(N75:N93)</f>
        <v>4846909</v>
      </c>
      <c r="O94" s="240">
        <f t="shared" si="73"/>
        <v>0</v>
      </c>
      <c r="P94" s="240">
        <f t="shared" si="73"/>
        <v>0</v>
      </c>
      <c r="Q94" s="240">
        <f>SUM(Q75:Q93)</f>
        <v>4846909</v>
      </c>
      <c r="R94" s="240">
        <f>SUM(R75:R93)</f>
        <v>563168.22199999983</v>
      </c>
      <c r="S94" s="240">
        <f>SUM(S75:S93)</f>
        <v>1542.9266356164385</v>
      </c>
      <c r="T94" s="240">
        <f>SUM(T75:T93)</f>
        <v>350070.93840000004</v>
      </c>
      <c r="U94" s="199"/>
      <c r="V94" s="179"/>
      <c r="W94" s="180"/>
      <c r="X94" s="180"/>
      <c r="Y94" s="227"/>
      <c r="Z94" s="181"/>
      <c r="AA94" s="181"/>
      <c r="AB94" s="182"/>
      <c r="AC94" s="240">
        <f>SUM(AC75:AC93)</f>
        <v>203041.14427199998</v>
      </c>
      <c r="AD94" s="244">
        <f t="shared" ref="AD94:AL94" si="74">SUM(AD75:AD93)</f>
        <v>45509.221992000006</v>
      </c>
      <c r="AE94" s="244">
        <f t="shared" si="74"/>
        <v>30718.724844600001</v>
      </c>
      <c r="AF94" s="244">
        <f t="shared" si="74"/>
        <v>14002.837535999997</v>
      </c>
      <c r="AG94" s="244">
        <f t="shared" si="74"/>
        <v>7001.4187679999986</v>
      </c>
      <c r="AH94" s="244">
        <f t="shared" si="74"/>
        <v>7001.4187679999986</v>
      </c>
      <c r="AI94" s="244">
        <f t="shared" si="74"/>
        <v>3500.7093839999993</v>
      </c>
      <c r="AJ94" s="244">
        <f t="shared" si="74"/>
        <v>7001.4187679999986</v>
      </c>
      <c r="AK94" s="244">
        <f t="shared" si="74"/>
        <v>7001.4187679999986</v>
      </c>
      <c r="AL94" s="244">
        <f t="shared" si="74"/>
        <v>24504.965688000004</v>
      </c>
      <c r="AM94" s="245">
        <f>SUM(AM75:AM93)</f>
        <v>107734.33129259998</v>
      </c>
      <c r="AN94" s="261"/>
      <c r="AO94" s="262"/>
      <c r="AP94" s="184">
        <f>SUM(AP75:AP93)</f>
        <v>2862540474.4065075</v>
      </c>
      <c r="AQ94" s="184">
        <f t="shared" ref="AQ94:AX94" si="75">SUM(AQ75:AQ93)</f>
        <v>795150.19539159595</v>
      </c>
      <c r="AR94" s="184">
        <f t="shared" si="75"/>
        <v>159030.03907831921</v>
      </c>
      <c r="AS94" s="185">
        <f t="shared" si="75"/>
        <v>22.692642562545554</v>
      </c>
      <c r="AT94" s="186">
        <f t="shared" si="75"/>
        <v>22.692642562545554</v>
      </c>
      <c r="AU94" s="187"/>
      <c r="AV94" s="246">
        <f t="shared" si="75"/>
        <v>0</v>
      </c>
      <c r="AW94" s="246"/>
      <c r="AX94" s="185">
        <f t="shared" si="75"/>
        <v>0</v>
      </c>
      <c r="AY94" s="189"/>
    </row>
    <row r="95" spans="1:51" s="139" customFormat="1" ht="10.9" customHeight="1" x14ac:dyDescent="0.25">
      <c r="B95" s="247"/>
      <c r="C95" s="152"/>
      <c r="D95" s="247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248"/>
      <c r="Q95" s="249"/>
      <c r="R95" s="250"/>
      <c r="S95" s="250"/>
      <c r="T95" s="251"/>
      <c r="U95" s="199"/>
      <c r="V95" s="179"/>
      <c r="W95" s="249"/>
      <c r="X95" s="249"/>
      <c r="Y95" s="152"/>
      <c r="Z95" s="153"/>
      <c r="AA95" s="153"/>
      <c r="AB95" s="154"/>
      <c r="AC95" s="247"/>
      <c r="AD95" s="252"/>
      <c r="AE95" s="252"/>
      <c r="AF95" s="252"/>
      <c r="AG95" s="252"/>
      <c r="AH95" s="252"/>
      <c r="AI95" s="252"/>
      <c r="AJ95" s="252"/>
      <c r="AK95" s="252"/>
      <c r="AL95" s="252"/>
      <c r="AM95" s="214"/>
      <c r="AN95" s="203"/>
      <c r="AO95" s="204"/>
      <c r="AP95" s="203"/>
      <c r="AQ95" s="205"/>
      <c r="AR95" s="206"/>
      <c r="AS95" s="253"/>
      <c r="AT95" s="254"/>
      <c r="AU95" s="255"/>
      <c r="AV95" s="256"/>
      <c r="AW95" s="257"/>
      <c r="AX95" s="214"/>
      <c r="AY95" s="212"/>
    </row>
    <row r="96" spans="1:51" s="139" customFormat="1" ht="15" customHeight="1" x14ac:dyDescent="0.25">
      <c r="A96" s="1"/>
      <c r="B96" s="120"/>
      <c r="C96" s="258" t="s">
        <v>143</v>
      </c>
      <c r="D96" s="122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213"/>
      <c r="Q96" s="76"/>
      <c r="R96" s="108"/>
      <c r="S96" s="108"/>
      <c r="T96" s="94"/>
      <c r="U96" s="199"/>
      <c r="V96" s="179"/>
      <c r="W96" s="180"/>
      <c r="X96" s="180"/>
      <c r="Y96" s="214"/>
      <c r="Z96" s="181"/>
      <c r="AA96" s="181"/>
      <c r="AB96" s="182"/>
      <c r="AC96" s="62"/>
      <c r="AD96" s="215"/>
      <c r="AE96" s="215"/>
      <c r="AF96" s="215"/>
      <c r="AG96" s="215"/>
      <c r="AH96" s="215"/>
      <c r="AI96" s="215"/>
      <c r="AJ96" s="215"/>
      <c r="AK96" s="215"/>
      <c r="AL96" s="215"/>
      <c r="AM96" s="125"/>
      <c r="AN96" s="75"/>
      <c r="AO96" s="216"/>
      <c r="AP96" s="75"/>
      <c r="AQ96" s="51"/>
      <c r="AR96" s="259"/>
      <c r="AS96" s="218"/>
      <c r="AT96" s="219"/>
      <c r="AU96" s="220"/>
      <c r="AV96" s="135"/>
      <c r="AW96" s="136"/>
      <c r="AX96" s="137"/>
      <c r="AY96" s="138"/>
    </row>
    <row r="97" spans="1:51" ht="10.9" customHeight="1" x14ac:dyDescent="0.25">
      <c r="B97" s="140">
        <v>1</v>
      </c>
      <c r="C97" s="63" t="s">
        <v>144</v>
      </c>
      <c r="D97" s="235"/>
      <c r="E97" s="236"/>
      <c r="F97" s="236"/>
      <c r="G97" s="236"/>
      <c r="H97" s="236"/>
      <c r="I97" s="236"/>
      <c r="J97" s="236"/>
      <c r="K97" s="236">
        <v>270177</v>
      </c>
      <c r="L97" s="236">
        <v>274757</v>
      </c>
      <c r="M97" s="236">
        <v>279234</v>
      </c>
      <c r="N97" s="236">
        <v>291044</v>
      </c>
      <c r="O97" s="236"/>
      <c r="P97" s="237"/>
      <c r="Q97" s="223">
        <f t="shared" ref="Q97:Q108" si="76">MAX(D97:P97)</f>
        <v>291044</v>
      </c>
      <c r="R97" s="147">
        <f>Q97*$R$10</f>
        <v>32014.84</v>
      </c>
      <c r="S97" s="147">
        <f t="shared" ref="S97:S108" si="77">R97/$S$5</f>
        <v>87.711890410958901</v>
      </c>
      <c r="T97" s="148">
        <f>S97*$T$5*$T$10</f>
        <v>19208.903999999999</v>
      </c>
      <c r="U97" s="199"/>
      <c r="V97" s="150"/>
      <c r="W97" s="249"/>
      <c r="X97" s="249"/>
      <c r="Y97" s="152"/>
      <c r="Z97" s="153"/>
      <c r="AA97" s="153"/>
      <c r="AB97" s="154"/>
      <c r="AC97" s="155">
        <f t="shared" ref="AC97:AC108" si="78">T97*$AC$5</f>
        <v>11141.164319999998</v>
      </c>
      <c r="AD97" s="156">
        <f t="shared" ref="AD97:AD108" si="79">T97*$AD$5</f>
        <v>2497.1575199999997</v>
      </c>
      <c r="AE97" s="156">
        <f t="shared" ref="AE97:AE108" si="80">T97*$AE$5</f>
        <v>1685.5813259999998</v>
      </c>
      <c r="AF97" s="156">
        <f t="shared" ref="AF97:AF108" si="81">T97*$AF$5</f>
        <v>768.35615999999993</v>
      </c>
      <c r="AG97" s="156">
        <f t="shared" ref="AG97:AG108" si="82">T97*$AG$5</f>
        <v>384.17807999999997</v>
      </c>
      <c r="AH97" s="156">
        <f t="shared" ref="AH97:AH108" si="83">T97*$AH$5</f>
        <v>384.17807999999997</v>
      </c>
      <c r="AI97" s="156">
        <f t="shared" ref="AI97:AI108" si="84">T97*$AI$5</f>
        <v>192.08903999999998</v>
      </c>
      <c r="AJ97" s="156">
        <f t="shared" ref="AJ97:AJ108" si="85">T97*$AJ$5</f>
        <v>384.17807999999997</v>
      </c>
      <c r="AK97" s="156">
        <f t="shared" ref="AK97:AK108" si="86">T97*$AK$5</f>
        <v>384.17807999999997</v>
      </c>
      <c r="AL97" s="156">
        <f t="shared" ref="AL97:AL108" si="87">T97*$AL$5</f>
        <v>1344.62328</v>
      </c>
      <c r="AM97" s="157">
        <f t="shared" ref="AM97:AM108" si="88">SUM(AD97:AI97)</f>
        <v>5911.5402059999988</v>
      </c>
      <c r="AN97" s="158">
        <f t="shared" ref="AN97:AN108" si="89">$AN$5</f>
        <v>2200</v>
      </c>
      <c r="AO97" s="159">
        <v>0.2</v>
      </c>
      <c r="AP97" s="160">
        <f t="shared" ref="AP97:AP108" si="90">(AC97+AM97)*AN97*$AP$5</f>
        <v>157071779.28080493</v>
      </c>
      <c r="AQ97" s="161">
        <f t="shared" ref="AQ97:AQ108" si="91">AP97*$AQ$5</f>
        <v>43631.053290707576</v>
      </c>
      <c r="AR97" s="162">
        <f t="shared" ref="AR97:AR108" si="92">AQ97*$AR$5</f>
        <v>8726.2106581415155</v>
      </c>
      <c r="AS97" s="163">
        <f t="shared" ref="AS97:AS108" si="93">AR97/$AS$5</f>
        <v>1.2451784614927961</v>
      </c>
      <c r="AT97" s="164">
        <f t="shared" ref="AT97:AT108" si="94">AS97</f>
        <v>1.2451784614927961</v>
      </c>
      <c r="AU97" s="165"/>
      <c r="AV97" s="166"/>
      <c r="AW97" s="167"/>
      <c r="AX97" s="146"/>
      <c r="AY97" s="168"/>
    </row>
    <row r="98" spans="1:51" ht="10.9" customHeight="1" x14ac:dyDescent="0.25">
      <c r="B98" s="140">
        <v>2</v>
      </c>
      <c r="C98" s="63" t="s">
        <v>145</v>
      </c>
      <c r="D98" s="235"/>
      <c r="E98" s="236"/>
      <c r="F98" s="236"/>
      <c r="G98" s="236"/>
      <c r="H98" s="236"/>
      <c r="I98" s="236"/>
      <c r="J98" s="236"/>
      <c r="K98" s="236">
        <v>317549</v>
      </c>
      <c r="L98" s="236">
        <v>322759</v>
      </c>
      <c r="M98" s="236">
        <v>330410</v>
      </c>
      <c r="N98" s="236">
        <v>362961</v>
      </c>
      <c r="O98" s="236"/>
      <c r="P98" s="237"/>
      <c r="Q98" s="223">
        <f t="shared" si="76"/>
        <v>362961</v>
      </c>
      <c r="R98" s="147">
        <f>Q98*$R$10</f>
        <v>39925.71</v>
      </c>
      <c r="S98" s="147">
        <f t="shared" si="77"/>
        <v>109.38550684931506</v>
      </c>
      <c r="T98" s="148">
        <f>S98*$T$5*$T$10</f>
        <v>23955.425999999999</v>
      </c>
      <c r="U98" s="199"/>
      <c r="V98" s="150"/>
      <c r="W98" s="249"/>
      <c r="X98" s="249"/>
      <c r="Y98" s="152"/>
      <c r="Z98" s="153"/>
      <c r="AA98" s="153"/>
      <c r="AB98" s="154"/>
      <c r="AC98" s="155">
        <f t="shared" si="78"/>
        <v>13894.147079999999</v>
      </c>
      <c r="AD98" s="156">
        <f t="shared" si="79"/>
        <v>3114.2053799999999</v>
      </c>
      <c r="AE98" s="156">
        <f t="shared" si="80"/>
        <v>2102.0886314999998</v>
      </c>
      <c r="AF98" s="156">
        <f t="shared" si="81"/>
        <v>958.21704</v>
      </c>
      <c r="AG98" s="156">
        <f t="shared" si="82"/>
        <v>479.10852</v>
      </c>
      <c r="AH98" s="156">
        <f t="shared" si="83"/>
        <v>479.10852</v>
      </c>
      <c r="AI98" s="156">
        <f t="shared" si="84"/>
        <v>239.55426</v>
      </c>
      <c r="AJ98" s="156">
        <f t="shared" si="85"/>
        <v>479.10852</v>
      </c>
      <c r="AK98" s="156">
        <f t="shared" si="86"/>
        <v>479.10852</v>
      </c>
      <c r="AL98" s="156">
        <f t="shared" si="87"/>
        <v>1676.8798200000001</v>
      </c>
      <c r="AM98" s="157">
        <f t="shared" si="88"/>
        <v>7372.2823514999991</v>
      </c>
      <c r="AN98" s="158">
        <f t="shared" si="89"/>
        <v>2200</v>
      </c>
      <c r="AO98" s="159">
        <v>0.2</v>
      </c>
      <c r="AP98" s="160">
        <f t="shared" si="90"/>
        <v>195884230.83636922</v>
      </c>
      <c r="AQ98" s="161">
        <f t="shared" si="91"/>
        <v>54412.290696418801</v>
      </c>
      <c r="AR98" s="162">
        <f t="shared" si="92"/>
        <v>10882.458139283761</v>
      </c>
      <c r="AS98" s="163">
        <f t="shared" si="93"/>
        <v>1.5528621774092124</v>
      </c>
      <c r="AT98" s="164">
        <f t="shared" si="94"/>
        <v>1.5528621774092124</v>
      </c>
      <c r="AU98" s="165"/>
      <c r="AV98" s="166"/>
      <c r="AW98" s="167"/>
      <c r="AX98" s="146"/>
      <c r="AY98" s="168"/>
    </row>
    <row r="99" spans="1:51" ht="10.9" customHeight="1" x14ac:dyDescent="0.25">
      <c r="B99" s="140">
        <v>3</v>
      </c>
      <c r="C99" s="63" t="s">
        <v>146</v>
      </c>
      <c r="D99" s="235"/>
      <c r="E99" s="236"/>
      <c r="F99" s="236"/>
      <c r="G99" s="236"/>
      <c r="H99" s="236"/>
      <c r="I99" s="236"/>
      <c r="J99" s="236"/>
      <c r="K99" s="236">
        <v>658079</v>
      </c>
      <c r="L99" s="236">
        <v>670814</v>
      </c>
      <c r="M99" s="236">
        <v>683354</v>
      </c>
      <c r="N99" s="236">
        <v>662305</v>
      </c>
      <c r="O99" s="236"/>
      <c r="P99" s="237"/>
      <c r="Q99" s="223">
        <f t="shared" si="76"/>
        <v>683354</v>
      </c>
      <c r="R99" s="147">
        <f>Q99*$R$9</f>
        <v>99769.683999999994</v>
      </c>
      <c r="S99" s="147">
        <f t="shared" si="77"/>
        <v>273.34159999999997</v>
      </c>
      <c r="T99" s="148">
        <f>S99*$T$5*$T$9</f>
        <v>69838.778799999985</v>
      </c>
      <c r="U99" s="199"/>
      <c r="V99" s="150"/>
      <c r="W99" s="249"/>
      <c r="X99" s="249"/>
      <c r="Y99" s="152"/>
      <c r="Z99" s="153"/>
      <c r="AA99" s="153"/>
      <c r="AB99" s="154"/>
      <c r="AC99" s="155">
        <f t="shared" si="78"/>
        <v>40506.491703999985</v>
      </c>
      <c r="AD99" s="156">
        <f t="shared" si="79"/>
        <v>9079.0412439999982</v>
      </c>
      <c r="AE99" s="156">
        <f t="shared" si="80"/>
        <v>6128.3528396999982</v>
      </c>
      <c r="AF99" s="156">
        <f t="shared" si="81"/>
        <v>2793.5511519999995</v>
      </c>
      <c r="AG99" s="156">
        <f t="shared" si="82"/>
        <v>1396.7755759999998</v>
      </c>
      <c r="AH99" s="156">
        <f t="shared" si="83"/>
        <v>1396.7755759999998</v>
      </c>
      <c r="AI99" s="156">
        <f t="shared" si="84"/>
        <v>698.38778799999989</v>
      </c>
      <c r="AJ99" s="156">
        <f t="shared" si="85"/>
        <v>1396.7755759999998</v>
      </c>
      <c r="AK99" s="156">
        <f t="shared" si="86"/>
        <v>1396.7755759999998</v>
      </c>
      <c r="AL99" s="156">
        <f t="shared" si="87"/>
        <v>4888.7145159999991</v>
      </c>
      <c r="AM99" s="157">
        <f t="shared" si="88"/>
        <v>21492.884175699997</v>
      </c>
      <c r="AN99" s="158">
        <f t="shared" si="89"/>
        <v>2200</v>
      </c>
      <c r="AO99" s="159">
        <v>0.2</v>
      </c>
      <c r="AP99" s="160">
        <f t="shared" si="90"/>
        <v>571073771.25288129</v>
      </c>
      <c r="AQ99" s="161">
        <f t="shared" si="91"/>
        <v>158631.61581632862</v>
      </c>
      <c r="AR99" s="162">
        <f t="shared" si="92"/>
        <v>31726.323163265726</v>
      </c>
      <c r="AS99" s="163">
        <f t="shared" si="93"/>
        <v>4.5271579856258173</v>
      </c>
      <c r="AT99" s="164">
        <f t="shared" si="94"/>
        <v>4.5271579856258173</v>
      </c>
      <c r="AU99" s="165"/>
      <c r="AV99" s="166"/>
      <c r="AW99" s="167"/>
      <c r="AX99" s="146"/>
      <c r="AY99" s="168"/>
    </row>
    <row r="100" spans="1:51" ht="10.9" customHeight="1" x14ac:dyDescent="0.25">
      <c r="B100" s="140">
        <v>4</v>
      </c>
      <c r="C100" s="63" t="s">
        <v>147</v>
      </c>
      <c r="D100" s="235"/>
      <c r="E100" s="236"/>
      <c r="F100" s="236"/>
      <c r="G100" s="236"/>
      <c r="H100" s="236"/>
      <c r="I100" s="236"/>
      <c r="J100" s="236"/>
      <c r="K100" s="236">
        <v>271662</v>
      </c>
      <c r="L100" s="236">
        <v>280197</v>
      </c>
      <c r="M100" s="236">
        <v>285813</v>
      </c>
      <c r="N100" s="236">
        <v>303021</v>
      </c>
      <c r="O100" s="236"/>
      <c r="P100" s="237"/>
      <c r="Q100" s="223">
        <f t="shared" si="76"/>
        <v>303021</v>
      </c>
      <c r="R100" s="147">
        <f>Q100*$R$10</f>
        <v>33332.31</v>
      </c>
      <c r="S100" s="147">
        <f t="shared" si="77"/>
        <v>91.321397260273969</v>
      </c>
      <c r="T100" s="148">
        <f>S100*$T$5*$T$10</f>
        <v>19999.385999999999</v>
      </c>
      <c r="U100" s="199"/>
      <c r="V100" s="150"/>
      <c r="W100" s="249"/>
      <c r="X100" s="249"/>
      <c r="Y100" s="152"/>
      <c r="Z100" s="153"/>
      <c r="AA100" s="153"/>
      <c r="AB100" s="154"/>
      <c r="AC100" s="155">
        <f t="shared" si="78"/>
        <v>11599.643879999998</v>
      </c>
      <c r="AD100" s="156">
        <f t="shared" si="79"/>
        <v>2599.9201800000001</v>
      </c>
      <c r="AE100" s="156">
        <f t="shared" si="80"/>
        <v>1754.9461214999997</v>
      </c>
      <c r="AF100" s="156">
        <f t="shared" si="81"/>
        <v>799.97543999999994</v>
      </c>
      <c r="AG100" s="156">
        <f t="shared" si="82"/>
        <v>399.98771999999997</v>
      </c>
      <c r="AH100" s="156">
        <f t="shared" si="83"/>
        <v>399.98771999999997</v>
      </c>
      <c r="AI100" s="156">
        <f t="shared" si="84"/>
        <v>199.99385999999998</v>
      </c>
      <c r="AJ100" s="156">
        <f t="shared" si="85"/>
        <v>399.98771999999997</v>
      </c>
      <c r="AK100" s="156">
        <f t="shared" si="86"/>
        <v>399.98771999999997</v>
      </c>
      <c r="AL100" s="156">
        <f t="shared" si="87"/>
        <v>1399.9570200000001</v>
      </c>
      <c r="AM100" s="157">
        <f t="shared" si="88"/>
        <v>6154.8110415000001</v>
      </c>
      <c r="AN100" s="158">
        <f t="shared" si="89"/>
        <v>2200</v>
      </c>
      <c r="AO100" s="159">
        <v>0.2</v>
      </c>
      <c r="AP100" s="160">
        <f t="shared" si="90"/>
        <v>163535574.10373959</v>
      </c>
      <c r="AQ100" s="161">
        <f t="shared" si="91"/>
        <v>45426.551996273753</v>
      </c>
      <c r="AR100" s="162">
        <f t="shared" si="92"/>
        <v>9085.3103992547512</v>
      </c>
      <c r="AS100" s="163">
        <f t="shared" si="93"/>
        <v>1.296419862907356</v>
      </c>
      <c r="AT100" s="164">
        <f t="shared" si="94"/>
        <v>1.296419862907356</v>
      </c>
      <c r="AU100" s="165"/>
      <c r="AV100" s="166"/>
      <c r="AW100" s="167"/>
      <c r="AX100" s="146"/>
      <c r="AY100" s="168"/>
    </row>
    <row r="101" spans="1:51" ht="10.9" customHeight="1" x14ac:dyDescent="0.25">
      <c r="B101" s="140">
        <v>5</v>
      </c>
      <c r="C101" s="63" t="s">
        <v>148</v>
      </c>
      <c r="D101" s="235"/>
      <c r="E101" s="236"/>
      <c r="F101" s="236"/>
      <c r="G101" s="236"/>
      <c r="H101" s="236"/>
      <c r="I101" s="236"/>
      <c r="J101" s="236"/>
      <c r="K101" s="236">
        <v>318585</v>
      </c>
      <c r="L101" s="236">
        <v>322417</v>
      </c>
      <c r="M101" s="236">
        <v>332562</v>
      </c>
      <c r="N101" s="236">
        <v>377232</v>
      </c>
      <c r="O101" s="236"/>
      <c r="P101" s="237"/>
      <c r="Q101" s="223">
        <f t="shared" si="76"/>
        <v>377232</v>
      </c>
      <c r="R101" s="147">
        <f>Q101*$R$10</f>
        <v>41495.519999999997</v>
      </c>
      <c r="S101" s="147">
        <f t="shared" si="77"/>
        <v>113.68635616438355</v>
      </c>
      <c r="T101" s="148">
        <f>S101*$T$5*$T$10</f>
        <v>24897.311999999998</v>
      </c>
      <c r="U101" s="199"/>
      <c r="V101" s="150"/>
      <c r="W101" s="249"/>
      <c r="X101" s="249"/>
      <c r="Y101" s="152"/>
      <c r="Z101" s="153"/>
      <c r="AA101" s="153"/>
      <c r="AB101" s="154"/>
      <c r="AC101" s="155">
        <f t="shared" si="78"/>
        <v>14440.440959999998</v>
      </c>
      <c r="AD101" s="156">
        <f t="shared" si="79"/>
        <v>3236.65056</v>
      </c>
      <c r="AE101" s="156">
        <f t="shared" si="80"/>
        <v>2184.7391279999997</v>
      </c>
      <c r="AF101" s="156">
        <f t="shared" si="81"/>
        <v>995.89247999999998</v>
      </c>
      <c r="AG101" s="156">
        <f t="shared" si="82"/>
        <v>497.94623999999999</v>
      </c>
      <c r="AH101" s="156">
        <f t="shared" si="83"/>
        <v>497.94623999999999</v>
      </c>
      <c r="AI101" s="156">
        <f t="shared" si="84"/>
        <v>248.97311999999999</v>
      </c>
      <c r="AJ101" s="156">
        <f t="shared" si="85"/>
        <v>497.94623999999999</v>
      </c>
      <c r="AK101" s="156">
        <f t="shared" si="86"/>
        <v>497.94623999999999</v>
      </c>
      <c r="AL101" s="156">
        <f t="shared" si="87"/>
        <v>1742.8118400000001</v>
      </c>
      <c r="AM101" s="157">
        <f t="shared" si="88"/>
        <v>7662.1477679999998</v>
      </c>
      <c r="AN101" s="158">
        <f t="shared" si="89"/>
        <v>2200</v>
      </c>
      <c r="AO101" s="159">
        <v>0.2</v>
      </c>
      <c r="AP101" s="160">
        <f t="shared" si="90"/>
        <v>203586060.67005888</v>
      </c>
      <c r="AQ101" s="161">
        <f t="shared" si="91"/>
        <v>56551.688043595481</v>
      </c>
      <c r="AR101" s="162">
        <f t="shared" si="92"/>
        <v>11310.337608719097</v>
      </c>
      <c r="AS101" s="163">
        <f t="shared" si="93"/>
        <v>1.6139180377738438</v>
      </c>
      <c r="AT101" s="164">
        <f t="shared" si="94"/>
        <v>1.6139180377738438</v>
      </c>
      <c r="AU101" s="165"/>
      <c r="AV101" s="166"/>
      <c r="AW101" s="167"/>
      <c r="AX101" s="146"/>
      <c r="AY101" s="168"/>
    </row>
    <row r="102" spans="1:51" ht="10.9" customHeight="1" x14ac:dyDescent="0.25">
      <c r="B102" s="140">
        <v>6</v>
      </c>
      <c r="C102" s="63" t="s">
        <v>149</v>
      </c>
      <c r="D102" s="235"/>
      <c r="E102" s="236"/>
      <c r="F102" s="236"/>
      <c r="G102" s="236"/>
      <c r="H102" s="236"/>
      <c r="I102" s="236"/>
      <c r="J102" s="236"/>
      <c r="K102" s="236">
        <v>590467</v>
      </c>
      <c r="L102" s="236">
        <v>598764</v>
      </c>
      <c r="M102" s="236">
        <v>615126</v>
      </c>
      <c r="N102" s="236">
        <v>686030</v>
      </c>
      <c r="O102" s="236"/>
      <c r="P102" s="237"/>
      <c r="Q102" s="223">
        <f t="shared" si="76"/>
        <v>686030</v>
      </c>
      <c r="R102" s="147">
        <f>Q102*$R$9</f>
        <v>100160.37999999999</v>
      </c>
      <c r="S102" s="147">
        <f t="shared" si="77"/>
        <v>274.41199999999998</v>
      </c>
      <c r="T102" s="148">
        <f>S102*$T$5*$T$9</f>
        <v>70112.265999999989</v>
      </c>
      <c r="U102" s="199"/>
      <c r="V102" s="150"/>
      <c r="W102" s="249"/>
      <c r="X102" s="249"/>
      <c r="Y102" s="152"/>
      <c r="Z102" s="153"/>
      <c r="AA102" s="153"/>
      <c r="AB102" s="154"/>
      <c r="AC102" s="155">
        <f t="shared" si="78"/>
        <v>40665.114279999987</v>
      </c>
      <c r="AD102" s="156">
        <f t="shared" si="79"/>
        <v>9114.594579999999</v>
      </c>
      <c r="AE102" s="156">
        <f t="shared" si="80"/>
        <v>6152.3513414999989</v>
      </c>
      <c r="AF102" s="156">
        <f t="shared" si="81"/>
        <v>2804.4906399999995</v>
      </c>
      <c r="AG102" s="156">
        <f t="shared" si="82"/>
        <v>1402.2453199999998</v>
      </c>
      <c r="AH102" s="156">
        <f t="shared" si="83"/>
        <v>1402.2453199999998</v>
      </c>
      <c r="AI102" s="156">
        <f t="shared" si="84"/>
        <v>701.12265999999988</v>
      </c>
      <c r="AJ102" s="156">
        <f t="shared" si="85"/>
        <v>1402.2453199999998</v>
      </c>
      <c r="AK102" s="156">
        <f t="shared" si="86"/>
        <v>1402.2453199999998</v>
      </c>
      <c r="AL102" s="156">
        <f t="shared" si="87"/>
        <v>4907.85862</v>
      </c>
      <c r="AM102" s="157">
        <f t="shared" si="88"/>
        <v>21577.049861499996</v>
      </c>
      <c r="AN102" s="158">
        <f t="shared" si="89"/>
        <v>2200</v>
      </c>
      <c r="AO102" s="159">
        <v>0.2</v>
      </c>
      <c r="AP102" s="160">
        <f t="shared" si="90"/>
        <v>573310084.22079062</v>
      </c>
      <c r="AQ102" s="161">
        <f t="shared" si="91"/>
        <v>159252.81391266594</v>
      </c>
      <c r="AR102" s="162">
        <f t="shared" si="92"/>
        <v>31850.56278253319</v>
      </c>
      <c r="AS102" s="163">
        <f t="shared" si="93"/>
        <v>4.5448862417998273</v>
      </c>
      <c r="AT102" s="164">
        <f t="shared" si="94"/>
        <v>4.5448862417998273</v>
      </c>
      <c r="AU102" s="165"/>
      <c r="AV102" s="166"/>
      <c r="AW102" s="167"/>
      <c r="AX102" s="146"/>
      <c r="AY102" s="168"/>
    </row>
    <row r="103" spans="1:51" ht="10.9" customHeight="1" x14ac:dyDescent="0.25">
      <c r="B103" s="140">
        <v>7</v>
      </c>
      <c r="C103" s="63" t="s">
        <v>150</v>
      </c>
      <c r="D103" s="235"/>
      <c r="E103" s="236"/>
      <c r="F103" s="236"/>
      <c r="G103" s="236"/>
      <c r="H103" s="236"/>
      <c r="I103" s="236"/>
      <c r="J103" s="236"/>
      <c r="K103" s="236">
        <v>383417</v>
      </c>
      <c r="L103" s="236">
        <v>398089</v>
      </c>
      <c r="M103" s="236">
        <v>413056</v>
      </c>
      <c r="N103" s="236">
        <v>475011</v>
      </c>
      <c r="O103" s="236"/>
      <c r="P103" s="237"/>
      <c r="Q103" s="223">
        <f t="shared" si="76"/>
        <v>475011</v>
      </c>
      <c r="R103" s="147">
        <f>Q103*$R$10</f>
        <v>52251.21</v>
      </c>
      <c r="S103" s="147">
        <f t="shared" si="77"/>
        <v>143.154</v>
      </c>
      <c r="T103" s="148">
        <f>S103*$T$5*$T$10</f>
        <v>31350.725999999999</v>
      </c>
      <c r="U103" s="199"/>
      <c r="V103" s="150"/>
      <c r="W103" s="249"/>
      <c r="X103" s="249"/>
      <c r="Y103" s="152"/>
      <c r="Z103" s="153"/>
      <c r="AA103" s="153"/>
      <c r="AB103" s="154"/>
      <c r="AC103" s="155">
        <f t="shared" si="78"/>
        <v>18183.421079999996</v>
      </c>
      <c r="AD103" s="156">
        <f t="shared" si="79"/>
        <v>4075.59438</v>
      </c>
      <c r="AE103" s="156">
        <f t="shared" si="80"/>
        <v>2751.0262064999997</v>
      </c>
      <c r="AF103" s="156">
        <f t="shared" si="81"/>
        <v>1254.0290399999999</v>
      </c>
      <c r="AG103" s="156">
        <f t="shared" si="82"/>
        <v>627.01451999999995</v>
      </c>
      <c r="AH103" s="156">
        <f t="shared" si="83"/>
        <v>627.01451999999995</v>
      </c>
      <c r="AI103" s="156">
        <f t="shared" si="84"/>
        <v>313.50725999999997</v>
      </c>
      <c r="AJ103" s="156">
        <f t="shared" si="85"/>
        <v>627.01451999999995</v>
      </c>
      <c r="AK103" s="156">
        <f t="shared" si="86"/>
        <v>627.01451999999995</v>
      </c>
      <c r="AL103" s="156">
        <f t="shared" si="87"/>
        <v>2194.5508199999999</v>
      </c>
      <c r="AM103" s="157">
        <f t="shared" si="88"/>
        <v>9648.1859265000003</v>
      </c>
      <c r="AN103" s="158">
        <f t="shared" si="89"/>
        <v>2200</v>
      </c>
      <c r="AO103" s="159">
        <v>0.2</v>
      </c>
      <c r="AP103" s="160">
        <f t="shared" si="90"/>
        <v>256355818.87259117</v>
      </c>
      <c r="AQ103" s="161">
        <f t="shared" si="91"/>
        <v>71209.955383626861</v>
      </c>
      <c r="AR103" s="162">
        <f t="shared" si="92"/>
        <v>14241.991076725373</v>
      </c>
      <c r="AS103" s="163">
        <f t="shared" si="93"/>
        <v>2.0322475851491686</v>
      </c>
      <c r="AT103" s="164">
        <f t="shared" si="94"/>
        <v>2.0322475851491686</v>
      </c>
      <c r="AU103" s="165"/>
      <c r="AV103" s="166"/>
      <c r="AW103" s="167"/>
      <c r="AX103" s="146"/>
      <c r="AY103" s="168"/>
    </row>
    <row r="104" spans="1:51" ht="10.9" customHeight="1" x14ac:dyDescent="0.25">
      <c r="B104" s="140">
        <v>8</v>
      </c>
      <c r="C104" s="63" t="s">
        <v>151</v>
      </c>
      <c r="D104" s="235"/>
      <c r="E104" s="236"/>
      <c r="F104" s="236"/>
      <c r="G104" s="236"/>
      <c r="H104" s="236"/>
      <c r="I104" s="236"/>
      <c r="J104" s="236"/>
      <c r="K104" s="236">
        <v>738996</v>
      </c>
      <c r="L104" s="236">
        <v>747797</v>
      </c>
      <c r="M104" s="236">
        <v>551880</v>
      </c>
      <c r="N104" s="236">
        <v>498384</v>
      </c>
      <c r="O104" s="236"/>
      <c r="P104" s="237"/>
      <c r="Q104" s="223">
        <f t="shared" si="76"/>
        <v>747797</v>
      </c>
      <c r="R104" s="147">
        <f>Q104*$R$10</f>
        <v>82257.67</v>
      </c>
      <c r="S104" s="147">
        <f t="shared" si="77"/>
        <v>225.36347945205478</v>
      </c>
      <c r="T104" s="148">
        <f>S104*$T$5*$T$10</f>
        <v>49354.601999999999</v>
      </c>
      <c r="U104" s="199"/>
      <c r="V104" s="150"/>
      <c r="W104" s="249"/>
      <c r="X104" s="249"/>
      <c r="Y104" s="152"/>
      <c r="Z104" s="153"/>
      <c r="AA104" s="153"/>
      <c r="AB104" s="154"/>
      <c r="AC104" s="155">
        <f t="shared" si="78"/>
        <v>28625.669159999998</v>
      </c>
      <c r="AD104" s="156">
        <f t="shared" si="79"/>
        <v>6416.0982599999998</v>
      </c>
      <c r="AE104" s="156">
        <f t="shared" si="80"/>
        <v>4330.8663254999992</v>
      </c>
      <c r="AF104" s="156">
        <f t="shared" si="81"/>
        <v>1974.18408</v>
      </c>
      <c r="AG104" s="156">
        <f t="shared" si="82"/>
        <v>987.09204</v>
      </c>
      <c r="AH104" s="156">
        <f t="shared" si="83"/>
        <v>987.09204</v>
      </c>
      <c r="AI104" s="156">
        <f t="shared" si="84"/>
        <v>493.54602</v>
      </c>
      <c r="AJ104" s="156">
        <f t="shared" si="85"/>
        <v>987.09204</v>
      </c>
      <c r="AK104" s="156">
        <f t="shared" si="86"/>
        <v>987.09204</v>
      </c>
      <c r="AL104" s="156">
        <f t="shared" si="87"/>
        <v>3454.8221400000002</v>
      </c>
      <c r="AM104" s="157">
        <f t="shared" si="88"/>
        <v>15188.878765499996</v>
      </c>
      <c r="AN104" s="158">
        <f t="shared" si="89"/>
        <v>2200</v>
      </c>
      <c r="AO104" s="159">
        <v>0.2</v>
      </c>
      <c r="AP104" s="160">
        <f t="shared" si="90"/>
        <v>403574048.3598634</v>
      </c>
      <c r="AQ104" s="161">
        <f t="shared" si="91"/>
        <v>112103.91129049646</v>
      </c>
      <c r="AR104" s="162">
        <f t="shared" si="92"/>
        <v>22420.782258099294</v>
      </c>
      <c r="AS104" s="163">
        <f t="shared" si="93"/>
        <v>3.199312536829237</v>
      </c>
      <c r="AT104" s="164">
        <f t="shared" si="94"/>
        <v>3.199312536829237</v>
      </c>
      <c r="AU104" s="165"/>
      <c r="AV104" s="166"/>
      <c r="AW104" s="167"/>
      <c r="AX104" s="146"/>
      <c r="AY104" s="168"/>
    </row>
    <row r="105" spans="1:51" ht="10.9" customHeight="1" x14ac:dyDescent="0.25">
      <c r="B105" s="140">
        <v>9</v>
      </c>
      <c r="C105" s="63" t="s">
        <v>152</v>
      </c>
      <c r="D105" s="235"/>
      <c r="E105" s="236"/>
      <c r="F105" s="236"/>
      <c r="G105" s="236"/>
      <c r="H105" s="236"/>
      <c r="I105" s="236"/>
      <c r="J105" s="236"/>
      <c r="K105" s="236">
        <v>511000</v>
      </c>
      <c r="L105" s="236">
        <v>551402</v>
      </c>
      <c r="M105" s="236">
        <v>565558</v>
      </c>
      <c r="N105" s="236">
        <v>552433</v>
      </c>
      <c r="O105" s="236"/>
      <c r="P105" s="237"/>
      <c r="Q105" s="223">
        <f t="shared" si="76"/>
        <v>565558</v>
      </c>
      <c r="R105" s="147">
        <f>Q105*$R$9</f>
        <v>82571.467999999993</v>
      </c>
      <c r="S105" s="147">
        <f t="shared" si="77"/>
        <v>226.22319999999999</v>
      </c>
      <c r="T105" s="148">
        <f>S105*$T$5*$T$9</f>
        <v>57800.027599999994</v>
      </c>
      <c r="U105" s="199"/>
      <c r="V105" s="150"/>
      <c r="W105" s="249"/>
      <c r="X105" s="249"/>
      <c r="Y105" s="152"/>
      <c r="Z105" s="153"/>
      <c r="AA105" s="153"/>
      <c r="AB105" s="154"/>
      <c r="AC105" s="155">
        <f t="shared" si="78"/>
        <v>33524.016007999991</v>
      </c>
      <c r="AD105" s="156">
        <f t="shared" si="79"/>
        <v>7514.0035879999996</v>
      </c>
      <c r="AE105" s="156">
        <f t="shared" si="80"/>
        <v>5071.9524218999995</v>
      </c>
      <c r="AF105" s="156">
        <f t="shared" si="81"/>
        <v>2312.0011039999999</v>
      </c>
      <c r="AG105" s="156">
        <f t="shared" si="82"/>
        <v>1156.000552</v>
      </c>
      <c r="AH105" s="156">
        <f t="shared" si="83"/>
        <v>1156.000552</v>
      </c>
      <c r="AI105" s="156">
        <f t="shared" si="84"/>
        <v>578.00027599999999</v>
      </c>
      <c r="AJ105" s="156">
        <f t="shared" si="85"/>
        <v>1156.000552</v>
      </c>
      <c r="AK105" s="156">
        <f t="shared" si="86"/>
        <v>1156.000552</v>
      </c>
      <c r="AL105" s="156">
        <f t="shared" si="87"/>
        <v>4046.0019320000001</v>
      </c>
      <c r="AM105" s="157">
        <f t="shared" si="88"/>
        <v>17787.958493899998</v>
      </c>
      <c r="AN105" s="158">
        <f t="shared" si="89"/>
        <v>2200</v>
      </c>
      <c r="AO105" s="159">
        <v>0.2</v>
      </c>
      <c r="AP105" s="160">
        <f t="shared" si="90"/>
        <v>472632544.65802068</v>
      </c>
      <c r="AQ105" s="161">
        <f t="shared" si="91"/>
        <v>131286.82846350674</v>
      </c>
      <c r="AR105" s="162">
        <f t="shared" si="92"/>
        <v>26257.365692701351</v>
      </c>
      <c r="AS105" s="163">
        <f t="shared" si="93"/>
        <v>3.7467702187073844</v>
      </c>
      <c r="AT105" s="164">
        <f t="shared" si="94"/>
        <v>3.7467702187073844</v>
      </c>
      <c r="AU105" s="165"/>
      <c r="AV105" s="166"/>
      <c r="AW105" s="167"/>
      <c r="AX105" s="146"/>
      <c r="AY105" s="168"/>
    </row>
    <row r="106" spans="1:51" ht="10.9" customHeight="1" x14ac:dyDescent="0.25">
      <c r="B106" s="140">
        <v>10</v>
      </c>
      <c r="C106" s="63" t="s">
        <v>153</v>
      </c>
      <c r="D106" s="235"/>
      <c r="E106" s="236"/>
      <c r="F106" s="236"/>
      <c r="G106" s="236"/>
      <c r="H106" s="236"/>
      <c r="I106" s="236"/>
      <c r="J106" s="236"/>
      <c r="K106" s="236"/>
      <c r="L106" s="236"/>
      <c r="M106" s="236">
        <v>204335</v>
      </c>
      <c r="N106" s="236">
        <v>176371</v>
      </c>
      <c r="O106" s="236"/>
      <c r="P106" s="237"/>
      <c r="Q106" s="223">
        <f t="shared" si="76"/>
        <v>204335</v>
      </c>
      <c r="R106" s="147">
        <f>Q106*$R$10</f>
        <v>22476.85</v>
      </c>
      <c r="S106" s="147">
        <f t="shared" si="77"/>
        <v>61.580410958904103</v>
      </c>
      <c r="T106" s="148">
        <f>S106*$T$5*$T$10</f>
        <v>13486.109999999999</v>
      </c>
      <c r="U106" s="199"/>
      <c r="V106" s="150"/>
      <c r="W106" s="249"/>
      <c r="X106" s="249"/>
      <c r="Y106" s="152"/>
      <c r="Z106" s="153"/>
      <c r="AA106" s="153"/>
      <c r="AB106" s="154"/>
      <c r="AC106" s="155">
        <f t="shared" si="78"/>
        <v>7821.9437999999991</v>
      </c>
      <c r="AD106" s="156">
        <f t="shared" si="79"/>
        <v>1753.1942999999999</v>
      </c>
      <c r="AE106" s="156">
        <f t="shared" si="80"/>
        <v>1183.4061524999997</v>
      </c>
      <c r="AF106" s="156">
        <f t="shared" si="81"/>
        <v>539.44439999999997</v>
      </c>
      <c r="AG106" s="156">
        <f t="shared" si="82"/>
        <v>269.72219999999999</v>
      </c>
      <c r="AH106" s="156">
        <f t="shared" si="83"/>
        <v>269.72219999999999</v>
      </c>
      <c r="AI106" s="156">
        <f t="shared" si="84"/>
        <v>134.86109999999999</v>
      </c>
      <c r="AJ106" s="156">
        <f t="shared" si="85"/>
        <v>269.72219999999999</v>
      </c>
      <c r="AK106" s="156">
        <f t="shared" si="86"/>
        <v>269.72219999999999</v>
      </c>
      <c r="AL106" s="156">
        <f t="shared" si="87"/>
        <v>944.02769999999998</v>
      </c>
      <c r="AM106" s="157">
        <f t="shared" si="88"/>
        <v>4150.3503524999996</v>
      </c>
      <c r="AN106" s="158">
        <f t="shared" si="89"/>
        <v>2200</v>
      </c>
      <c r="AO106" s="159">
        <v>0.2</v>
      </c>
      <c r="AP106" s="160">
        <f t="shared" si="90"/>
        <v>110276322.54691139</v>
      </c>
      <c r="AQ106" s="161">
        <f t="shared" si="91"/>
        <v>30632.314269171442</v>
      </c>
      <c r="AR106" s="162">
        <f t="shared" si="92"/>
        <v>6126.4628538342886</v>
      </c>
      <c r="AS106" s="163">
        <f t="shared" si="93"/>
        <v>0.87420988211105721</v>
      </c>
      <c r="AT106" s="164">
        <f t="shared" si="94"/>
        <v>0.87420988211105721</v>
      </c>
      <c r="AU106" s="165"/>
      <c r="AV106" s="166"/>
      <c r="AW106" s="167"/>
      <c r="AX106" s="146"/>
      <c r="AY106" s="168"/>
    </row>
    <row r="107" spans="1:51" ht="10.9" customHeight="1" x14ac:dyDescent="0.25">
      <c r="B107" s="140">
        <v>11</v>
      </c>
      <c r="C107" s="258" t="s">
        <v>154</v>
      </c>
      <c r="D107" s="235"/>
      <c r="E107" s="236"/>
      <c r="F107" s="236"/>
      <c r="G107" s="236"/>
      <c r="H107" s="236"/>
      <c r="I107" s="236"/>
      <c r="J107" s="236"/>
      <c r="K107" s="236">
        <v>779899</v>
      </c>
      <c r="L107" s="236">
        <v>785380</v>
      </c>
      <c r="M107" s="236">
        <v>802788</v>
      </c>
      <c r="N107" s="236">
        <v>903902</v>
      </c>
      <c r="O107" s="236"/>
      <c r="P107" s="237"/>
      <c r="Q107" s="223">
        <f t="shared" si="76"/>
        <v>903902</v>
      </c>
      <c r="R107" s="147">
        <f>Q107*$R$9</f>
        <v>131969.69199999998</v>
      </c>
      <c r="S107" s="147">
        <f t="shared" si="77"/>
        <v>361.56079999999997</v>
      </c>
      <c r="T107" s="148">
        <f>S107*$T$5*$T$9</f>
        <v>92378.784399999975</v>
      </c>
      <c r="U107" s="199"/>
      <c r="V107" s="150"/>
      <c r="W107" s="249"/>
      <c r="X107" s="249"/>
      <c r="Y107" s="152"/>
      <c r="Z107" s="153"/>
      <c r="AA107" s="153"/>
      <c r="AB107" s="154"/>
      <c r="AC107" s="155">
        <f t="shared" si="78"/>
        <v>53579.694951999983</v>
      </c>
      <c r="AD107" s="156">
        <f t="shared" si="79"/>
        <v>12009.241971999998</v>
      </c>
      <c r="AE107" s="156">
        <f t="shared" si="80"/>
        <v>8106.2383310999976</v>
      </c>
      <c r="AF107" s="156">
        <f t="shared" si="81"/>
        <v>3695.1513759999989</v>
      </c>
      <c r="AG107" s="156">
        <f t="shared" si="82"/>
        <v>1847.5756879999994</v>
      </c>
      <c r="AH107" s="156">
        <f t="shared" si="83"/>
        <v>1847.5756879999994</v>
      </c>
      <c r="AI107" s="156">
        <f t="shared" si="84"/>
        <v>923.78784399999972</v>
      </c>
      <c r="AJ107" s="156">
        <f t="shared" si="85"/>
        <v>1847.5756879999994</v>
      </c>
      <c r="AK107" s="156">
        <f t="shared" si="86"/>
        <v>1847.5756879999994</v>
      </c>
      <c r="AL107" s="156">
        <f t="shared" si="87"/>
        <v>6466.5149079999992</v>
      </c>
      <c r="AM107" s="157">
        <f t="shared" si="88"/>
        <v>28429.570899099996</v>
      </c>
      <c r="AN107" s="158">
        <f t="shared" si="89"/>
        <v>2200</v>
      </c>
      <c r="AO107" s="159">
        <v>0.2</v>
      </c>
      <c r="AP107" s="160">
        <f t="shared" si="90"/>
        <v>755384067.38384783</v>
      </c>
      <c r="AQ107" s="161">
        <f t="shared" si="91"/>
        <v>209828.92439293701</v>
      </c>
      <c r="AR107" s="162">
        <f t="shared" si="92"/>
        <v>41965.784878587408</v>
      </c>
      <c r="AS107" s="163">
        <f t="shared" si="93"/>
        <v>5.9882683902093907</v>
      </c>
      <c r="AT107" s="233">
        <f t="shared" si="94"/>
        <v>5.9882683902093907</v>
      </c>
      <c r="AU107" s="187"/>
      <c r="AV107" s="166"/>
      <c r="AW107" s="167"/>
      <c r="AX107" s="146"/>
      <c r="AY107" s="168"/>
    </row>
    <row r="108" spans="1:51" ht="10.9" customHeight="1" x14ac:dyDescent="0.25">
      <c r="B108" s="140">
        <v>12</v>
      </c>
      <c r="C108" s="63" t="s">
        <v>155</v>
      </c>
      <c r="D108" s="235"/>
      <c r="E108" s="236"/>
      <c r="F108" s="236"/>
      <c r="G108" s="236"/>
      <c r="H108" s="236"/>
      <c r="I108" s="236"/>
      <c r="J108" s="236"/>
      <c r="K108" s="236">
        <v>231121</v>
      </c>
      <c r="L108" s="236">
        <v>236778</v>
      </c>
      <c r="M108" s="236">
        <v>242417</v>
      </c>
      <c r="N108" s="236">
        <v>254337</v>
      </c>
      <c r="O108" s="236"/>
      <c r="P108" s="237"/>
      <c r="Q108" s="223">
        <f t="shared" si="76"/>
        <v>254337</v>
      </c>
      <c r="R108" s="147">
        <f>Q108*$R$10</f>
        <v>27977.07</v>
      </c>
      <c r="S108" s="147">
        <f t="shared" si="77"/>
        <v>76.649506849315074</v>
      </c>
      <c r="T108" s="148">
        <f>S108*$T$5*$T$10</f>
        <v>16786.242000000002</v>
      </c>
      <c r="U108" s="199"/>
      <c r="V108" s="150"/>
      <c r="W108" s="249"/>
      <c r="X108" s="249"/>
      <c r="Y108" s="152"/>
      <c r="Z108" s="153"/>
      <c r="AA108" s="153"/>
      <c r="AB108" s="154"/>
      <c r="AC108" s="155">
        <f t="shared" si="78"/>
        <v>9736.0203600000004</v>
      </c>
      <c r="AD108" s="156">
        <f t="shared" si="79"/>
        <v>2182.2114600000004</v>
      </c>
      <c r="AE108" s="156">
        <f t="shared" si="80"/>
        <v>1472.9927355</v>
      </c>
      <c r="AF108" s="156">
        <f t="shared" si="81"/>
        <v>671.44968000000006</v>
      </c>
      <c r="AG108" s="156">
        <f t="shared" si="82"/>
        <v>335.72484000000003</v>
      </c>
      <c r="AH108" s="156">
        <f t="shared" si="83"/>
        <v>335.72484000000003</v>
      </c>
      <c r="AI108" s="156">
        <f t="shared" si="84"/>
        <v>167.86242000000001</v>
      </c>
      <c r="AJ108" s="156">
        <f t="shared" si="85"/>
        <v>335.72484000000003</v>
      </c>
      <c r="AK108" s="156">
        <f t="shared" si="86"/>
        <v>335.72484000000003</v>
      </c>
      <c r="AL108" s="156">
        <f t="shared" si="87"/>
        <v>1175.0369400000002</v>
      </c>
      <c r="AM108" s="157">
        <f t="shared" si="88"/>
        <v>5165.9659755000002</v>
      </c>
      <c r="AN108" s="158">
        <f t="shared" si="89"/>
        <v>2200</v>
      </c>
      <c r="AO108" s="159">
        <v>0.2</v>
      </c>
      <c r="AP108" s="160">
        <f t="shared" si="90"/>
        <v>137261600.05683708</v>
      </c>
      <c r="AQ108" s="161">
        <f t="shared" si="91"/>
        <v>38128.225288268077</v>
      </c>
      <c r="AR108" s="162">
        <f t="shared" si="92"/>
        <v>7625.6450576536154</v>
      </c>
      <c r="AS108" s="163">
        <f t="shared" si="93"/>
        <v>1.0881342833409839</v>
      </c>
      <c r="AT108" s="164">
        <f t="shared" si="94"/>
        <v>1.0881342833409839</v>
      </c>
      <c r="AU108" s="165"/>
      <c r="AV108" s="166"/>
      <c r="AW108" s="167"/>
      <c r="AX108" s="146"/>
      <c r="AY108" s="168"/>
    </row>
    <row r="109" spans="1:51" s="263" customFormat="1" ht="17.25" customHeight="1" x14ac:dyDescent="0.25">
      <c r="A109" s="173"/>
      <c r="B109" s="225"/>
      <c r="C109" s="258" t="s">
        <v>156</v>
      </c>
      <c r="D109" s="240">
        <f>SUM(D97:D108)</f>
        <v>0</v>
      </c>
      <c r="E109" s="240">
        <f t="shared" ref="E109:AL109" si="95">SUM(E97:E108)</f>
        <v>0</v>
      </c>
      <c r="F109" s="240">
        <f t="shared" si="95"/>
        <v>0</v>
      </c>
      <c r="G109" s="240">
        <f t="shared" si="95"/>
        <v>0</v>
      </c>
      <c r="H109" s="240">
        <f t="shared" si="95"/>
        <v>0</v>
      </c>
      <c r="I109" s="240">
        <f t="shared" si="95"/>
        <v>0</v>
      </c>
      <c r="J109" s="240">
        <f t="shared" si="95"/>
        <v>0</v>
      </c>
      <c r="K109" s="240">
        <f t="shared" si="95"/>
        <v>5070952</v>
      </c>
      <c r="L109" s="240">
        <f t="shared" si="95"/>
        <v>5189154</v>
      </c>
      <c r="M109" s="240">
        <f t="shared" si="95"/>
        <v>5306533</v>
      </c>
      <c r="N109" s="240">
        <f t="shared" si="95"/>
        <v>5543031</v>
      </c>
      <c r="O109" s="240">
        <f t="shared" si="95"/>
        <v>0</v>
      </c>
      <c r="P109" s="240">
        <f t="shared" si="95"/>
        <v>0</v>
      </c>
      <c r="Q109" s="240">
        <f t="shared" si="95"/>
        <v>5854582</v>
      </c>
      <c r="R109" s="240">
        <f t="shared" si="95"/>
        <v>746202.40399999975</v>
      </c>
      <c r="S109" s="240">
        <f t="shared" si="95"/>
        <v>2044.3901479452052</v>
      </c>
      <c r="T109" s="240">
        <f t="shared" si="95"/>
        <v>489168.56479999988</v>
      </c>
      <c r="U109" s="199">
        <f t="shared" si="95"/>
        <v>0</v>
      </c>
      <c r="V109" s="241"/>
      <c r="W109" s="242">
        <f t="shared" si="95"/>
        <v>0</v>
      </c>
      <c r="X109" s="242">
        <f>SUM(X97:X108)</f>
        <v>0</v>
      </c>
      <c r="Y109" s="242">
        <f>SUM(Y97:Y108)</f>
        <v>0</v>
      </c>
      <c r="Z109" s="199"/>
      <c r="AA109" s="199"/>
      <c r="AB109" s="243"/>
      <c r="AC109" s="240">
        <f>SUM(AC97:AC108)</f>
        <v>283717.76758399996</v>
      </c>
      <c r="AD109" s="244">
        <f>SUM(AD97:AD108)</f>
        <v>63591.913423999991</v>
      </c>
      <c r="AE109" s="244">
        <f>SUM(AE97:AE108)</f>
        <v>42924.541561199992</v>
      </c>
      <c r="AF109" s="244">
        <f>SUM(AF97:AF108)</f>
        <v>19566.742591999999</v>
      </c>
      <c r="AG109" s="244">
        <f>SUM(AG97:AG108)</f>
        <v>9783.3712959999993</v>
      </c>
      <c r="AH109" s="244">
        <f t="shared" si="95"/>
        <v>9783.3712959999993</v>
      </c>
      <c r="AI109" s="244">
        <f>SUM(AI97:AI108)</f>
        <v>4891.6856479999997</v>
      </c>
      <c r="AJ109" s="244">
        <f t="shared" si="95"/>
        <v>9783.3712959999993</v>
      </c>
      <c r="AK109" s="244">
        <f t="shared" si="95"/>
        <v>9783.3712959999993</v>
      </c>
      <c r="AL109" s="244">
        <f t="shared" si="95"/>
        <v>34241.799535999999</v>
      </c>
      <c r="AM109" s="245">
        <f>SUM(AM97:AM108)</f>
        <v>150541.62581719997</v>
      </c>
      <c r="AN109" s="158"/>
      <c r="AO109" s="183"/>
      <c r="AP109" s="160">
        <f>SUM(AP97:AP108)</f>
        <v>3999945902.2427158</v>
      </c>
      <c r="AQ109" s="160">
        <f t="shared" ref="AQ109:AX109" si="96">SUM(AQ97:AQ108)</f>
        <v>1111096.1728439969</v>
      </c>
      <c r="AR109" s="160">
        <f t="shared" si="96"/>
        <v>222219.23456879938</v>
      </c>
      <c r="AS109" s="185">
        <f t="shared" si="96"/>
        <v>31.709365663356078</v>
      </c>
      <c r="AT109" s="186">
        <f t="shared" si="96"/>
        <v>31.709365663356078</v>
      </c>
      <c r="AU109" s="187"/>
      <c r="AV109" s="246">
        <f t="shared" si="96"/>
        <v>0</v>
      </c>
      <c r="AW109" s="246"/>
      <c r="AX109" s="185">
        <f t="shared" si="96"/>
        <v>0</v>
      </c>
      <c r="AY109" s="189"/>
    </row>
    <row r="110" spans="1:51" s="139" customFormat="1" ht="10.9" customHeight="1" x14ac:dyDescent="0.25">
      <c r="B110" s="247"/>
      <c r="C110" s="152"/>
      <c r="D110" s="247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248"/>
      <c r="Q110" s="249"/>
      <c r="R110" s="250"/>
      <c r="S110" s="250"/>
      <c r="T110" s="251"/>
      <c r="U110" s="199"/>
      <c r="V110" s="179"/>
      <c r="W110" s="249"/>
      <c r="X110" s="249"/>
      <c r="Y110" s="152"/>
      <c r="Z110" s="153"/>
      <c r="AA110" s="153"/>
      <c r="AB110" s="154"/>
      <c r="AC110" s="247"/>
      <c r="AD110" s="252"/>
      <c r="AE110" s="252"/>
      <c r="AF110" s="252"/>
      <c r="AG110" s="252"/>
      <c r="AH110" s="252"/>
      <c r="AI110" s="252"/>
      <c r="AJ110" s="252"/>
      <c r="AK110" s="252"/>
      <c r="AL110" s="252"/>
      <c r="AM110" s="214"/>
      <c r="AN110" s="203"/>
      <c r="AO110" s="204"/>
      <c r="AP110" s="203"/>
      <c r="AQ110" s="205"/>
      <c r="AR110" s="206"/>
      <c r="AS110" s="253"/>
      <c r="AT110" s="254"/>
      <c r="AU110" s="255"/>
      <c r="AV110" s="256"/>
      <c r="AW110" s="257"/>
      <c r="AX110" s="214"/>
      <c r="AY110" s="212"/>
    </row>
    <row r="111" spans="1:51" s="139" customFormat="1" ht="15" customHeight="1" x14ac:dyDescent="0.25">
      <c r="A111" s="1"/>
      <c r="B111" s="120"/>
      <c r="C111" s="258" t="s">
        <v>157</v>
      </c>
      <c r="D111" s="122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213"/>
      <c r="Q111" s="76"/>
      <c r="R111" s="108"/>
      <c r="S111" s="108"/>
      <c r="T111" s="94"/>
      <c r="U111" s="199"/>
      <c r="V111" s="179"/>
      <c r="W111" s="180"/>
      <c r="X111" s="180"/>
      <c r="Y111" s="214"/>
      <c r="Z111" s="181"/>
      <c r="AA111" s="181"/>
      <c r="AB111" s="182"/>
      <c r="AC111" s="62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125"/>
      <c r="AN111" s="75"/>
      <c r="AO111" s="216"/>
      <c r="AP111" s="75"/>
      <c r="AQ111" s="51"/>
      <c r="AR111" s="259"/>
      <c r="AS111" s="218"/>
      <c r="AT111" s="219"/>
      <c r="AU111" s="220"/>
      <c r="AV111" s="135"/>
      <c r="AW111" s="136"/>
      <c r="AX111" s="137"/>
      <c r="AY111" s="138"/>
    </row>
    <row r="112" spans="1:51" ht="10.9" customHeight="1" x14ac:dyDescent="0.25">
      <c r="B112" s="140">
        <v>1</v>
      </c>
      <c r="C112" s="221" t="s">
        <v>158</v>
      </c>
      <c r="D112" s="235"/>
      <c r="E112" s="236"/>
      <c r="F112" s="236"/>
      <c r="G112" s="236"/>
      <c r="H112" s="236"/>
      <c r="I112" s="236"/>
      <c r="J112" s="236"/>
      <c r="K112" s="236"/>
      <c r="L112" s="236"/>
      <c r="M112" s="264">
        <f>(O112/$O$119)*$M$119</f>
        <v>191728.39674948406</v>
      </c>
      <c r="N112" s="236">
        <v>212561</v>
      </c>
      <c r="O112" s="236">
        <v>223397</v>
      </c>
      <c r="P112" s="237"/>
      <c r="Q112" s="223">
        <f t="shared" ref="Q112:Q118" si="97">MAX(D112:P112)</f>
        <v>223397</v>
      </c>
      <c r="R112" s="147">
        <f t="shared" ref="R112:R117" si="98">Q112*$R$10</f>
        <v>24573.670000000002</v>
      </c>
      <c r="S112" s="147">
        <f t="shared" ref="S112:S117" si="99">R112/$S$5</f>
        <v>67.325123287671232</v>
      </c>
      <c r="T112" s="148">
        <f t="shared" ref="T112:T117" si="100">S112*$T$5*$T$10</f>
        <v>14744.201999999997</v>
      </c>
      <c r="U112" s="199"/>
      <c r="V112" s="150"/>
      <c r="W112" s="249"/>
      <c r="X112" s="249"/>
      <c r="Y112" s="152"/>
      <c r="Z112" s="153"/>
      <c r="AA112" s="153"/>
      <c r="AB112" s="154"/>
      <c r="AC112" s="155">
        <f t="shared" ref="AC112:AC118" si="101">T112*$AC$5</f>
        <v>8551.6371599999984</v>
      </c>
      <c r="AD112" s="156">
        <f t="shared" ref="AD112:AD118" si="102">T112*$AD$5</f>
        <v>1916.7462599999997</v>
      </c>
      <c r="AE112" s="156">
        <f t="shared" ref="AE112:AE118" si="103">T112*$AE$5</f>
        <v>1293.8037254999997</v>
      </c>
      <c r="AF112" s="156">
        <f t="shared" ref="AF112:AF118" si="104">T112*$AF$5</f>
        <v>589.76807999999994</v>
      </c>
      <c r="AG112" s="156">
        <f t="shared" ref="AG112:AG118" si="105">T112*$AG$5</f>
        <v>294.88403999999997</v>
      </c>
      <c r="AH112" s="156">
        <f t="shared" ref="AH112:AH118" si="106">T112*$AH$5</f>
        <v>294.88403999999997</v>
      </c>
      <c r="AI112" s="156">
        <f t="shared" ref="AI112:AI118" si="107">T112*$AI$5</f>
        <v>147.44201999999999</v>
      </c>
      <c r="AJ112" s="156">
        <f t="shared" ref="AJ112:AJ118" si="108">T112*$AJ$5</f>
        <v>294.88403999999997</v>
      </c>
      <c r="AK112" s="156">
        <f t="shared" ref="AK112:AK118" si="109">T112*$AK$5</f>
        <v>294.88403999999997</v>
      </c>
      <c r="AL112" s="156">
        <f t="shared" ref="AL112:AL118" si="110">T112*$AL$5</f>
        <v>1032.0941399999999</v>
      </c>
      <c r="AM112" s="157">
        <f t="shared" ref="AM112:AM118" si="111">SUM(AD112:AI112)</f>
        <v>4537.5281654999999</v>
      </c>
      <c r="AN112" s="158">
        <f t="shared" ref="AN112:AN118" si="112">$AN$5</f>
        <v>2200</v>
      </c>
      <c r="AO112" s="159">
        <v>0.2</v>
      </c>
      <c r="AP112" s="160">
        <f t="shared" ref="AP112:AP118" si="113">(AC112+AM112)*AN112*$AP$5</f>
        <v>120563778.24656746</v>
      </c>
      <c r="AQ112" s="161">
        <f t="shared" ref="AQ112:AQ118" si="114">AP112*$AQ$5</f>
        <v>33489.941081019366</v>
      </c>
      <c r="AR112" s="162">
        <f t="shared" ref="AR112:AR118" si="115">AQ112*$AR$5</f>
        <v>6697.9882162038739</v>
      </c>
      <c r="AS112" s="163">
        <f t="shared" ref="AS112:AS118" si="116">AR112/$AS$5</f>
        <v>0.9557631587048907</v>
      </c>
      <c r="AT112" s="164">
        <f t="shared" ref="AT112:AT118" si="117">AS112</f>
        <v>0.9557631587048907</v>
      </c>
      <c r="AU112" s="165"/>
      <c r="AV112" s="166"/>
      <c r="AW112" s="167"/>
      <c r="AX112" s="146"/>
      <c r="AY112" s="168"/>
    </row>
    <row r="113" spans="1:51" ht="10.9" customHeight="1" x14ac:dyDescent="0.25">
      <c r="B113" s="140">
        <v>2</v>
      </c>
      <c r="C113" s="221" t="s">
        <v>159</v>
      </c>
      <c r="D113" s="235"/>
      <c r="E113" s="236"/>
      <c r="F113" s="236"/>
      <c r="G113" s="236"/>
      <c r="H113" s="236"/>
      <c r="I113" s="236"/>
      <c r="J113" s="236"/>
      <c r="K113" s="236"/>
      <c r="L113" s="236"/>
      <c r="M113" s="264">
        <f t="shared" ref="M113:M118" si="118">(O113/$O$119)*$M$119</f>
        <v>128353.32903965737</v>
      </c>
      <c r="N113" s="236">
        <v>142300</v>
      </c>
      <c r="O113" s="236">
        <v>149554</v>
      </c>
      <c r="P113" s="237"/>
      <c r="Q113" s="223">
        <f t="shared" si="97"/>
        <v>149554</v>
      </c>
      <c r="R113" s="147">
        <f t="shared" si="98"/>
        <v>16450.939999999999</v>
      </c>
      <c r="S113" s="147">
        <f t="shared" si="99"/>
        <v>45.071068493150683</v>
      </c>
      <c r="T113" s="148">
        <f t="shared" si="100"/>
        <v>9870.5639999999985</v>
      </c>
      <c r="U113" s="199"/>
      <c r="V113" s="150"/>
      <c r="W113" s="249"/>
      <c r="X113" s="249"/>
      <c r="Y113" s="152"/>
      <c r="Z113" s="153"/>
      <c r="AA113" s="153"/>
      <c r="AB113" s="154"/>
      <c r="AC113" s="155">
        <f t="shared" si="101"/>
        <v>5724.9271199999985</v>
      </c>
      <c r="AD113" s="156">
        <f t="shared" si="102"/>
        <v>1283.1733199999999</v>
      </c>
      <c r="AE113" s="156">
        <f t="shared" si="103"/>
        <v>866.14199099999985</v>
      </c>
      <c r="AF113" s="156">
        <f t="shared" si="104"/>
        <v>394.82255999999995</v>
      </c>
      <c r="AG113" s="156">
        <f t="shared" si="105"/>
        <v>197.41127999999998</v>
      </c>
      <c r="AH113" s="156">
        <f t="shared" si="106"/>
        <v>197.41127999999998</v>
      </c>
      <c r="AI113" s="156">
        <f t="shared" si="107"/>
        <v>98.705639999999988</v>
      </c>
      <c r="AJ113" s="156">
        <f t="shared" si="108"/>
        <v>197.41127999999998</v>
      </c>
      <c r="AK113" s="156">
        <f t="shared" si="109"/>
        <v>197.41127999999998</v>
      </c>
      <c r="AL113" s="156">
        <f t="shared" si="110"/>
        <v>690.93948</v>
      </c>
      <c r="AM113" s="157">
        <f t="shared" si="111"/>
        <v>3037.6660709999996</v>
      </c>
      <c r="AN113" s="158">
        <f t="shared" si="112"/>
        <v>2200</v>
      </c>
      <c r="AO113" s="159">
        <v>0.2</v>
      </c>
      <c r="AP113" s="160">
        <f t="shared" si="113"/>
        <v>80711895.378573343</v>
      </c>
      <c r="AQ113" s="161">
        <f t="shared" si="114"/>
        <v>22419.972732090271</v>
      </c>
      <c r="AR113" s="162">
        <f t="shared" si="115"/>
        <v>4483.9945464180546</v>
      </c>
      <c r="AS113" s="163">
        <f t="shared" si="116"/>
        <v>0.63983940445463106</v>
      </c>
      <c r="AT113" s="164">
        <f t="shared" si="117"/>
        <v>0.63983940445463106</v>
      </c>
      <c r="AU113" s="165"/>
      <c r="AV113" s="166"/>
      <c r="AW113" s="167"/>
      <c r="AX113" s="146"/>
      <c r="AY113" s="168"/>
    </row>
    <row r="114" spans="1:51" ht="10.9" customHeight="1" x14ac:dyDescent="0.25">
      <c r="B114" s="140">
        <v>3</v>
      </c>
      <c r="C114" s="221" t="s">
        <v>160</v>
      </c>
      <c r="D114" s="235"/>
      <c r="E114" s="236"/>
      <c r="F114" s="236"/>
      <c r="G114" s="236"/>
      <c r="H114" s="236"/>
      <c r="I114" s="236"/>
      <c r="J114" s="236"/>
      <c r="K114" s="236"/>
      <c r="L114" s="236"/>
      <c r="M114" s="264">
        <f t="shared" si="118"/>
        <v>62240.473509802439</v>
      </c>
      <c r="N114" s="236">
        <v>69003</v>
      </c>
      <c r="O114" s="236">
        <v>72521</v>
      </c>
      <c r="P114" s="237"/>
      <c r="Q114" s="223">
        <f t="shared" si="97"/>
        <v>72521</v>
      </c>
      <c r="R114" s="147">
        <f t="shared" si="98"/>
        <v>7977.31</v>
      </c>
      <c r="S114" s="147">
        <f t="shared" si="99"/>
        <v>21.855643835616441</v>
      </c>
      <c r="T114" s="148">
        <f t="shared" si="100"/>
        <v>4786.3860000000004</v>
      </c>
      <c r="U114" s="199"/>
      <c r="V114" s="150"/>
      <c r="W114" s="249"/>
      <c r="X114" s="249"/>
      <c r="Y114" s="152"/>
      <c r="Z114" s="153"/>
      <c r="AA114" s="153"/>
      <c r="AB114" s="154"/>
      <c r="AC114" s="155">
        <f t="shared" si="101"/>
        <v>2776.1038800000001</v>
      </c>
      <c r="AD114" s="156">
        <f t="shared" si="102"/>
        <v>622.23018000000013</v>
      </c>
      <c r="AE114" s="156">
        <f t="shared" si="103"/>
        <v>420.00537150000002</v>
      </c>
      <c r="AF114" s="156">
        <f t="shared" si="104"/>
        <v>191.45544000000001</v>
      </c>
      <c r="AG114" s="156">
        <f t="shared" si="105"/>
        <v>95.727720000000005</v>
      </c>
      <c r="AH114" s="156">
        <f t="shared" si="106"/>
        <v>95.727720000000005</v>
      </c>
      <c r="AI114" s="156">
        <f t="shared" si="107"/>
        <v>47.863860000000003</v>
      </c>
      <c r="AJ114" s="156">
        <f t="shared" si="108"/>
        <v>95.727720000000005</v>
      </c>
      <c r="AK114" s="156">
        <f t="shared" si="109"/>
        <v>95.727720000000005</v>
      </c>
      <c r="AL114" s="156">
        <f t="shared" si="110"/>
        <v>335.04702000000009</v>
      </c>
      <c r="AM114" s="157">
        <f t="shared" si="111"/>
        <v>1473.0102915000002</v>
      </c>
      <c r="AN114" s="158">
        <f t="shared" si="112"/>
        <v>2200</v>
      </c>
      <c r="AO114" s="159">
        <v>0.2</v>
      </c>
      <c r="AP114" s="160">
        <f t="shared" si="113"/>
        <v>39138420.669119641</v>
      </c>
      <c r="AQ114" s="161">
        <f t="shared" si="114"/>
        <v>10871.784388942582</v>
      </c>
      <c r="AR114" s="162">
        <f t="shared" si="115"/>
        <v>2174.3568777885166</v>
      </c>
      <c r="AS114" s="163">
        <f t="shared" si="116"/>
        <v>0.31026781931913766</v>
      </c>
      <c r="AT114" s="164">
        <f t="shared" si="117"/>
        <v>0.31026781931913766</v>
      </c>
      <c r="AU114" s="165"/>
      <c r="AV114" s="166"/>
      <c r="AW114" s="167"/>
      <c r="AX114" s="146"/>
      <c r="AY114" s="168"/>
    </row>
    <row r="115" spans="1:51" ht="10.9" customHeight="1" x14ac:dyDescent="0.25">
      <c r="B115" s="140">
        <v>4</v>
      </c>
      <c r="C115" s="221" t="s">
        <v>161</v>
      </c>
      <c r="D115" s="235"/>
      <c r="E115" s="236"/>
      <c r="F115" s="236"/>
      <c r="G115" s="236"/>
      <c r="H115" s="236"/>
      <c r="I115" s="236"/>
      <c r="J115" s="236"/>
      <c r="K115" s="236"/>
      <c r="L115" s="236"/>
      <c r="M115" s="264">
        <f t="shared" si="118"/>
        <v>77791.794920119719</v>
      </c>
      <c r="N115" s="236">
        <v>86244</v>
      </c>
      <c r="O115" s="236">
        <v>90641</v>
      </c>
      <c r="P115" s="237"/>
      <c r="Q115" s="223">
        <f t="shared" si="97"/>
        <v>90641</v>
      </c>
      <c r="R115" s="147">
        <f t="shared" si="98"/>
        <v>9970.51</v>
      </c>
      <c r="S115" s="147">
        <f t="shared" si="99"/>
        <v>27.316465753424659</v>
      </c>
      <c r="T115" s="148">
        <f t="shared" si="100"/>
        <v>5982.3059999999996</v>
      </c>
      <c r="U115" s="199"/>
      <c r="V115" s="150"/>
      <c r="W115" s="249"/>
      <c r="X115" s="249"/>
      <c r="Y115" s="152"/>
      <c r="Z115" s="153"/>
      <c r="AA115" s="153"/>
      <c r="AB115" s="154"/>
      <c r="AC115" s="155">
        <f t="shared" si="101"/>
        <v>3469.7374799999993</v>
      </c>
      <c r="AD115" s="156">
        <f t="shared" si="102"/>
        <v>777.69977999999992</v>
      </c>
      <c r="AE115" s="156">
        <f t="shared" si="103"/>
        <v>524.94735149999997</v>
      </c>
      <c r="AF115" s="156">
        <f t="shared" si="104"/>
        <v>239.29223999999999</v>
      </c>
      <c r="AG115" s="156">
        <f t="shared" si="105"/>
        <v>119.64612</v>
      </c>
      <c r="AH115" s="156">
        <f t="shared" si="106"/>
        <v>119.64612</v>
      </c>
      <c r="AI115" s="156">
        <f t="shared" si="107"/>
        <v>59.823059999999998</v>
      </c>
      <c r="AJ115" s="156">
        <f t="shared" si="108"/>
        <v>119.64612</v>
      </c>
      <c r="AK115" s="156">
        <f t="shared" si="109"/>
        <v>119.64612</v>
      </c>
      <c r="AL115" s="156">
        <f t="shared" si="110"/>
        <v>418.76141999999999</v>
      </c>
      <c r="AM115" s="157">
        <f t="shared" si="111"/>
        <v>1841.0546714999998</v>
      </c>
      <c r="AN115" s="158">
        <f t="shared" si="112"/>
        <v>2200</v>
      </c>
      <c r="AO115" s="159">
        <v>0.2</v>
      </c>
      <c r="AP115" s="160">
        <f t="shared" si="113"/>
        <v>48917494.075780421</v>
      </c>
      <c r="AQ115" s="161">
        <f t="shared" si="114"/>
        <v>13588.193885883318</v>
      </c>
      <c r="AR115" s="162">
        <f t="shared" si="115"/>
        <v>2717.638777176664</v>
      </c>
      <c r="AS115" s="163">
        <f t="shared" si="116"/>
        <v>0.3877909214007797</v>
      </c>
      <c r="AT115" s="164">
        <f t="shared" si="117"/>
        <v>0.3877909214007797</v>
      </c>
      <c r="AU115" s="165"/>
      <c r="AV115" s="166"/>
      <c r="AW115" s="167"/>
      <c r="AX115" s="146"/>
      <c r="AY115" s="168"/>
    </row>
    <row r="116" spans="1:51" ht="10.9" customHeight="1" x14ac:dyDescent="0.25">
      <c r="B116" s="140">
        <v>5</v>
      </c>
      <c r="C116" s="221" t="s">
        <v>162</v>
      </c>
      <c r="D116" s="235"/>
      <c r="E116" s="236"/>
      <c r="F116" s="236"/>
      <c r="G116" s="236"/>
      <c r="H116" s="236"/>
      <c r="I116" s="236"/>
      <c r="J116" s="236"/>
      <c r="K116" s="236"/>
      <c r="L116" s="236"/>
      <c r="M116" s="264">
        <f t="shared" si="118"/>
        <v>33744.307682718274</v>
      </c>
      <c r="N116" s="236">
        <v>37411</v>
      </c>
      <c r="O116" s="236">
        <v>39318</v>
      </c>
      <c r="P116" s="237"/>
      <c r="Q116" s="223">
        <f t="shared" si="97"/>
        <v>39318</v>
      </c>
      <c r="R116" s="147">
        <f t="shared" si="98"/>
        <v>4324.9800000000005</v>
      </c>
      <c r="S116" s="147">
        <f t="shared" si="99"/>
        <v>11.849260273972604</v>
      </c>
      <c r="T116" s="148">
        <f t="shared" si="100"/>
        <v>2594.9880000000003</v>
      </c>
      <c r="U116" s="199"/>
      <c r="V116" s="150"/>
      <c r="W116" s="249"/>
      <c r="X116" s="249"/>
      <c r="Y116" s="152"/>
      <c r="Z116" s="153"/>
      <c r="AA116" s="153"/>
      <c r="AB116" s="154"/>
      <c r="AC116" s="155">
        <f t="shared" si="101"/>
        <v>1505.09304</v>
      </c>
      <c r="AD116" s="156">
        <f t="shared" si="102"/>
        <v>337.34844000000004</v>
      </c>
      <c r="AE116" s="156">
        <f t="shared" si="103"/>
        <v>227.71019700000002</v>
      </c>
      <c r="AF116" s="156">
        <f t="shared" si="104"/>
        <v>103.79952000000002</v>
      </c>
      <c r="AG116" s="156">
        <f t="shared" si="105"/>
        <v>51.899760000000008</v>
      </c>
      <c r="AH116" s="156">
        <f t="shared" si="106"/>
        <v>51.899760000000008</v>
      </c>
      <c r="AI116" s="156">
        <f t="shared" si="107"/>
        <v>25.949880000000004</v>
      </c>
      <c r="AJ116" s="156">
        <f t="shared" si="108"/>
        <v>51.899760000000008</v>
      </c>
      <c r="AK116" s="156">
        <f t="shared" si="109"/>
        <v>51.899760000000008</v>
      </c>
      <c r="AL116" s="156">
        <f t="shared" si="110"/>
        <v>181.64916000000002</v>
      </c>
      <c r="AM116" s="157">
        <f t="shared" si="111"/>
        <v>798.60755700000016</v>
      </c>
      <c r="AN116" s="158">
        <f t="shared" si="112"/>
        <v>2200</v>
      </c>
      <c r="AO116" s="159">
        <v>0.2</v>
      </c>
      <c r="AP116" s="160">
        <f t="shared" si="113"/>
        <v>21219294.050943121</v>
      </c>
      <c r="AQ116" s="161">
        <f t="shared" si="114"/>
        <v>5894.2488190240683</v>
      </c>
      <c r="AR116" s="162">
        <f t="shared" si="115"/>
        <v>1178.8497638048136</v>
      </c>
      <c r="AS116" s="163">
        <f t="shared" si="116"/>
        <v>0.16821486355662293</v>
      </c>
      <c r="AT116" s="164">
        <f t="shared" si="117"/>
        <v>0.16821486355662293</v>
      </c>
      <c r="AU116" s="165"/>
      <c r="AV116" s="166"/>
      <c r="AW116" s="167"/>
      <c r="AX116" s="146"/>
      <c r="AY116" s="168"/>
    </row>
    <row r="117" spans="1:51" ht="10.9" customHeight="1" x14ac:dyDescent="0.25">
      <c r="B117" s="140">
        <v>6</v>
      </c>
      <c r="C117" s="221" t="s">
        <v>163</v>
      </c>
      <c r="D117" s="235"/>
      <c r="E117" s="236"/>
      <c r="F117" s="236"/>
      <c r="G117" s="236"/>
      <c r="H117" s="236"/>
      <c r="I117" s="236"/>
      <c r="J117" s="236"/>
      <c r="K117" s="236"/>
      <c r="L117" s="236"/>
      <c r="M117" s="264">
        <f t="shared" si="118"/>
        <v>168996.17543629013</v>
      </c>
      <c r="N117" s="236">
        <v>187359</v>
      </c>
      <c r="O117" s="236">
        <v>196910</v>
      </c>
      <c r="P117" s="237"/>
      <c r="Q117" s="223">
        <f t="shared" si="97"/>
        <v>196910</v>
      </c>
      <c r="R117" s="147">
        <f t="shared" si="98"/>
        <v>21660.1</v>
      </c>
      <c r="S117" s="147">
        <f t="shared" si="99"/>
        <v>59.342739726027396</v>
      </c>
      <c r="T117" s="148">
        <f t="shared" si="100"/>
        <v>12996.06</v>
      </c>
      <c r="U117" s="199"/>
      <c r="V117" s="150"/>
      <c r="W117" s="249"/>
      <c r="X117" s="249"/>
      <c r="Y117" s="152"/>
      <c r="Z117" s="153"/>
      <c r="AA117" s="153"/>
      <c r="AB117" s="154"/>
      <c r="AC117" s="155">
        <f t="shared" si="101"/>
        <v>7537.7147999999988</v>
      </c>
      <c r="AD117" s="156">
        <f t="shared" si="102"/>
        <v>1689.4877999999999</v>
      </c>
      <c r="AE117" s="156">
        <f t="shared" si="103"/>
        <v>1140.4042649999999</v>
      </c>
      <c r="AF117" s="156">
        <f t="shared" si="104"/>
        <v>519.8424</v>
      </c>
      <c r="AG117" s="156">
        <f t="shared" si="105"/>
        <v>259.9212</v>
      </c>
      <c r="AH117" s="156">
        <f t="shared" si="106"/>
        <v>259.9212</v>
      </c>
      <c r="AI117" s="156">
        <f t="shared" si="107"/>
        <v>129.9606</v>
      </c>
      <c r="AJ117" s="156">
        <f t="shared" si="108"/>
        <v>259.9212</v>
      </c>
      <c r="AK117" s="156">
        <f t="shared" si="109"/>
        <v>259.9212</v>
      </c>
      <c r="AL117" s="156">
        <f t="shared" si="110"/>
        <v>909.7242</v>
      </c>
      <c r="AM117" s="157">
        <f t="shared" si="111"/>
        <v>3999.5374649999999</v>
      </c>
      <c r="AN117" s="158">
        <f t="shared" si="112"/>
        <v>2200</v>
      </c>
      <c r="AO117" s="159">
        <v>0.2</v>
      </c>
      <c r="AP117" s="160">
        <f t="shared" si="113"/>
        <v>106269169.12282439</v>
      </c>
      <c r="AQ117" s="161">
        <f t="shared" si="114"/>
        <v>29519.216006766088</v>
      </c>
      <c r="AR117" s="162">
        <f t="shared" si="115"/>
        <v>5903.8432013532183</v>
      </c>
      <c r="AS117" s="163">
        <f t="shared" si="116"/>
        <v>0.84244337918852996</v>
      </c>
      <c r="AT117" s="164">
        <f t="shared" si="117"/>
        <v>0.84244337918852996</v>
      </c>
      <c r="AU117" s="165"/>
      <c r="AV117" s="166"/>
      <c r="AW117" s="167"/>
      <c r="AX117" s="146"/>
      <c r="AY117" s="168"/>
    </row>
    <row r="118" spans="1:51" ht="10.9" customHeight="1" x14ac:dyDescent="0.25">
      <c r="B118" s="140">
        <v>7</v>
      </c>
      <c r="C118" s="238" t="s">
        <v>164</v>
      </c>
      <c r="D118" s="235"/>
      <c r="E118" s="236"/>
      <c r="F118" s="236"/>
      <c r="G118" s="236"/>
      <c r="H118" s="236"/>
      <c r="I118" s="236"/>
      <c r="J118" s="236"/>
      <c r="K118" s="236"/>
      <c r="L118" s="236"/>
      <c r="M118" s="264">
        <f t="shared" si="118"/>
        <v>851739.52266192797</v>
      </c>
      <c r="N118" s="236">
        <v>944285</v>
      </c>
      <c r="O118" s="236">
        <v>992425</v>
      </c>
      <c r="P118" s="237"/>
      <c r="Q118" s="223">
        <f t="shared" si="97"/>
        <v>992425</v>
      </c>
      <c r="R118" s="167"/>
      <c r="S118" s="147">
        <f>Q118*$S$4*0.8</f>
        <v>0</v>
      </c>
      <c r="T118" s="146">
        <f>Q118*$T$4*$T$5</f>
        <v>0</v>
      </c>
      <c r="U118" s="199"/>
      <c r="V118" s="150"/>
      <c r="W118" s="249"/>
      <c r="X118" s="249"/>
      <c r="Y118" s="152"/>
      <c r="Z118" s="153"/>
      <c r="AA118" s="153"/>
      <c r="AB118" s="154"/>
      <c r="AC118" s="155">
        <f t="shared" si="101"/>
        <v>0</v>
      </c>
      <c r="AD118" s="156">
        <f t="shared" si="102"/>
        <v>0</v>
      </c>
      <c r="AE118" s="156">
        <f t="shared" si="103"/>
        <v>0</v>
      </c>
      <c r="AF118" s="156">
        <f t="shared" si="104"/>
        <v>0</v>
      </c>
      <c r="AG118" s="156">
        <f t="shared" si="105"/>
        <v>0</v>
      </c>
      <c r="AH118" s="156">
        <f t="shared" si="106"/>
        <v>0</v>
      </c>
      <c r="AI118" s="156">
        <f t="shared" si="107"/>
        <v>0</v>
      </c>
      <c r="AJ118" s="156">
        <f t="shared" si="108"/>
        <v>0</v>
      </c>
      <c r="AK118" s="156">
        <f t="shared" si="109"/>
        <v>0</v>
      </c>
      <c r="AL118" s="156">
        <f t="shared" si="110"/>
        <v>0</v>
      </c>
      <c r="AM118" s="157">
        <f t="shared" si="111"/>
        <v>0</v>
      </c>
      <c r="AN118" s="158">
        <f t="shared" si="112"/>
        <v>2200</v>
      </c>
      <c r="AO118" s="159">
        <v>0.2</v>
      </c>
      <c r="AP118" s="160">
        <f t="shared" si="113"/>
        <v>0</v>
      </c>
      <c r="AQ118" s="161">
        <f t="shared" si="114"/>
        <v>0</v>
      </c>
      <c r="AR118" s="162">
        <f t="shared" si="115"/>
        <v>0</v>
      </c>
      <c r="AS118" s="163">
        <f t="shared" si="116"/>
        <v>0</v>
      </c>
      <c r="AT118" s="233">
        <f t="shared" si="117"/>
        <v>0</v>
      </c>
      <c r="AU118" s="187"/>
      <c r="AV118" s="166"/>
      <c r="AW118" s="167"/>
      <c r="AX118" s="167"/>
      <c r="AY118" s="168"/>
    </row>
    <row r="119" spans="1:51" s="263" customFormat="1" ht="17.25" customHeight="1" x14ac:dyDescent="0.25">
      <c r="A119" s="173"/>
      <c r="B119" s="225"/>
      <c r="C119" s="258" t="s">
        <v>165</v>
      </c>
      <c r="D119" s="240">
        <f>SUM(D112:D118)</f>
        <v>0</v>
      </c>
      <c r="E119" s="240">
        <f t="shared" ref="E119:T119" si="119">SUM(E112:E118)</f>
        <v>0</v>
      </c>
      <c r="F119" s="240">
        <f t="shared" si="119"/>
        <v>0</v>
      </c>
      <c r="G119" s="240">
        <f t="shared" si="119"/>
        <v>0</v>
      </c>
      <c r="H119" s="240">
        <f t="shared" si="119"/>
        <v>0</v>
      </c>
      <c r="I119" s="240">
        <f t="shared" si="119"/>
        <v>0</v>
      </c>
      <c r="J119" s="240">
        <f t="shared" si="119"/>
        <v>0</v>
      </c>
      <c r="K119" s="240">
        <v>1392818</v>
      </c>
      <c r="L119" s="240">
        <v>1453073</v>
      </c>
      <c r="M119" s="240">
        <v>1514594</v>
      </c>
      <c r="N119" s="240">
        <f t="shared" si="119"/>
        <v>1679163</v>
      </c>
      <c r="O119" s="240">
        <f>SUM(O112:O118)</f>
        <v>1764766</v>
      </c>
      <c r="P119" s="240">
        <f t="shared" si="119"/>
        <v>0</v>
      </c>
      <c r="Q119" s="240">
        <f t="shared" si="119"/>
        <v>1764766</v>
      </c>
      <c r="R119" s="240">
        <f t="shared" si="119"/>
        <v>84957.510000000009</v>
      </c>
      <c r="S119" s="240">
        <f t="shared" si="119"/>
        <v>232.76030136986299</v>
      </c>
      <c r="T119" s="240">
        <f t="shared" si="119"/>
        <v>50974.505999999987</v>
      </c>
      <c r="U119" s="199"/>
      <c r="V119" s="179"/>
      <c r="W119" s="180"/>
      <c r="X119" s="180"/>
      <c r="Y119" s="227"/>
      <c r="Z119" s="181"/>
      <c r="AA119" s="181"/>
      <c r="AB119" s="182"/>
      <c r="AC119" s="240">
        <f>SUM(AC112:AC118)</f>
        <v>29565.213479999995</v>
      </c>
      <c r="AD119" s="244">
        <f t="shared" ref="AD119:AM119" si="120">SUM(AD112:AD118)</f>
        <v>6626.6857799999989</v>
      </c>
      <c r="AE119" s="244">
        <f t="shared" si="120"/>
        <v>4473.0129014999993</v>
      </c>
      <c r="AF119" s="244">
        <f t="shared" si="120"/>
        <v>2038.9802399999999</v>
      </c>
      <c r="AG119" s="244">
        <f t="shared" si="120"/>
        <v>1019.4901199999999</v>
      </c>
      <c r="AH119" s="244">
        <f t="shared" si="120"/>
        <v>1019.4901199999999</v>
      </c>
      <c r="AI119" s="244">
        <f t="shared" si="120"/>
        <v>509.74505999999997</v>
      </c>
      <c r="AJ119" s="244">
        <f t="shared" si="120"/>
        <v>1019.4901199999999</v>
      </c>
      <c r="AK119" s="244">
        <f t="shared" si="120"/>
        <v>1019.4901199999999</v>
      </c>
      <c r="AL119" s="244">
        <f t="shared" si="120"/>
        <v>3568.21542</v>
      </c>
      <c r="AM119" s="245">
        <f t="shared" si="120"/>
        <v>15687.404221499999</v>
      </c>
      <c r="AN119" s="261"/>
      <c r="AO119" s="262"/>
      <c r="AP119" s="184">
        <f>SUM(AP112:AP118)</f>
        <v>416820051.5438084</v>
      </c>
      <c r="AQ119" s="184">
        <f t="shared" ref="AQ119:AX119" si="121">SUM(AQ112:AQ118)</f>
        <v>115783.3569137257</v>
      </c>
      <c r="AR119" s="184">
        <f t="shared" si="121"/>
        <v>23156.671382745142</v>
      </c>
      <c r="AS119" s="185">
        <f t="shared" si="121"/>
        <v>3.3043195466245923</v>
      </c>
      <c r="AT119" s="186">
        <f t="shared" si="121"/>
        <v>3.3043195466245923</v>
      </c>
      <c r="AU119" s="187"/>
      <c r="AV119" s="246">
        <f t="shared" si="121"/>
        <v>0</v>
      </c>
      <c r="AW119" s="246"/>
      <c r="AX119" s="185">
        <f t="shared" si="121"/>
        <v>0</v>
      </c>
      <c r="AY119" s="189"/>
    </row>
    <row r="120" spans="1:51" s="139" customFormat="1" ht="10.9" customHeight="1" x14ac:dyDescent="0.25">
      <c r="B120" s="247"/>
      <c r="C120" s="152"/>
      <c r="D120" s="247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248"/>
      <c r="Q120" s="249"/>
      <c r="R120" s="250"/>
      <c r="S120" s="250"/>
      <c r="T120" s="251"/>
      <c r="U120" s="199"/>
      <c r="V120" s="179"/>
      <c r="W120" s="249"/>
      <c r="X120" s="249"/>
      <c r="Y120" s="152"/>
      <c r="Z120" s="153"/>
      <c r="AA120" s="153"/>
      <c r="AB120" s="154"/>
      <c r="AC120" s="247"/>
      <c r="AD120" s="252"/>
      <c r="AE120" s="252"/>
      <c r="AF120" s="252"/>
      <c r="AG120" s="252"/>
      <c r="AH120" s="252"/>
      <c r="AI120" s="252"/>
      <c r="AJ120" s="252"/>
      <c r="AK120" s="252"/>
      <c r="AL120" s="252"/>
      <c r="AM120" s="214"/>
      <c r="AN120" s="203"/>
      <c r="AO120" s="204"/>
      <c r="AP120" s="203"/>
      <c r="AQ120" s="205"/>
      <c r="AR120" s="206"/>
      <c r="AS120" s="253"/>
      <c r="AT120" s="254"/>
      <c r="AU120" s="255"/>
      <c r="AV120" s="256"/>
      <c r="AW120" s="257"/>
      <c r="AX120" s="214"/>
      <c r="AY120" s="212"/>
    </row>
    <row r="121" spans="1:51" s="139" customFormat="1" ht="15" customHeight="1" x14ac:dyDescent="0.25">
      <c r="A121" s="1"/>
      <c r="B121" s="120"/>
      <c r="C121" s="258" t="s">
        <v>166</v>
      </c>
      <c r="D121" s="122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213"/>
      <c r="Q121" s="76"/>
      <c r="R121" s="108"/>
      <c r="S121" s="108"/>
      <c r="T121" s="94"/>
      <c r="U121" s="199"/>
      <c r="V121" s="179"/>
      <c r="W121" s="180"/>
      <c r="X121" s="180"/>
      <c r="Y121" s="214"/>
      <c r="Z121" s="181"/>
      <c r="AA121" s="181"/>
      <c r="AB121" s="182"/>
      <c r="AC121" s="62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125"/>
      <c r="AN121" s="75"/>
      <c r="AO121" s="216"/>
      <c r="AP121" s="75"/>
      <c r="AQ121" s="51"/>
      <c r="AR121" s="259"/>
      <c r="AS121" s="218"/>
      <c r="AT121" s="219"/>
      <c r="AU121" s="220"/>
      <c r="AV121" s="135"/>
      <c r="AW121" s="136"/>
      <c r="AX121" s="137"/>
      <c r="AY121" s="138"/>
    </row>
    <row r="122" spans="1:51" ht="10.9" customHeight="1" x14ac:dyDescent="0.25">
      <c r="B122" s="140">
        <v>1</v>
      </c>
      <c r="C122" s="221" t="s">
        <v>167</v>
      </c>
      <c r="D122" s="235"/>
      <c r="E122" s="236"/>
      <c r="F122" s="236"/>
      <c r="G122" s="236"/>
      <c r="H122" s="236"/>
      <c r="I122" s="236"/>
      <c r="J122" s="236">
        <v>306494</v>
      </c>
      <c r="K122" s="236">
        <v>308291</v>
      </c>
      <c r="L122" s="236">
        <v>310093</v>
      </c>
      <c r="M122" s="236">
        <v>233719</v>
      </c>
      <c r="N122" s="236">
        <v>229495</v>
      </c>
      <c r="O122" s="236"/>
      <c r="P122" s="237"/>
      <c r="Q122" s="223">
        <f t="shared" ref="Q122:Q132" si="122">MAX(D122:P122)</f>
        <v>310093</v>
      </c>
      <c r="R122" s="147">
        <f t="shared" ref="R122:R130" si="123">Q122*$R$10</f>
        <v>34110.230000000003</v>
      </c>
      <c r="S122" s="147">
        <f t="shared" ref="S122:S132" si="124">R122/$S$5</f>
        <v>93.452684931506852</v>
      </c>
      <c r="T122" s="148">
        <f t="shared" ref="T122:T130" si="125">S122*$T$5*$T$10</f>
        <v>20466.138000000003</v>
      </c>
      <c r="U122" s="199"/>
      <c r="V122" s="150"/>
      <c r="W122" s="249"/>
      <c r="X122" s="249"/>
      <c r="Y122" s="152"/>
      <c r="Z122" s="153"/>
      <c r="AA122" s="153"/>
      <c r="AB122" s="154"/>
      <c r="AC122" s="155">
        <f t="shared" ref="AC122:AC132" si="126">T122*$AC$5</f>
        <v>11870.360040000001</v>
      </c>
      <c r="AD122" s="156">
        <f t="shared" ref="AD122:AD132" si="127">T122*$AD$5</f>
        <v>2660.5979400000006</v>
      </c>
      <c r="AE122" s="156">
        <f t="shared" ref="AE122:AE132" si="128">T122*$AE$5</f>
        <v>1795.9036095000001</v>
      </c>
      <c r="AF122" s="156">
        <f t="shared" ref="AF122:AF132" si="129">T122*$AF$5</f>
        <v>818.64552000000015</v>
      </c>
      <c r="AG122" s="156">
        <f t="shared" ref="AG122:AG132" si="130">T122*$AG$5</f>
        <v>409.32276000000007</v>
      </c>
      <c r="AH122" s="156">
        <f t="shared" ref="AH122:AH132" si="131">T122*$AH$5</f>
        <v>409.32276000000007</v>
      </c>
      <c r="AI122" s="156">
        <f t="shared" ref="AI122:AI132" si="132">T122*$AI$5</f>
        <v>204.66138000000004</v>
      </c>
      <c r="AJ122" s="156">
        <f t="shared" ref="AJ122:AJ132" si="133">T122*$AJ$5</f>
        <v>409.32276000000007</v>
      </c>
      <c r="AK122" s="156">
        <f t="shared" ref="AK122:AK132" si="134">T122*$AK$5</f>
        <v>409.32276000000007</v>
      </c>
      <c r="AL122" s="156">
        <f t="shared" ref="AL122:AL132" si="135">T122*$AL$5</f>
        <v>1432.6296600000003</v>
      </c>
      <c r="AM122" s="157">
        <f t="shared" ref="AM122:AM132" si="136">SUM(AD122:AI122)</f>
        <v>6298.4539695000012</v>
      </c>
      <c r="AN122" s="158">
        <f t="shared" ref="AN122:AN132" si="137">$AN$5</f>
        <v>2200</v>
      </c>
      <c r="AO122" s="159">
        <v>0.2</v>
      </c>
      <c r="AP122" s="160">
        <f t="shared" ref="AP122:AP132" si="138">(AC122+AM122)*AN122*$AP$5</f>
        <v>167352219.08894411</v>
      </c>
      <c r="AQ122" s="161">
        <f t="shared" ref="AQ122:AQ132" si="139">AP122*$AQ$5</f>
        <v>46486.731243644899</v>
      </c>
      <c r="AR122" s="162">
        <f t="shared" ref="AR122:AR132" si="140">AQ122*$AR$5</f>
        <v>9297.3462487289798</v>
      </c>
      <c r="AS122" s="163">
        <f t="shared" ref="AS122:AS132" si="141">AR122/$AS$5</f>
        <v>1.3266761199670347</v>
      </c>
      <c r="AT122" s="164">
        <f t="shared" ref="AT122:AT132" si="142">AS122</f>
        <v>1.3266761199670347</v>
      </c>
      <c r="AU122" s="165"/>
      <c r="AV122" s="166"/>
      <c r="AW122" s="167"/>
      <c r="AX122" s="146"/>
      <c r="AY122" s="168"/>
    </row>
    <row r="123" spans="1:51" ht="10.9" customHeight="1" x14ac:dyDescent="0.25">
      <c r="B123" s="140">
        <v>2</v>
      </c>
      <c r="C123" s="221" t="s">
        <v>168</v>
      </c>
      <c r="D123" s="235"/>
      <c r="E123" s="236"/>
      <c r="F123" s="236"/>
      <c r="G123" s="236"/>
      <c r="H123" s="236"/>
      <c r="I123" s="236"/>
      <c r="J123" s="236">
        <v>277595</v>
      </c>
      <c r="K123" s="236">
        <v>281476</v>
      </c>
      <c r="L123" s="236">
        <v>286578</v>
      </c>
      <c r="M123" s="236">
        <v>292013</v>
      </c>
      <c r="N123" s="236">
        <v>333206</v>
      </c>
      <c r="O123" s="236"/>
      <c r="P123" s="237"/>
      <c r="Q123" s="223">
        <f t="shared" si="122"/>
        <v>333206</v>
      </c>
      <c r="R123" s="147">
        <f t="shared" si="123"/>
        <v>36652.660000000003</v>
      </c>
      <c r="S123" s="147">
        <f t="shared" si="124"/>
        <v>100.41824657534248</v>
      </c>
      <c r="T123" s="148">
        <f t="shared" si="125"/>
        <v>21991.596000000001</v>
      </c>
      <c r="U123" s="199"/>
      <c r="V123" s="150"/>
      <c r="W123" s="249"/>
      <c r="X123" s="249"/>
      <c r="Y123" s="152"/>
      <c r="Z123" s="153"/>
      <c r="AA123" s="153"/>
      <c r="AB123" s="154"/>
      <c r="AC123" s="155">
        <f t="shared" si="126"/>
        <v>12755.125679999999</v>
      </c>
      <c r="AD123" s="156">
        <f t="shared" si="127"/>
        <v>2858.9074800000003</v>
      </c>
      <c r="AE123" s="156">
        <f t="shared" si="128"/>
        <v>1929.762549</v>
      </c>
      <c r="AF123" s="156">
        <f t="shared" si="129"/>
        <v>879.66384000000005</v>
      </c>
      <c r="AG123" s="156">
        <f t="shared" si="130"/>
        <v>439.83192000000003</v>
      </c>
      <c r="AH123" s="156">
        <f t="shared" si="131"/>
        <v>439.83192000000003</v>
      </c>
      <c r="AI123" s="156">
        <f t="shared" si="132"/>
        <v>219.91596000000001</v>
      </c>
      <c r="AJ123" s="156">
        <f t="shared" si="133"/>
        <v>439.83192000000003</v>
      </c>
      <c r="AK123" s="156">
        <f t="shared" si="134"/>
        <v>439.83192000000003</v>
      </c>
      <c r="AL123" s="156">
        <f t="shared" si="135"/>
        <v>1539.4117200000003</v>
      </c>
      <c r="AM123" s="157">
        <f t="shared" si="136"/>
        <v>6767.9136690000005</v>
      </c>
      <c r="AN123" s="158">
        <f t="shared" si="137"/>
        <v>2200</v>
      </c>
      <c r="AO123" s="159">
        <v>0.2</v>
      </c>
      <c r="AP123" s="160">
        <f t="shared" si="138"/>
        <v>179825934.52206504</v>
      </c>
      <c r="AQ123" s="161">
        <f t="shared" si="139"/>
        <v>49951.652474483279</v>
      </c>
      <c r="AR123" s="162">
        <f t="shared" si="140"/>
        <v>9990.3304948966561</v>
      </c>
      <c r="AS123" s="163">
        <f t="shared" si="141"/>
        <v>1.4255608582900479</v>
      </c>
      <c r="AT123" s="164">
        <f t="shared" si="142"/>
        <v>1.4255608582900479</v>
      </c>
      <c r="AU123" s="165"/>
      <c r="AV123" s="166"/>
      <c r="AW123" s="167"/>
      <c r="AX123" s="146"/>
      <c r="AY123" s="168"/>
    </row>
    <row r="124" spans="1:51" ht="10.9" customHeight="1" x14ac:dyDescent="0.25">
      <c r="B124" s="140">
        <v>3</v>
      </c>
      <c r="C124" s="221" t="s">
        <v>169</v>
      </c>
      <c r="D124" s="235"/>
      <c r="E124" s="236"/>
      <c r="F124" s="236"/>
      <c r="G124" s="236"/>
      <c r="H124" s="236"/>
      <c r="I124" s="236"/>
      <c r="J124" s="236">
        <v>205090</v>
      </c>
      <c r="K124" s="236">
        <v>209851</v>
      </c>
      <c r="L124" s="236">
        <v>214036</v>
      </c>
      <c r="M124" s="236">
        <v>218228</v>
      </c>
      <c r="N124" s="236">
        <v>246245</v>
      </c>
      <c r="O124" s="236"/>
      <c r="P124" s="237"/>
      <c r="Q124" s="223">
        <f t="shared" si="122"/>
        <v>246245</v>
      </c>
      <c r="R124" s="147">
        <f t="shared" si="123"/>
        <v>27086.95</v>
      </c>
      <c r="S124" s="147">
        <f t="shared" si="124"/>
        <v>74.210821917808218</v>
      </c>
      <c r="T124" s="148">
        <f t="shared" si="125"/>
        <v>16252.17</v>
      </c>
      <c r="U124" s="199"/>
      <c r="V124" s="150"/>
      <c r="W124" s="249"/>
      <c r="X124" s="249"/>
      <c r="Y124" s="152"/>
      <c r="Z124" s="153"/>
      <c r="AA124" s="153"/>
      <c r="AB124" s="154"/>
      <c r="AC124" s="155">
        <f t="shared" si="126"/>
        <v>9426.2585999999992</v>
      </c>
      <c r="AD124" s="156">
        <f t="shared" si="127"/>
        <v>2112.7820999999999</v>
      </c>
      <c r="AE124" s="156">
        <f t="shared" si="128"/>
        <v>1426.1279175</v>
      </c>
      <c r="AF124" s="156">
        <f t="shared" si="129"/>
        <v>650.08680000000004</v>
      </c>
      <c r="AG124" s="156">
        <f t="shared" si="130"/>
        <v>325.04340000000002</v>
      </c>
      <c r="AH124" s="156">
        <f t="shared" si="131"/>
        <v>325.04340000000002</v>
      </c>
      <c r="AI124" s="156">
        <f t="shared" si="132"/>
        <v>162.52170000000001</v>
      </c>
      <c r="AJ124" s="156">
        <f t="shared" si="133"/>
        <v>325.04340000000002</v>
      </c>
      <c r="AK124" s="156">
        <f t="shared" si="134"/>
        <v>325.04340000000002</v>
      </c>
      <c r="AL124" s="156">
        <f t="shared" si="135"/>
        <v>1137.6519000000001</v>
      </c>
      <c r="AM124" s="157">
        <f t="shared" si="136"/>
        <v>5001.6053175000006</v>
      </c>
      <c r="AN124" s="158">
        <f t="shared" si="137"/>
        <v>2200</v>
      </c>
      <c r="AO124" s="159">
        <v>0.2</v>
      </c>
      <c r="AP124" s="160">
        <f t="shared" si="138"/>
        <v>132894477.42953579</v>
      </c>
      <c r="AQ124" s="161">
        <f t="shared" si="139"/>
        <v>36915.135572526109</v>
      </c>
      <c r="AR124" s="162">
        <f t="shared" si="140"/>
        <v>7383.027114505222</v>
      </c>
      <c r="AS124" s="163">
        <f t="shared" si="141"/>
        <v>1.0535141430515442</v>
      </c>
      <c r="AT124" s="164">
        <f t="shared" si="142"/>
        <v>1.0535141430515442</v>
      </c>
      <c r="AU124" s="165"/>
      <c r="AV124" s="166"/>
      <c r="AW124" s="167"/>
      <c r="AX124" s="146"/>
      <c r="AY124" s="168"/>
    </row>
    <row r="125" spans="1:51" ht="10.9" customHeight="1" x14ac:dyDescent="0.25">
      <c r="B125" s="140">
        <v>4</v>
      </c>
      <c r="C125" s="221" t="s">
        <v>170</v>
      </c>
      <c r="D125" s="235"/>
      <c r="E125" s="236"/>
      <c r="F125" s="236"/>
      <c r="G125" s="236"/>
      <c r="H125" s="236"/>
      <c r="I125" s="236"/>
      <c r="J125" s="236">
        <v>211897</v>
      </c>
      <c r="K125" s="236">
        <v>215336</v>
      </c>
      <c r="L125" s="236">
        <v>219181</v>
      </c>
      <c r="M125" s="236">
        <v>222841</v>
      </c>
      <c r="N125" s="236">
        <v>241334</v>
      </c>
      <c r="O125" s="236"/>
      <c r="P125" s="237"/>
      <c r="Q125" s="223">
        <f t="shared" si="122"/>
        <v>241334</v>
      </c>
      <c r="R125" s="147">
        <f t="shared" si="123"/>
        <v>26546.74</v>
      </c>
      <c r="S125" s="147">
        <f t="shared" si="124"/>
        <v>72.730794520547946</v>
      </c>
      <c r="T125" s="148">
        <f t="shared" si="125"/>
        <v>15928.044</v>
      </c>
      <c r="U125" s="199"/>
      <c r="V125" s="150"/>
      <c r="W125" s="249"/>
      <c r="X125" s="249"/>
      <c r="Y125" s="152"/>
      <c r="Z125" s="153"/>
      <c r="AA125" s="153"/>
      <c r="AB125" s="154"/>
      <c r="AC125" s="155">
        <f t="shared" si="126"/>
        <v>9238.265519999999</v>
      </c>
      <c r="AD125" s="156">
        <f t="shared" si="127"/>
        <v>2070.64572</v>
      </c>
      <c r="AE125" s="156">
        <f t="shared" si="128"/>
        <v>1397.6858609999999</v>
      </c>
      <c r="AF125" s="156">
        <f t="shared" si="129"/>
        <v>637.12175999999999</v>
      </c>
      <c r="AG125" s="156">
        <f t="shared" si="130"/>
        <v>318.56088</v>
      </c>
      <c r="AH125" s="156">
        <f t="shared" si="131"/>
        <v>318.56088</v>
      </c>
      <c r="AI125" s="156">
        <f t="shared" si="132"/>
        <v>159.28044</v>
      </c>
      <c r="AJ125" s="156">
        <f t="shared" si="133"/>
        <v>318.56088</v>
      </c>
      <c r="AK125" s="156">
        <f t="shared" si="134"/>
        <v>318.56088</v>
      </c>
      <c r="AL125" s="156">
        <f t="shared" si="135"/>
        <v>1114.96308</v>
      </c>
      <c r="AM125" s="157">
        <f t="shared" si="136"/>
        <v>4901.8555410000008</v>
      </c>
      <c r="AN125" s="158">
        <f t="shared" si="137"/>
        <v>2200</v>
      </c>
      <c r="AO125" s="159">
        <v>0.2</v>
      </c>
      <c r="AP125" s="160">
        <f t="shared" si="138"/>
        <v>130244089.48802856</v>
      </c>
      <c r="AQ125" s="161">
        <f t="shared" si="139"/>
        <v>36178.9166409877</v>
      </c>
      <c r="AR125" s="162">
        <f t="shared" si="140"/>
        <v>7235.78332819754</v>
      </c>
      <c r="AS125" s="163">
        <f t="shared" si="141"/>
        <v>1.0325033287953111</v>
      </c>
      <c r="AT125" s="164">
        <f t="shared" si="142"/>
        <v>1.0325033287953111</v>
      </c>
      <c r="AU125" s="165"/>
      <c r="AV125" s="166"/>
      <c r="AW125" s="167"/>
      <c r="AX125" s="146"/>
      <c r="AY125" s="168"/>
    </row>
    <row r="126" spans="1:51" ht="10.9" customHeight="1" x14ac:dyDescent="0.25">
      <c r="B126" s="140">
        <v>5</v>
      </c>
      <c r="C126" s="221" t="s">
        <v>171</v>
      </c>
      <c r="D126" s="235"/>
      <c r="E126" s="236"/>
      <c r="F126" s="236"/>
      <c r="G126" s="236"/>
      <c r="H126" s="236"/>
      <c r="I126" s="236"/>
      <c r="J126" s="236">
        <v>295319</v>
      </c>
      <c r="K126" s="236">
        <v>306574</v>
      </c>
      <c r="L126" s="236">
        <v>310676</v>
      </c>
      <c r="M126" s="236">
        <v>314598</v>
      </c>
      <c r="N126" s="236">
        <v>342952</v>
      </c>
      <c r="O126" s="236"/>
      <c r="P126" s="237"/>
      <c r="Q126" s="223">
        <f t="shared" si="122"/>
        <v>342952</v>
      </c>
      <c r="R126" s="147">
        <f t="shared" si="123"/>
        <v>37724.720000000001</v>
      </c>
      <c r="S126" s="147">
        <f t="shared" si="124"/>
        <v>103.35539726027397</v>
      </c>
      <c r="T126" s="148">
        <f t="shared" si="125"/>
        <v>22634.831999999999</v>
      </c>
      <c r="U126" s="199"/>
      <c r="V126" s="150"/>
      <c r="W126" s="249"/>
      <c r="X126" s="249"/>
      <c r="Y126" s="152"/>
      <c r="Z126" s="153"/>
      <c r="AA126" s="153"/>
      <c r="AB126" s="154"/>
      <c r="AC126" s="155">
        <f t="shared" si="126"/>
        <v>13128.202559999998</v>
      </c>
      <c r="AD126" s="156">
        <f t="shared" si="127"/>
        <v>2942.5281599999998</v>
      </c>
      <c r="AE126" s="156">
        <f t="shared" si="128"/>
        <v>1986.2065079999998</v>
      </c>
      <c r="AF126" s="156">
        <f t="shared" si="129"/>
        <v>905.39328</v>
      </c>
      <c r="AG126" s="156">
        <f t="shared" si="130"/>
        <v>452.69664</v>
      </c>
      <c r="AH126" s="156">
        <f t="shared" si="131"/>
        <v>452.69664</v>
      </c>
      <c r="AI126" s="156">
        <f t="shared" si="132"/>
        <v>226.34832</v>
      </c>
      <c r="AJ126" s="156">
        <f t="shared" si="133"/>
        <v>452.69664</v>
      </c>
      <c r="AK126" s="156">
        <f t="shared" si="134"/>
        <v>452.69664</v>
      </c>
      <c r="AL126" s="156">
        <f t="shared" si="135"/>
        <v>1584.43824</v>
      </c>
      <c r="AM126" s="157">
        <f t="shared" si="136"/>
        <v>6965.8695479999997</v>
      </c>
      <c r="AN126" s="158">
        <f t="shared" si="137"/>
        <v>2200</v>
      </c>
      <c r="AO126" s="159">
        <v>0.2</v>
      </c>
      <c r="AP126" s="160">
        <f t="shared" si="138"/>
        <v>185085694.42390364</v>
      </c>
      <c r="AQ126" s="161">
        <f t="shared" si="139"/>
        <v>51412.697008544223</v>
      </c>
      <c r="AR126" s="162">
        <f t="shared" si="140"/>
        <v>10282.539401708846</v>
      </c>
      <c r="AS126" s="163">
        <f t="shared" si="141"/>
        <v>1.4672573347187279</v>
      </c>
      <c r="AT126" s="164">
        <f t="shared" si="142"/>
        <v>1.4672573347187279</v>
      </c>
      <c r="AU126" s="165"/>
      <c r="AV126" s="166"/>
      <c r="AW126" s="167"/>
      <c r="AX126" s="146"/>
      <c r="AY126" s="168"/>
    </row>
    <row r="127" spans="1:51" ht="10.9" customHeight="1" x14ac:dyDescent="0.25">
      <c r="B127" s="140">
        <v>6</v>
      </c>
      <c r="C127" s="221" t="s">
        <v>172</v>
      </c>
      <c r="D127" s="235"/>
      <c r="E127" s="236"/>
      <c r="F127" s="236"/>
      <c r="G127" s="236"/>
      <c r="H127" s="236"/>
      <c r="I127" s="236"/>
      <c r="J127" s="236">
        <v>207340</v>
      </c>
      <c r="K127" s="236">
        <v>209477</v>
      </c>
      <c r="L127" s="236">
        <v>211789</v>
      </c>
      <c r="M127" s="236">
        <v>213781</v>
      </c>
      <c r="N127" s="236">
        <v>205272</v>
      </c>
      <c r="O127" s="236"/>
      <c r="P127" s="237"/>
      <c r="Q127" s="223">
        <f t="shared" si="122"/>
        <v>213781</v>
      </c>
      <c r="R127" s="147">
        <f t="shared" si="123"/>
        <v>23515.91</v>
      </c>
      <c r="S127" s="147">
        <f t="shared" si="124"/>
        <v>64.427150684931505</v>
      </c>
      <c r="T127" s="148">
        <f t="shared" si="125"/>
        <v>14109.546</v>
      </c>
      <c r="U127" s="199"/>
      <c r="V127" s="150"/>
      <c r="W127" s="249"/>
      <c r="X127" s="249"/>
      <c r="Y127" s="152"/>
      <c r="Z127" s="153"/>
      <c r="AA127" s="153"/>
      <c r="AB127" s="154"/>
      <c r="AC127" s="155">
        <f t="shared" si="126"/>
        <v>8183.5366799999993</v>
      </c>
      <c r="AD127" s="156">
        <f t="shared" si="127"/>
        <v>1834.24098</v>
      </c>
      <c r="AE127" s="156">
        <f t="shared" si="128"/>
        <v>1238.1126615000001</v>
      </c>
      <c r="AF127" s="156">
        <f t="shared" si="129"/>
        <v>564.38184000000001</v>
      </c>
      <c r="AG127" s="156">
        <f t="shared" si="130"/>
        <v>282.19092000000001</v>
      </c>
      <c r="AH127" s="156">
        <f t="shared" si="131"/>
        <v>282.19092000000001</v>
      </c>
      <c r="AI127" s="156">
        <f t="shared" si="132"/>
        <v>141.09546</v>
      </c>
      <c r="AJ127" s="156">
        <f t="shared" si="133"/>
        <v>282.19092000000001</v>
      </c>
      <c r="AK127" s="156">
        <f t="shared" si="134"/>
        <v>282.19092000000001</v>
      </c>
      <c r="AL127" s="156">
        <f t="shared" si="135"/>
        <v>987.66822000000013</v>
      </c>
      <c r="AM127" s="157">
        <f t="shared" si="136"/>
        <v>4342.2127815000003</v>
      </c>
      <c r="AN127" s="158">
        <f t="shared" si="137"/>
        <v>2200</v>
      </c>
      <c r="AO127" s="159">
        <v>0.2</v>
      </c>
      <c r="AP127" s="160">
        <f t="shared" si="138"/>
        <v>115374177.25989804</v>
      </c>
      <c r="AQ127" s="161">
        <f t="shared" si="139"/>
        <v>32048.385136064506</v>
      </c>
      <c r="AR127" s="162">
        <f t="shared" si="140"/>
        <v>6409.6770272129015</v>
      </c>
      <c r="AS127" s="163">
        <f t="shared" si="141"/>
        <v>0.9146228634721606</v>
      </c>
      <c r="AT127" s="164">
        <f t="shared" si="142"/>
        <v>0.9146228634721606</v>
      </c>
      <c r="AU127" s="165"/>
      <c r="AV127" s="166"/>
      <c r="AW127" s="167"/>
      <c r="AX127" s="146"/>
      <c r="AY127" s="168"/>
    </row>
    <row r="128" spans="1:51" ht="10.9" customHeight="1" x14ac:dyDescent="0.25">
      <c r="B128" s="140">
        <v>7</v>
      </c>
      <c r="C128" s="221" t="s">
        <v>173</v>
      </c>
      <c r="D128" s="235"/>
      <c r="E128" s="236"/>
      <c r="F128" s="236"/>
      <c r="G128" s="236"/>
      <c r="H128" s="236"/>
      <c r="I128" s="236"/>
      <c r="J128" s="236">
        <v>239016</v>
      </c>
      <c r="K128" s="236">
        <v>245559</v>
      </c>
      <c r="L128" s="236">
        <v>250746</v>
      </c>
      <c r="M128" s="236">
        <v>255952</v>
      </c>
      <c r="N128" s="236">
        <v>278741</v>
      </c>
      <c r="O128" s="236"/>
      <c r="P128" s="237"/>
      <c r="Q128" s="223">
        <f t="shared" si="122"/>
        <v>278741</v>
      </c>
      <c r="R128" s="147">
        <f t="shared" si="123"/>
        <v>30661.51</v>
      </c>
      <c r="S128" s="147">
        <f t="shared" si="124"/>
        <v>84.004136986301361</v>
      </c>
      <c r="T128" s="148">
        <f t="shared" si="125"/>
        <v>18396.905999999999</v>
      </c>
      <c r="U128" s="199"/>
      <c r="V128" s="150"/>
      <c r="W128" s="249"/>
      <c r="X128" s="249"/>
      <c r="Y128" s="152"/>
      <c r="Z128" s="153"/>
      <c r="AA128" s="153"/>
      <c r="AB128" s="154"/>
      <c r="AC128" s="155">
        <f t="shared" si="126"/>
        <v>10670.205479999999</v>
      </c>
      <c r="AD128" s="156">
        <f t="shared" si="127"/>
        <v>2391.5977800000001</v>
      </c>
      <c r="AE128" s="156">
        <f t="shared" si="128"/>
        <v>1614.3285014999999</v>
      </c>
      <c r="AF128" s="156">
        <f t="shared" si="129"/>
        <v>735.87623999999994</v>
      </c>
      <c r="AG128" s="156">
        <f t="shared" si="130"/>
        <v>367.93811999999997</v>
      </c>
      <c r="AH128" s="156">
        <f t="shared" si="131"/>
        <v>367.93811999999997</v>
      </c>
      <c r="AI128" s="156">
        <f t="shared" si="132"/>
        <v>183.96905999999998</v>
      </c>
      <c r="AJ128" s="156">
        <f t="shared" si="133"/>
        <v>367.93811999999997</v>
      </c>
      <c r="AK128" s="156">
        <f t="shared" si="134"/>
        <v>367.93811999999997</v>
      </c>
      <c r="AL128" s="156">
        <f t="shared" si="135"/>
        <v>1287.78342</v>
      </c>
      <c r="AM128" s="157">
        <f t="shared" si="136"/>
        <v>5661.6478214999997</v>
      </c>
      <c r="AN128" s="158">
        <f t="shared" si="137"/>
        <v>2200</v>
      </c>
      <c r="AO128" s="159">
        <v>0.2</v>
      </c>
      <c r="AP128" s="160">
        <f t="shared" si="138"/>
        <v>150432047.48598444</v>
      </c>
      <c r="AQ128" s="161">
        <f t="shared" si="139"/>
        <v>41786.683200152293</v>
      </c>
      <c r="AR128" s="162">
        <f t="shared" si="140"/>
        <v>8357.3366400304585</v>
      </c>
      <c r="AS128" s="163">
        <f t="shared" si="141"/>
        <v>1.1925423287714696</v>
      </c>
      <c r="AT128" s="164">
        <f t="shared" si="142"/>
        <v>1.1925423287714696</v>
      </c>
      <c r="AU128" s="165"/>
      <c r="AV128" s="166"/>
      <c r="AW128" s="167"/>
      <c r="AX128" s="146"/>
      <c r="AY128" s="168"/>
    </row>
    <row r="129" spans="1:51" ht="10.9" customHeight="1" x14ac:dyDescent="0.25">
      <c r="B129" s="140">
        <v>8</v>
      </c>
      <c r="C129" s="221" t="s">
        <v>174</v>
      </c>
      <c r="D129" s="235"/>
      <c r="E129" s="236"/>
      <c r="F129" s="236"/>
      <c r="G129" s="236"/>
      <c r="H129" s="236"/>
      <c r="I129" s="236"/>
      <c r="J129" s="236">
        <v>246044</v>
      </c>
      <c r="K129" s="236">
        <v>250057</v>
      </c>
      <c r="L129" s="236">
        <v>253373</v>
      </c>
      <c r="M129" s="236">
        <v>257267</v>
      </c>
      <c r="N129" s="236">
        <v>297735</v>
      </c>
      <c r="O129" s="236"/>
      <c r="P129" s="237"/>
      <c r="Q129" s="223">
        <f t="shared" si="122"/>
        <v>297735</v>
      </c>
      <c r="R129" s="147">
        <f t="shared" si="123"/>
        <v>32750.85</v>
      </c>
      <c r="S129" s="147">
        <f t="shared" si="124"/>
        <v>89.728356164383555</v>
      </c>
      <c r="T129" s="148">
        <f t="shared" si="125"/>
        <v>19650.509999999998</v>
      </c>
      <c r="U129" s="199"/>
      <c r="V129" s="150"/>
      <c r="W129" s="249"/>
      <c r="X129" s="249"/>
      <c r="Y129" s="152"/>
      <c r="Z129" s="153"/>
      <c r="AA129" s="153"/>
      <c r="AB129" s="154"/>
      <c r="AC129" s="155">
        <f t="shared" si="126"/>
        <v>11397.295799999998</v>
      </c>
      <c r="AD129" s="156">
        <f t="shared" si="127"/>
        <v>2554.5663</v>
      </c>
      <c r="AE129" s="156">
        <f t="shared" si="128"/>
        <v>1724.3322524999999</v>
      </c>
      <c r="AF129" s="156">
        <f t="shared" si="129"/>
        <v>786.0204</v>
      </c>
      <c r="AG129" s="156">
        <f t="shared" si="130"/>
        <v>393.0102</v>
      </c>
      <c r="AH129" s="156">
        <f t="shared" si="131"/>
        <v>393.0102</v>
      </c>
      <c r="AI129" s="156">
        <f t="shared" si="132"/>
        <v>196.5051</v>
      </c>
      <c r="AJ129" s="156">
        <f t="shared" si="133"/>
        <v>393.0102</v>
      </c>
      <c r="AK129" s="156">
        <f t="shared" si="134"/>
        <v>393.0102</v>
      </c>
      <c r="AL129" s="156">
        <f t="shared" si="135"/>
        <v>1375.5356999999999</v>
      </c>
      <c r="AM129" s="157">
        <f t="shared" si="136"/>
        <v>6047.4444524999999</v>
      </c>
      <c r="AN129" s="158">
        <f t="shared" si="137"/>
        <v>2200</v>
      </c>
      <c r="AO129" s="159">
        <v>0.2</v>
      </c>
      <c r="AP129" s="160">
        <f t="shared" si="138"/>
        <v>160682804.6761674</v>
      </c>
      <c r="AQ129" s="161">
        <f t="shared" si="139"/>
        <v>44634.115980775488</v>
      </c>
      <c r="AR129" s="162">
        <f t="shared" si="140"/>
        <v>8926.8231961550973</v>
      </c>
      <c r="AS129" s="163">
        <f t="shared" si="141"/>
        <v>1.273804679816652</v>
      </c>
      <c r="AT129" s="164">
        <f t="shared" si="142"/>
        <v>1.273804679816652</v>
      </c>
      <c r="AU129" s="165"/>
      <c r="AV129" s="166"/>
      <c r="AW129" s="167"/>
      <c r="AX129" s="146"/>
      <c r="AY129" s="168"/>
    </row>
    <row r="130" spans="1:51" ht="10.9" customHeight="1" x14ac:dyDescent="0.25">
      <c r="B130" s="140">
        <v>9</v>
      </c>
      <c r="C130" s="221" t="s">
        <v>175</v>
      </c>
      <c r="D130" s="235"/>
      <c r="E130" s="236"/>
      <c r="F130" s="236"/>
      <c r="G130" s="236"/>
      <c r="H130" s="236"/>
      <c r="I130" s="236"/>
      <c r="J130" s="236">
        <v>250934</v>
      </c>
      <c r="K130" s="236">
        <v>257087</v>
      </c>
      <c r="L130" s="236">
        <v>264389</v>
      </c>
      <c r="M130" s="236">
        <v>271625</v>
      </c>
      <c r="N130" s="236">
        <v>303135</v>
      </c>
      <c r="O130" s="236"/>
      <c r="P130" s="237"/>
      <c r="Q130" s="223">
        <f t="shared" si="122"/>
        <v>303135</v>
      </c>
      <c r="R130" s="147">
        <f t="shared" si="123"/>
        <v>33344.85</v>
      </c>
      <c r="S130" s="147">
        <f t="shared" si="124"/>
        <v>91.355753424657536</v>
      </c>
      <c r="T130" s="148">
        <f t="shared" si="125"/>
        <v>20006.91</v>
      </c>
      <c r="U130" s="199"/>
      <c r="V130" s="150"/>
      <c r="W130" s="249"/>
      <c r="X130" s="249"/>
      <c r="Y130" s="152"/>
      <c r="Z130" s="153"/>
      <c r="AA130" s="153"/>
      <c r="AB130" s="154"/>
      <c r="AC130" s="155">
        <f t="shared" si="126"/>
        <v>11604.007799999999</v>
      </c>
      <c r="AD130" s="156">
        <f t="shared" si="127"/>
        <v>2600.8983000000003</v>
      </c>
      <c r="AE130" s="156">
        <f t="shared" si="128"/>
        <v>1755.6063525</v>
      </c>
      <c r="AF130" s="156">
        <f t="shared" si="129"/>
        <v>800.27639999999997</v>
      </c>
      <c r="AG130" s="156">
        <f t="shared" si="130"/>
        <v>400.13819999999998</v>
      </c>
      <c r="AH130" s="156">
        <f t="shared" si="131"/>
        <v>400.13819999999998</v>
      </c>
      <c r="AI130" s="156">
        <f t="shared" si="132"/>
        <v>200.06909999999999</v>
      </c>
      <c r="AJ130" s="156">
        <f t="shared" si="133"/>
        <v>400.13819999999998</v>
      </c>
      <c r="AK130" s="156">
        <f t="shared" si="134"/>
        <v>400.13819999999998</v>
      </c>
      <c r="AL130" s="156">
        <f t="shared" si="135"/>
        <v>1400.4837000000002</v>
      </c>
      <c r="AM130" s="157">
        <f t="shared" si="136"/>
        <v>6157.1265524999999</v>
      </c>
      <c r="AN130" s="158">
        <f t="shared" si="137"/>
        <v>2200</v>
      </c>
      <c r="AO130" s="159">
        <v>0.2</v>
      </c>
      <c r="AP130" s="160">
        <f t="shared" si="138"/>
        <v>163597098.07550338</v>
      </c>
      <c r="AQ130" s="161">
        <f t="shared" si="139"/>
        <v>45443.641989797565</v>
      </c>
      <c r="AR130" s="162">
        <f t="shared" si="140"/>
        <v>9088.728397959514</v>
      </c>
      <c r="AS130" s="163">
        <f t="shared" si="141"/>
        <v>1.2969075910330357</v>
      </c>
      <c r="AT130" s="164">
        <f t="shared" si="142"/>
        <v>1.2969075910330357</v>
      </c>
      <c r="AU130" s="165"/>
      <c r="AV130" s="166"/>
      <c r="AW130" s="167"/>
      <c r="AX130" s="146"/>
      <c r="AY130" s="168"/>
    </row>
    <row r="131" spans="1:51" ht="10.9" customHeight="1" x14ac:dyDescent="0.25">
      <c r="B131" s="140">
        <v>10</v>
      </c>
      <c r="C131" s="221" t="s">
        <v>176</v>
      </c>
      <c r="D131" s="235"/>
      <c r="E131" s="236"/>
      <c r="F131" s="236"/>
      <c r="G131" s="236"/>
      <c r="H131" s="236"/>
      <c r="I131" s="236"/>
      <c r="J131" s="236">
        <v>443370</v>
      </c>
      <c r="K131" s="236">
        <v>458308</v>
      </c>
      <c r="L131" s="236">
        <v>467408</v>
      </c>
      <c r="M131" s="236">
        <v>476038</v>
      </c>
      <c r="N131" s="236">
        <v>531857</v>
      </c>
      <c r="O131" s="236"/>
      <c r="P131" s="237"/>
      <c r="Q131" s="223">
        <f t="shared" si="122"/>
        <v>531857</v>
      </c>
      <c r="R131" s="147">
        <f>Q131*$R$9</f>
        <v>77651.121999999988</v>
      </c>
      <c r="S131" s="147">
        <f t="shared" si="124"/>
        <v>212.74279999999996</v>
      </c>
      <c r="T131" s="148">
        <f>S131*$T$5*$T$9</f>
        <v>54355.785399999986</v>
      </c>
      <c r="U131" s="199"/>
      <c r="V131" s="150"/>
      <c r="W131" s="249"/>
      <c r="X131" s="249"/>
      <c r="Y131" s="152"/>
      <c r="Z131" s="153"/>
      <c r="AA131" s="153"/>
      <c r="AB131" s="154"/>
      <c r="AC131" s="155">
        <f t="shared" si="126"/>
        <v>31526.35553199999</v>
      </c>
      <c r="AD131" s="156">
        <f t="shared" si="127"/>
        <v>7066.2521019999986</v>
      </c>
      <c r="AE131" s="156">
        <f t="shared" si="128"/>
        <v>4769.7201688499981</v>
      </c>
      <c r="AF131" s="156">
        <f t="shared" si="129"/>
        <v>2174.2314159999996</v>
      </c>
      <c r="AG131" s="156">
        <f t="shared" si="130"/>
        <v>1087.1157079999998</v>
      </c>
      <c r="AH131" s="156">
        <f t="shared" si="131"/>
        <v>1087.1157079999998</v>
      </c>
      <c r="AI131" s="156">
        <f t="shared" si="132"/>
        <v>543.55785399999991</v>
      </c>
      <c r="AJ131" s="156">
        <f t="shared" si="133"/>
        <v>1087.1157079999998</v>
      </c>
      <c r="AK131" s="156">
        <f t="shared" si="134"/>
        <v>1087.1157079999998</v>
      </c>
      <c r="AL131" s="156">
        <f t="shared" si="135"/>
        <v>3804.9049779999996</v>
      </c>
      <c r="AM131" s="157">
        <f t="shared" si="136"/>
        <v>16727.992956849994</v>
      </c>
      <c r="AN131" s="158">
        <f t="shared" si="137"/>
        <v>2200</v>
      </c>
      <c r="AO131" s="159">
        <v>0.2</v>
      </c>
      <c r="AP131" s="160">
        <f t="shared" si="138"/>
        <v>444468873.75685763</v>
      </c>
      <c r="AQ131" s="161">
        <f t="shared" si="139"/>
        <v>123463.58592065764</v>
      </c>
      <c r="AR131" s="162">
        <f t="shared" si="140"/>
        <v>24692.717184131528</v>
      </c>
      <c r="AS131" s="163">
        <f t="shared" si="141"/>
        <v>3.5235041644023299</v>
      </c>
      <c r="AT131" s="164">
        <f t="shared" si="142"/>
        <v>3.5235041644023299</v>
      </c>
      <c r="AU131" s="165"/>
      <c r="AV131" s="166"/>
      <c r="AW131" s="167"/>
      <c r="AX131" s="146"/>
      <c r="AY131" s="168"/>
    </row>
    <row r="132" spans="1:51" ht="10.9" customHeight="1" x14ac:dyDescent="0.25">
      <c r="B132" s="140">
        <v>11</v>
      </c>
      <c r="C132" s="221" t="s">
        <v>177</v>
      </c>
      <c r="D132" s="235"/>
      <c r="E132" s="236"/>
      <c r="F132" s="236"/>
      <c r="G132" s="236"/>
      <c r="H132" s="236"/>
      <c r="I132" s="236"/>
      <c r="J132" s="236"/>
      <c r="K132" s="236"/>
      <c r="L132" s="236"/>
      <c r="M132" s="236">
        <v>78102</v>
      </c>
      <c r="N132" s="236">
        <v>82293</v>
      </c>
      <c r="O132" s="236"/>
      <c r="P132" s="237"/>
      <c r="Q132" s="223">
        <f t="shared" si="122"/>
        <v>82293</v>
      </c>
      <c r="R132" s="147">
        <f>Q132*$R$10</f>
        <v>9052.23</v>
      </c>
      <c r="S132" s="147">
        <f t="shared" si="124"/>
        <v>24.8006301369863</v>
      </c>
      <c r="T132" s="148">
        <f>S132*$T$5*$T$10</f>
        <v>5431.3379999999997</v>
      </c>
      <c r="U132" s="199"/>
      <c r="V132" s="150"/>
      <c r="W132" s="249"/>
      <c r="X132" s="249"/>
      <c r="Y132" s="152"/>
      <c r="Z132" s="153"/>
      <c r="AA132" s="153"/>
      <c r="AB132" s="154"/>
      <c r="AC132" s="155">
        <f t="shared" si="126"/>
        <v>3150.1760399999998</v>
      </c>
      <c r="AD132" s="156">
        <f t="shared" si="127"/>
        <v>706.07393999999999</v>
      </c>
      <c r="AE132" s="156">
        <f t="shared" si="128"/>
        <v>476.59990949999997</v>
      </c>
      <c r="AF132" s="156">
        <f t="shared" si="129"/>
        <v>217.25351999999998</v>
      </c>
      <c r="AG132" s="156">
        <f t="shared" si="130"/>
        <v>108.62675999999999</v>
      </c>
      <c r="AH132" s="156">
        <f t="shared" si="131"/>
        <v>108.62675999999999</v>
      </c>
      <c r="AI132" s="156">
        <f t="shared" si="132"/>
        <v>54.313379999999995</v>
      </c>
      <c r="AJ132" s="156">
        <f t="shared" si="133"/>
        <v>108.62675999999999</v>
      </c>
      <c r="AK132" s="156">
        <f t="shared" si="134"/>
        <v>108.62675999999999</v>
      </c>
      <c r="AL132" s="156">
        <f t="shared" si="135"/>
        <v>380.19366000000002</v>
      </c>
      <c r="AM132" s="157">
        <f t="shared" si="136"/>
        <v>1671.4942695</v>
      </c>
      <c r="AN132" s="158">
        <f t="shared" si="137"/>
        <v>2200</v>
      </c>
      <c r="AO132" s="159">
        <v>0.2</v>
      </c>
      <c r="AP132" s="160">
        <f t="shared" si="138"/>
        <v>44412212.353992112</v>
      </c>
      <c r="AQ132" s="161">
        <f t="shared" si="139"/>
        <v>12336.726640824751</v>
      </c>
      <c r="AR132" s="162">
        <f t="shared" si="140"/>
        <v>2467.3453281649504</v>
      </c>
      <c r="AS132" s="163">
        <f t="shared" si="141"/>
        <v>0.35207553198700775</v>
      </c>
      <c r="AT132" s="164">
        <f t="shared" si="142"/>
        <v>0.35207553198700775</v>
      </c>
      <c r="AU132" s="165"/>
      <c r="AV132" s="166"/>
      <c r="AW132" s="167"/>
      <c r="AX132" s="167"/>
      <c r="AY132" s="168"/>
    </row>
    <row r="133" spans="1:51" s="263" customFormat="1" ht="17.25" customHeight="1" x14ac:dyDescent="0.25">
      <c r="A133" s="173"/>
      <c r="B133" s="225"/>
      <c r="C133" s="258" t="s">
        <v>178</v>
      </c>
      <c r="D133" s="240">
        <f>SUM(D122:D132)</f>
        <v>0</v>
      </c>
      <c r="E133" s="240">
        <f t="shared" ref="E133:AM133" si="143">SUM(E122:E132)</f>
        <v>0</v>
      </c>
      <c r="F133" s="240">
        <f t="shared" si="143"/>
        <v>0</v>
      </c>
      <c r="G133" s="240">
        <f t="shared" si="143"/>
        <v>0</v>
      </c>
      <c r="H133" s="240">
        <f t="shared" si="143"/>
        <v>0</v>
      </c>
      <c r="I133" s="240">
        <f t="shared" si="143"/>
        <v>0</v>
      </c>
      <c r="J133" s="240">
        <f t="shared" si="143"/>
        <v>2683099</v>
      </c>
      <c r="K133" s="240">
        <f t="shared" si="143"/>
        <v>2742016</v>
      </c>
      <c r="L133" s="240">
        <f t="shared" si="143"/>
        <v>2788269</v>
      </c>
      <c r="M133" s="240">
        <f t="shared" si="143"/>
        <v>2834164</v>
      </c>
      <c r="N133" s="240">
        <f t="shared" si="143"/>
        <v>3092265</v>
      </c>
      <c r="O133" s="240">
        <f t="shared" si="143"/>
        <v>0</v>
      </c>
      <c r="P133" s="240">
        <f t="shared" si="143"/>
        <v>0</v>
      </c>
      <c r="Q133" s="240">
        <f t="shared" si="143"/>
        <v>3181372</v>
      </c>
      <c r="R133" s="240">
        <f t="shared" si="143"/>
        <v>369097.772</v>
      </c>
      <c r="S133" s="240">
        <f t="shared" si="143"/>
        <v>1011.2267726027397</v>
      </c>
      <c r="T133" s="240">
        <f t="shared" si="143"/>
        <v>229223.77539999998</v>
      </c>
      <c r="U133" s="199">
        <f t="shared" si="143"/>
        <v>0</v>
      </c>
      <c r="V133" s="241"/>
      <c r="W133" s="242">
        <f t="shared" si="143"/>
        <v>0</v>
      </c>
      <c r="X133" s="242">
        <f>SUM(X122:X132)</f>
        <v>0</v>
      </c>
      <c r="Y133" s="242">
        <f>SUM(Y122:Y132)</f>
        <v>0</v>
      </c>
      <c r="Z133" s="199"/>
      <c r="AA133" s="199"/>
      <c r="AB133" s="243"/>
      <c r="AC133" s="240">
        <f>SUM(AC122:AC132)</f>
        <v>132949.78973199998</v>
      </c>
      <c r="AD133" s="244">
        <f>SUM(AD122:AD132)</f>
        <v>29799.090801999999</v>
      </c>
      <c r="AE133" s="244">
        <f>SUM(AE122:AE132)</f>
        <v>20114.386291349998</v>
      </c>
      <c r="AF133" s="244">
        <f>SUM(AF122:AF132)</f>
        <v>9168.9510160000009</v>
      </c>
      <c r="AG133" s="244">
        <f>SUM(AG122:AG132)</f>
        <v>4584.4755080000004</v>
      </c>
      <c r="AH133" s="244">
        <f t="shared" si="143"/>
        <v>4584.4755080000004</v>
      </c>
      <c r="AI133" s="244">
        <f>SUM(AI122:AI132)</f>
        <v>2292.2377540000002</v>
      </c>
      <c r="AJ133" s="244">
        <f t="shared" si="143"/>
        <v>4584.4755080000004</v>
      </c>
      <c r="AK133" s="244">
        <f t="shared" si="143"/>
        <v>4584.4755080000004</v>
      </c>
      <c r="AL133" s="244">
        <f t="shared" si="143"/>
        <v>16045.664278000004</v>
      </c>
      <c r="AM133" s="245">
        <f t="shared" si="143"/>
        <v>70543.616879349996</v>
      </c>
      <c r="AN133" s="158"/>
      <c r="AO133" s="183"/>
      <c r="AP133" s="160">
        <f>SUM(AP122:AP132)</f>
        <v>1874369628.5608804</v>
      </c>
      <c r="AQ133" s="160">
        <f t="shared" ref="AQ133:AX133" si="144">SUM(AQ122:AQ132)</f>
        <v>520658.27180845855</v>
      </c>
      <c r="AR133" s="160">
        <f t="shared" si="144"/>
        <v>104131.65436169169</v>
      </c>
      <c r="AS133" s="185">
        <f t="shared" si="144"/>
        <v>14.858968944305321</v>
      </c>
      <c r="AT133" s="186">
        <f t="shared" si="144"/>
        <v>14.858968944305321</v>
      </c>
      <c r="AU133" s="187"/>
      <c r="AV133" s="246">
        <f t="shared" si="144"/>
        <v>0</v>
      </c>
      <c r="AW133" s="246"/>
      <c r="AX133" s="185">
        <f t="shared" si="144"/>
        <v>0</v>
      </c>
      <c r="AY133" s="189"/>
    </row>
    <row r="134" spans="1:51" s="139" customFormat="1" ht="10.9" customHeight="1" x14ac:dyDescent="0.25">
      <c r="B134" s="247"/>
      <c r="C134" s="152"/>
      <c r="D134" s="247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248"/>
      <c r="Q134" s="249"/>
      <c r="R134" s="250"/>
      <c r="S134" s="250"/>
      <c r="T134" s="251"/>
      <c r="U134" s="199"/>
      <c r="V134" s="179"/>
      <c r="W134" s="249"/>
      <c r="X134" s="249"/>
      <c r="Y134" s="152"/>
      <c r="Z134" s="153"/>
      <c r="AA134" s="153"/>
      <c r="AB134" s="154"/>
      <c r="AC134" s="247"/>
      <c r="AD134" s="252"/>
      <c r="AE134" s="252"/>
      <c r="AF134" s="252"/>
      <c r="AG134" s="252"/>
      <c r="AH134" s="252"/>
      <c r="AI134" s="252"/>
      <c r="AJ134" s="252"/>
      <c r="AK134" s="252"/>
      <c r="AL134" s="252"/>
      <c r="AM134" s="214"/>
      <c r="AN134" s="203"/>
      <c r="AO134" s="204"/>
      <c r="AP134" s="203"/>
      <c r="AQ134" s="205"/>
      <c r="AR134" s="206"/>
      <c r="AS134" s="253"/>
      <c r="AT134" s="254"/>
      <c r="AU134" s="255"/>
      <c r="AV134" s="256"/>
      <c r="AW134" s="257"/>
      <c r="AX134" s="214"/>
      <c r="AY134" s="212"/>
    </row>
    <row r="135" spans="1:51" s="139" customFormat="1" ht="15" customHeight="1" x14ac:dyDescent="0.25">
      <c r="A135" s="1"/>
      <c r="B135" s="120"/>
      <c r="C135" s="258" t="s">
        <v>179</v>
      </c>
      <c r="D135" s="122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213"/>
      <c r="Q135" s="76"/>
      <c r="R135" s="108"/>
      <c r="S135" s="108"/>
      <c r="T135" s="94"/>
      <c r="U135" s="199"/>
      <c r="V135" s="179"/>
      <c r="W135" s="180"/>
      <c r="X135" s="180"/>
      <c r="Y135" s="214"/>
      <c r="Z135" s="181"/>
      <c r="AA135" s="181"/>
      <c r="AB135" s="182"/>
      <c r="AC135" s="62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125"/>
      <c r="AN135" s="75"/>
      <c r="AO135" s="216"/>
      <c r="AP135" s="75"/>
      <c r="AQ135" s="51"/>
      <c r="AR135" s="259"/>
      <c r="AS135" s="218"/>
      <c r="AT135" s="219"/>
      <c r="AU135" s="220"/>
      <c r="AV135" s="135"/>
      <c r="AW135" s="136"/>
      <c r="AX135" s="137"/>
      <c r="AY135" s="138"/>
    </row>
    <row r="136" spans="1:51" ht="10.9" customHeight="1" x14ac:dyDescent="0.25">
      <c r="B136" s="140">
        <v>1</v>
      </c>
      <c r="C136" s="221" t="s">
        <v>180</v>
      </c>
      <c r="D136" s="235"/>
      <c r="E136" s="236"/>
      <c r="F136" s="236"/>
      <c r="G136" s="236"/>
      <c r="H136" s="236"/>
      <c r="I136" s="236"/>
      <c r="J136" s="236"/>
      <c r="K136" s="236">
        <v>137203</v>
      </c>
      <c r="L136" s="236">
        <v>140083</v>
      </c>
      <c r="M136" s="236">
        <v>142964</v>
      </c>
      <c r="N136" s="236">
        <v>142940</v>
      </c>
      <c r="O136" s="236"/>
      <c r="P136" s="237"/>
      <c r="Q136" s="223">
        <f t="shared" ref="Q136:Q145" si="145">MAX(D136:P136)</f>
        <v>142964</v>
      </c>
      <c r="R136" s="147">
        <f t="shared" ref="R136:R145" si="146">Q136*$R$10</f>
        <v>15726.04</v>
      </c>
      <c r="S136" s="147">
        <f t="shared" ref="S136:S145" si="147">R136/$S$5</f>
        <v>43.085041095890411</v>
      </c>
      <c r="T136" s="148">
        <f t="shared" ref="T136:T145" si="148">S136*$T$5*$T$10</f>
        <v>9435.6239999999998</v>
      </c>
      <c r="U136" s="199"/>
      <c r="V136" s="150"/>
      <c r="W136" s="249"/>
      <c r="X136" s="249"/>
      <c r="Y136" s="152"/>
      <c r="Z136" s="153"/>
      <c r="AA136" s="153"/>
      <c r="AB136" s="154"/>
      <c r="AC136" s="155">
        <f t="shared" ref="AC136:AC145" si="149">T136*$AC$5</f>
        <v>5472.6619199999996</v>
      </c>
      <c r="AD136" s="156">
        <f t="shared" ref="AD136:AD145" si="150">T136*$AD$5</f>
        <v>1226.63112</v>
      </c>
      <c r="AE136" s="156">
        <f t="shared" ref="AE136:AE145" si="151">T136*$AE$5</f>
        <v>827.97600599999998</v>
      </c>
      <c r="AF136" s="156">
        <f t="shared" ref="AF136:AF145" si="152">T136*$AF$5</f>
        <v>377.42496</v>
      </c>
      <c r="AG136" s="156">
        <f t="shared" ref="AG136:AG145" si="153">T136*$AG$5</f>
        <v>188.71248</v>
      </c>
      <c r="AH136" s="156">
        <f t="shared" ref="AH136:AH145" si="154">T136*$AH$5</f>
        <v>188.71248</v>
      </c>
      <c r="AI136" s="156">
        <f t="shared" ref="AI136:AI145" si="155">T136*$AI$5</f>
        <v>94.35624</v>
      </c>
      <c r="AJ136" s="156">
        <f t="shared" ref="AJ136:AJ145" si="156">T136*$AJ$5</f>
        <v>188.71248</v>
      </c>
      <c r="AK136" s="156">
        <f t="shared" ref="AK136:AK145" si="157">T136*$AK$5</f>
        <v>188.71248</v>
      </c>
      <c r="AL136" s="156">
        <f t="shared" ref="AL136:AL145" si="158">T136*$AL$5</f>
        <v>660.49368000000004</v>
      </c>
      <c r="AM136" s="157">
        <f t="shared" ref="AM136:AM145" si="159">SUM(AD136:AI136)</f>
        <v>2903.8132860000001</v>
      </c>
      <c r="AN136" s="158">
        <f t="shared" ref="AN136:AN145" si="160">$AN$5</f>
        <v>2200</v>
      </c>
      <c r="AO136" s="159">
        <v>0.2</v>
      </c>
      <c r="AP136" s="160">
        <f t="shared" ref="AP136:AP145" si="161">(AC136+AM136)*AN136*$AP$5</f>
        <v>77155378.063457742</v>
      </c>
      <c r="AQ136" s="161">
        <f t="shared" ref="AQ136:AQ145" si="162">AP136*$AQ$5</f>
        <v>21432.051176635552</v>
      </c>
      <c r="AR136" s="162">
        <f t="shared" ref="AR136:AR145" si="163">AQ136*$AR$5</f>
        <v>4286.410235327111</v>
      </c>
      <c r="AS136" s="163">
        <f t="shared" ref="AS136:AS145" si="164">AR136/$AS$5</f>
        <v>0.61164529613685947</v>
      </c>
      <c r="AT136" s="164">
        <f t="shared" ref="AT136:AT145" si="165">AS136</f>
        <v>0.61164529613685947</v>
      </c>
      <c r="AU136" s="165"/>
      <c r="AV136" s="166"/>
      <c r="AW136" s="167"/>
      <c r="AX136" s="146"/>
      <c r="AY136" s="168"/>
    </row>
    <row r="137" spans="1:51" ht="10.9" customHeight="1" x14ac:dyDescent="0.25">
      <c r="B137" s="140">
        <v>2</v>
      </c>
      <c r="C137" s="221" t="s">
        <v>181</v>
      </c>
      <c r="D137" s="235"/>
      <c r="E137" s="236"/>
      <c r="F137" s="236"/>
      <c r="G137" s="236"/>
      <c r="H137" s="236"/>
      <c r="I137" s="236"/>
      <c r="J137" s="236"/>
      <c r="K137" s="236">
        <v>149714</v>
      </c>
      <c r="L137" s="236">
        <v>253661</v>
      </c>
      <c r="M137" s="236">
        <v>257563</v>
      </c>
      <c r="N137" s="236">
        <v>246787</v>
      </c>
      <c r="O137" s="236"/>
      <c r="P137" s="237"/>
      <c r="Q137" s="223">
        <f t="shared" si="145"/>
        <v>257563</v>
      </c>
      <c r="R137" s="147">
        <f t="shared" si="146"/>
        <v>28331.93</v>
      </c>
      <c r="S137" s="147">
        <f t="shared" si="147"/>
        <v>77.621726027397258</v>
      </c>
      <c r="T137" s="148">
        <f t="shared" si="148"/>
        <v>16999.157999999999</v>
      </c>
      <c r="U137" s="199"/>
      <c r="V137" s="150"/>
      <c r="W137" s="249"/>
      <c r="X137" s="249"/>
      <c r="Y137" s="152"/>
      <c r="Z137" s="153"/>
      <c r="AA137" s="153"/>
      <c r="AB137" s="154"/>
      <c r="AC137" s="155">
        <f t="shared" si="149"/>
        <v>9859.5116399999988</v>
      </c>
      <c r="AD137" s="156">
        <f t="shared" si="150"/>
        <v>2209.8905399999999</v>
      </c>
      <c r="AE137" s="156">
        <f t="shared" si="151"/>
        <v>1491.6761144999998</v>
      </c>
      <c r="AF137" s="156">
        <f t="shared" si="152"/>
        <v>679.96632</v>
      </c>
      <c r="AG137" s="156">
        <f t="shared" si="153"/>
        <v>339.98316</v>
      </c>
      <c r="AH137" s="156">
        <f t="shared" si="154"/>
        <v>339.98316</v>
      </c>
      <c r="AI137" s="156">
        <f t="shared" si="155"/>
        <v>169.99158</v>
      </c>
      <c r="AJ137" s="156">
        <f t="shared" si="156"/>
        <v>339.98316</v>
      </c>
      <c r="AK137" s="156">
        <f t="shared" si="157"/>
        <v>339.98316</v>
      </c>
      <c r="AL137" s="156">
        <f t="shared" si="158"/>
        <v>1189.9410600000001</v>
      </c>
      <c r="AM137" s="157">
        <f t="shared" si="159"/>
        <v>5231.4908744999993</v>
      </c>
      <c r="AN137" s="158">
        <f t="shared" si="160"/>
        <v>2200</v>
      </c>
      <c r="AO137" s="159">
        <v>0.2</v>
      </c>
      <c r="AP137" s="160">
        <f t="shared" si="161"/>
        <v>139002620.5209589</v>
      </c>
      <c r="AQ137" s="161">
        <f t="shared" si="162"/>
        <v>38611.842122546819</v>
      </c>
      <c r="AR137" s="162">
        <f t="shared" si="163"/>
        <v>7722.3684245093646</v>
      </c>
      <c r="AS137" s="163">
        <f t="shared" si="164"/>
        <v>1.1019361336343272</v>
      </c>
      <c r="AT137" s="164">
        <f t="shared" si="165"/>
        <v>1.1019361336343272</v>
      </c>
      <c r="AU137" s="165"/>
      <c r="AV137" s="166"/>
      <c r="AW137" s="167"/>
      <c r="AX137" s="146"/>
      <c r="AY137" s="168"/>
    </row>
    <row r="138" spans="1:51" ht="10.9" customHeight="1" x14ac:dyDescent="0.25">
      <c r="B138" s="140">
        <v>3</v>
      </c>
      <c r="C138" s="221" t="s">
        <v>182</v>
      </c>
      <c r="D138" s="235"/>
      <c r="E138" s="236"/>
      <c r="F138" s="236"/>
      <c r="G138" s="236"/>
      <c r="H138" s="236"/>
      <c r="I138" s="236"/>
      <c r="J138" s="236"/>
      <c r="K138" s="236">
        <v>339873</v>
      </c>
      <c r="L138" s="236">
        <v>343568</v>
      </c>
      <c r="M138" s="236">
        <v>253052</v>
      </c>
      <c r="N138" s="236">
        <v>257675</v>
      </c>
      <c r="O138" s="236"/>
      <c r="P138" s="237"/>
      <c r="Q138" s="223">
        <f t="shared" si="145"/>
        <v>343568</v>
      </c>
      <c r="R138" s="147">
        <f t="shared" si="146"/>
        <v>37792.480000000003</v>
      </c>
      <c r="S138" s="147">
        <f t="shared" si="147"/>
        <v>103.54104109589042</v>
      </c>
      <c r="T138" s="148">
        <f t="shared" si="148"/>
        <v>22675.488000000001</v>
      </c>
      <c r="U138" s="199"/>
      <c r="V138" s="150"/>
      <c r="W138" s="249"/>
      <c r="X138" s="249"/>
      <c r="Y138" s="152"/>
      <c r="Z138" s="153"/>
      <c r="AA138" s="153"/>
      <c r="AB138" s="154"/>
      <c r="AC138" s="155">
        <f t="shared" si="149"/>
        <v>13151.78304</v>
      </c>
      <c r="AD138" s="156">
        <f t="shared" si="150"/>
        <v>2947.8134400000004</v>
      </c>
      <c r="AE138" s="156">
        <f t="shared" si="151"/>
        <v>1989.7740719999999</v>
      </c>
      <c r="AF138" s="156">
        <f t="shared" si="152"/>
        <v>907.01952000000006</v>
      </c>
      <c r="AG138" s="156">
        <f t="shared" si="153"/>
        <v>453.50976000000003</v>
      </c>
      <c r="AH138" s="156">
        <f t="shared" si="154"/>
        <v>453.50976000000003</v>
      </c>
      <c r="AI138" s="156">
        <f t="shared" si="155"/>
        <v>226.75488000000001</v>
      </c>
      <c r="AJ138" s="156">
        <f t="shared" si="156"/>
        <v>453.50976000000003</v>
      </c>
      <c r="AK138" s="156">
        <f t="shared" si="157"/>
        <v>453.50976000000003</v>
      </c>
      <c r="AL138" s="156">
        <f t="shared" si="158"/>
        <v>1587.2841600000002</v>
      </c>
      <c r="AM138" s="157">
        <f t="shared" si="159"/>
        <v>6978.3814320000001</v>
      </c>
      <c r="AN138" s="158">
        <f t="shared" si="160"/>
        <v>2200</v>
      </c>
      <c r="AO138" s="159">
        <v>0.2</v>
      </c>
      <c r="AP138" s="160">
        <f t="shared" si="161"/>
        <v>185418139.74501312</v>
      </c>
      <c r="AQ138" s="161">
        <f t="shared" si="162"/>
        <v>51505.042938462306</v>
      </c>
      <c r="AR138" s="162">
        <f t="shared" si="163"/>
        <v>10301.008587692462</v>
      </c>
      <c r="AS138" s="163">
        <f t="shared" si="164"/>
        <v>1.4698927779241526</v>
      </c>
      <c r="AT138" s="164">
        <f t="shared" si="165"/>
        <v>1.4698927779241526</v>
      </c>
      <c r="AU138" s="165"/>
      <c r="AV138" s="166"/>
      <c r="AW138" s="167"/>
      <c r="AX138" s="146"/>
      <c r="AY138" s="168"/>
    </row>
    <row r="139" spans="1:51" ht="10.9" customHeight="1" x14ac:dyDescent="0.25">
      <c r="B139" s="140">
        <v>4</v>
      </c>
      <c r="C139" s="221" t="s">
        <v>183</v>
      </c>
      <c r="D139" s="235"/>
      <c r="E139" s="236"/>
      <c r="F139" s="236"/>
      <c r="G139" s="236"/>
      <c r="H139" s="236"/>
      <c r="I139" s="236"/>
      <c r="J139" s="236"/>
      <c r="K139" s="236">
        <v>112528</v>
      </c>
      <c r="L139" s="236">
        <v>115168</v>
      </c>
      <c r="M139" s="236">
        <v>117821</v>
      </c>
      <c r="N139" s="236">
        <v>107899</v>
      </c>
      <c r="O139" s="236"/>
      <c r="P139" s="237"/>
      <c r="Q139" s="223">
        <f t="shared" si="145"/>
        <v>117821</v>
      </c>
      <c r="R139" s="147">
        <f t="shared" si="146"/>
        <v>12960.31</v>
      </c>
      <c r="S139" s="147">
        <f t="shared" si="147"/>
        <v>35.507698630136986</v>
      </c>
      <c r="T139" s="148">
        <f t="shared" si="148"/>
        <v>7776.1859999999997</v>
      </c>
      <c r="U139" s="199"/>
      <c r="V139" s="150"/>
      <c r="W139" s="249"/>
      <c r="X139" s="249"/>
      <c r="Y139" s="152"/>
      <c r="Z139" s="153"/>
      <c r="AA139" s="153"/>
      <c r="AB139" s="154"/>
      <c r="AC139" s="155">
        <f t="shared" si="149"/>
        <v>4510.1878799999995</v>
      </c>
      <c r="AD139" s="156">
        <f t="shared" si="150"/>
        <v>1010.90418</v>
      </c>
      <c r="AE139" s="156">
        <f t="shared" si="151"/>
        <v>682.36032149999994</v>
      </c>
      <c r="AF139" s="156">
        <f t="shared" si="152"/>
        <v>311.04743999999999</v>
      </c>
      <c r="AG139" s="156">
        <f t="shared" si="153"/>
        <v>155.52372</v>
      </c>
      <c r="AH139" s="156">
        <f t="shared" si="154"/>
        <v>155.52372</v>
      </c>
      <c r="AI139" s="156">
        <f t="shared" si="155"/>
        <v>77.761859999999999</v>
      </c>
      <c r="AJ139" s="156">
        <f t="shared" si="156"/>
        <v>155.52372</v>
      </c>
      <c r="AK139" s="156">
        <f t="shared" si="157"/>
        <v>155.52372</v>
      </c>
      <c r="AL139" s="156">
        <f t="shared" si="158"/>
        <v>544.33302000000003</v>
      </c>
      <c r="AM139" s="157">
        <f t="shared" si="159"/>
        <v>2393.1212415</v>
      </c>
      <c r="AN139" s="158">
        <f t="shared" si="160"/>
        <v>2200</v>
      </c>
      <c r="AO139" s="159">
        <v>0.2</v>
      </c>
      <c r="AP139" s="160">
        <f t="shared" si="161"/>
        <v>63586104.185771637</v>
      </c>
      <c r="AQ139" s="161">
        <f t="shared" si="162"/>
        <v>17662.808131294438</v>
      </c>
      <c r="AR139" s="162">
        <f t="shared" si="163"/>
        <v>3532.5616262588878</v>
      </c>
      <c r="AS139" s="163">
        <f t="shared" si="164"/>
        <v>0.50407557452324314</v>
      </c>
      <c r="AT139" s="164">
        <f t="shared" si="165"/>
        <v>0.50407557452324314</v>
      </c>
      <c r="AU139" s="165"/>
      <c r="AV139" s="166"/>
      <c r="AW139" s="167"/>
      <c r="AX139" s="146"/>
      <c r="AY139" s="168"/>
    </row>
    <row r="140" spans="1:51" ht="10.9" customHeight="1" x14ac:dyDescent="0.25">
      <c r="B140" s="140">
        <v>5</v>
      </c>
      <c r="C140" s="221" t="s">
        <v>184</v>
      </c>
      <c r="D140" s="235"/>
      <c r="E140" s="236"/>
      <c r="F140" s="236"/>
      <c r="G140" s="236"/>
      <c r="H140" s="236"/>
      <c r="I140" s="236"/>
      <c r="J140" s="236"/>
      <c r="K140" s="236">
        <v>162104</v>
      </c>
      <c r="L140" s="236">
        <v>163859</v>
      </c>
      <c r="M140" s="236">
        <v>165564</v>
      </c>
      <c r="N140" s="236">
        <v>173507</v>
      </c>
      <c r="O140" s="236"/>
      <c r="P140" s="237"/>
      <c r="Q140" s="223">
        <f t="shared" si="145"/>
        <v>173507</v>
      </c>
      <c r="R140" s="147">
        <f t="shared" si="146"/>
        <v>19085.77</v>
      </c>
      <c r="S140" s="147">
        <f t="shared" si="147"/>
        <v>52.289780821917809</v>
      </c>
      <c r="T140" s="148">
        <f t="shared" si="148"/>
        <v>11451.462</v>
      </c>
      <c r="U140" s="199"/>
      <c r="V140" s="150"/>
      <c r="W140" s="249"/>
      <c r="X140" s="249"/>
      <c r="Y140" s="152"/>
      <c r="Z140" s="153"/>
      <c r="AA140" s="153"/>
      <c r="AB140" s="154"/>
      <c r="AC140" s="155">
        <f t="shared" si="149"/>
        <v>6641.8479599999991</v>
      </c>
      <c r="AD140" s="156">
        <f t="shared" si="150"/>
        <v>1488.6900599999999</v>
      </c>
      <c r="AE140" s="156">
        <f t="shared" si="151"/>
        <v>1004.8657904999999</v>
      </c>
      <c r="AF140" s="156">
        <f t="shared" si="152"/>
        <v>458.05847999999997</v>
      </c>
      <c r="AG140" s="156">
        <f t="shared" si="153"/>
        <v>229.02923999999999</v>
      </c>
      <c r="AH140" s="156">
        <f t="shared" si="154"/>
        <v>229.02923999999999</v>
      </c>
      <c r="AI140" s="156">
        <f t="shared" si="155"/>
        <v>114.51461999999999</v>
      </c>
      <c r="AJ140" s="156">
        <f t="shared" si="156"/>
        <v>229.02923999999999</v>
      </c>
      <c r="AK140" s="156">
        <f t="shared" si="157"/>
        <v>229.02923999999999</v>
      </c>
      <c r="AL140" s="156">
        <f t="shared" si="158"/>
        <v>801.60234000000003</v>
      </c>
      <c r="AM140" s="157">
        <f t="shared" si="159"/>
        <v>3524.1874304999997</v>
      </c>
      <c r="AN140" s="158">
        <f t="shared" si="160"/>
        <v>2200</v>
      </c>
      <c r="AO140" s="159">
        <v>0.2</v>
      </c>
      <c r="AP140" s="160">
        <f t="shared" si="161"/>
        <v>93638945.340479866</v>
      </c>
      <c r="AQ140" s="161">
        <f t="shared" si="162"/>
        <v>26010.820230998746</v>
      </c>
      <c r="AR140" s="162">
        <f t="shared" si="163"/>
        <v>5202.1640461997495</v>
      </c>
      <c r="AS140" s="163">
        <f t="shared" si="164"/>
        <v>0.74231792896685922</v>
      </c>
      <c r="AT140" s="164">
        <f t="shared" si="165"/>
        <v>0.74231792896685922</v>
      </c>
      <c r="AU140" s="165"/>
      <c r="AV140" s="166"/>
      <c r="AW140" s="167"/>
      <c r="AX140" s="146"/>
      <c r="AY140" s="168"/>
    </row>
    <row r="141" spans="1:51" ht="10.9" customHeight="1" x14ac:dyDescent="0.25">
      <c r="B141" s="140">
        <v>6</v>
      </c>
      <c r="C141" s="221" t="s">
        <v>185</v>
      </c>
      <c r="D141" s="235"/>
      <c r="E141" s="236"/>
      <c r="F141" s="236"/>
      <c r="G141" s="236"/>
      <c r="H141" s="236"/>
      <c r="I141" s="236"/>
      <c r="J141" s="236"/>
      <c r="K141" s="236">
        <v>138590</v>
      </c>
      <c r="L141" s="236">
        <v>142047</v>
      </c>
      <c r="M141" s="236">
        <v>145530</v>
      </c>
      <c r="N141" s="236">
        <v>155753</v>
      </c>
      <c r="O141" s="236"/>
      <c r="P141" s="237"/>
      <c r="Q141" s="223">
        <f t="shared" si="145"/>
        <v>155753</v>
      </c>
      <c r="R141" s="147">
        <f t="shared" si="146"/>
        <v>17132.830000000002</v>
      </c>
      <c r="S141" s="147">
        <f t="shared" si="147"/>
        <v>46.939260273972607</v>
      </c>
      <c r="T141" s="148">
        <f t="shared" si="148"/>
        <v>10279.698</v>
      </c>
      <c r="U141" s="199"/>
      <c r="V141" s="150"/>
      <c r="W141" s="249"/>
      <c r="X141" s="249"/>
      <c r="Y141" s="152"/>
      <c r="Z141" s="153"/>
      <c r="AA141" s="153"/>
      <c r="AB141" s="154"/>
      <c r="AC141" s="155">
        <f t="shared" si="149"/>
        <v>5962.2248399999999</v>
      </c>
      <c r="AD141" s="156">
        <f t="shared" si="150"/>
        <v>1336.3607400000001</v>
      </c>
      <c r="AE141" s="156">
        <f t="shared" si="151"/>
        <v>902.04349949999994</v>
      </c>
      <c r="AF141" s="156">
        <f t="shared" si="152"/>
        <v>411.18792000000002</v>
      </c>
      <c r="AG141" s="156">
        <f t="shared" si="153"/>
        <v>205.59396000000001</v>
      </c>
      <c r="AH141" s="156">
        <f t="shared" si="154"/>
        <v>205.59396000000001</v>
      </c>
      <c r="AI141" s="156">
        <f t="shared" si="155"/>
        <v>102.79698</v>
      </c>
      <c r="AJ141" s="156">
        <f t="shared" si="156"/>
        <v>205.59396000000001</v>
      </c>
      <c r="AK141" s="156">
        <f t="shared" si="157"/>
        <v>205.59396000000001</v>
      </c>
      <c r="AL141" s="156">
        <f t="shared" si="158"/>
        <v>719.57886000000008</v>
      </c>
      <c r="AM141" s="157">
        <f t="shared" si="159"/>
        <v>3163.5770595000004</v>
      </c>
      <c r="AN141" s="158">
        <f t="shared" si="160"/>
        <v>2200</v>
      </c>
      <c r="AO141" s="159">
        <v>0.2</v>
      </c>
      <c r="AP141" s="160">
        <f t="shared" si="161"/>
        <v>84057396.264218509</v>
      </c>
      <c r="AQ141" s="161">
        <f t="shared" si="162"/>
        <v>23349.278608002835</v>
      </c>
      <c r="AR141" s="162">
        <f t="shared" si="163"/>
        <v>4669.8557216005674</v>
      </c>
      <c r="AS141" s="163">
        <f t="shared" si="164"/>
        <v>0.66636069086766092</v>
      </c>
      <c r="AT141" s="164">
        <f t="shared" si="165"/>
        <v>0.66636069086766092</v>
      </c>
      <c r="AU141" s="165"/>
      <c r="AV141" s="166"/>
      <c r="AW141" s="167"/>
      <c r="AX141" s="146"/>
      <c r="AY141" s="168"/>
    </row>
    <row r="142" spans="1:51" ht="10.9" customHeight="1" x14ac:dyDescent="0.25">
      <c r="B142" s="140">
        <v>7</v>
      </c>
      <c r="C142" s="221" t="s">
        <v>186</v>
      </c>
      <c r="D142" s="235"/>
      <c r="E142" s="236"/>
      <c r="F142" s="236"/>
      <c r="G142" s="236"/>
      <c r="H142" s="236"/>
      <c r="I142" s="236"/>
      <c r="J142" s="236"/>
      <c r="K142" s="236">
        <v>89690</v>
      </c>
      <c r="L142" s="236">
        <v>91142</v>
      </c>
      <c r="M142" s="236">
        <v>92579</v>
      </c>
      <c r="N142" s="236">
        <v>99215</v>
      </c>
      <c r="O142" s="236"/>
      <c r="P142" s="237"/>
      <c r="Q142" s="223">
        <f t="shared" si="145"/>
        <v>99215</v>
      </c>
      <c r="R142" s="147">
        <f t="shared" si="146"/>
        <v>10913.65</v>
      </c>
      <c r="S142" s="147">
        <f t="shared" si="147"/>
        <v>29.900410958904107</v>
      </c>
      <c r="T142" s="148">
        <f t="shared" si="148"/>
        <v>6548.19</v>
      </c>
      <c r="U142" s="199"/>
      <c r="V142" s="150"/>
      <c r="W142" s="249"/>
      <c r="X142" s="249"/>
      <c r="Y142" s="152"/>
      <c r="Z142" s="153"/>
      <c r="AA142" s="153"/>
      <c r="AB142" s="154"/>
      <c r="AC142" s="155">
        <f t="shared" si="149"/>
        <v>3797.9501999999993</v>
      </c>
      <c r="AD142" s="156">
        <f t="shared" si="150"/>
        <v>851.26469999999995</v>
      </c>
      <c r="AE142" s="156">
        <f t="shared" si="151"/>
        <v>574.6036724999999</v>
      </c>
      <c r="AF142" s="156">
        <f t="shared" si="152"/>
        <v>261.92759999999998</v>
      </c>
      <c r="AG142" s="156">
        <f t="shared" si="153"/>
        <v>130.96379999999999</v>
      </c>
      <c r="AH142" s="156">
        <f t="shared" si="154"/>
        <v>130.96379999999999</v>
      </c>
      <c r="AI142" s="156">
        <f t="shared" si="155"/>
        <v>65.481899999999996</v>
      </c>
      <c r="AJ142" s="156">
        <f t="shared" si="156"/>
        <v>130.96379999999999</v>
      </c>
      <c r="AK142" s="156">
        <f t="shared" si="157"/>
        <v>130.96379999999999</v>
      </c>
      <c r="AL142" s="156">
        <f t="shared" si="158"/>
        <v>458.37330000000003</v>
      </c>
      <c r="AM142" s="157">
        <f t="shared" si="159"/>
        <v>2015.2054724999998</v>
      </c>
      <c r="AN142" s="158">
        <f t="shared" si="160"/>
        <v>2200</v>
      </c>
      <c r="AO142" s="159">
        <v>0.2</v>
      </c>
      <c r="AP142" s="160">
        <f t="shared" si="161"/>
        <v>53544744.373170584</v>
      </c>
      <c r="AQ142" s="161">
        <f t="shared" si="162"/>
        <v>14873.541293541704</v>
      </c>
      <c r="AR142" s="162">
        <f t="shared" si="163"/>
        <v>2974.708258708341</v>
      </c>
      <c r="AS142" s="163">
        <f t="shared" si="164"/>
        <v>0.42447321043212627</v>
      </c>
      <c r="AT142" s="164">
        <f t="shared" si="165"/>
        <v>0.42447321043212627</v>
      </c>
      <c r="AU142" s="165"/>
      <c r="AV142" s="166"/>
      <c r="AW142" s="167"/>
      <c r="AX142" s="146"/>
      <c r="AY142" s="168"/>
    </row>
    <row r="143" spans="1:51" ht="10.9" customHeight="1" x14ac:dyDescent="0.25">
      <c r="B143" s="140">
        <v>8</v>
      </c>
      <c r="C143" s="221" t="s">
        <v>187</v>
      </c>
      <c r="D143" s="235"/>
      <c r="E143" s="236"/>
      <c r="F143" s="236"/>
      <c r="G143" s="236"/>
      <c r="H143" s="236"/>
      <c r="I143" s="236"/>
      <c r="J143" s="236"/>
      <c r="K143" s="236">
        <v>116882</v>
      </c>
      <c r="L143" s="236">
        <v>117916</v>
      </c>
      <c r="M143" s="236">
        <v>118910</v>
      </c>
      <c r="N143" s="236">
        <v>124865</v>
      </c>
      <c r="O143" s="236"/>
      <c r="P143" s="237"/>
      <c r="Q143" s="223">
        <f t="shared" si="145"/>
        <v>124865</v>
      </c>
      <c r="R143" s="147">
        <f t="shared" si="146"/>
        <v>13735.15</v>
      </c>
      <c r="S143" s="147">
        <f t="shared" si="147"/>
        <v>37.630547945205478</v>
      </c>
      <c r="T143" s="148">
        <f t="shared" si="148"/>
        <v>8241.09</v>
      </c>
      <c r="U143" s="199"/>
      <c r="V143" s="150"/>
      <c r="W143" s="249"/>
      <c r="X143" s="249"/>
      <c r="Y143" s="152"/>
      <c r="Z143" s="153"/>
      <c r="AA143" s="153"/>
      <c r="AB143" s="154"/>
      <c r="AC143" s="155">
        <f t="shared" si="149"/>
        <v>4779.8321999999998</v>
      </c>
      <c r="AD143" s="156">
        <f t="shared" si="150"/>
        <v>1071.3416999999999</v>
      </c>
      <c r="AE143" s="156">
        <f t="shared" si="151"/>
        <v>723.15564749999999</v>
      </c>
      <c r="AF143" s="156">
        <f t="shared" si="152"/>
        <v>329.64359999999999</v>
      </c>
      <c r="AG143" s="156">
        <f t="shared" si="153"/>
        <v>164.8218</v>
      </c>
      <c r="AH143" s="156">
        <f t="shared" si="154"/>
        <v>164.8218</v>
      </c>
      <c r="AI143" s="156">
        <f t="shared" si="155"/>
        <v>82.410899999999998</v>
      </c>
      <c r="AJ143" s="156">
        <f t="shared" si="156"/>
        <v>164.8218</v>
      </c>
      <c r="AK143" s="156">
        <f t="shared" si="157"/>
        <v>164.8218</v>
      </c>
      <c r="AL143" s="156">
        <f t="shared" si="158"/>
        <v>576.87630000000001</v>
      </c>
      <c r="AM143" s="157">
        <f t="shared" si="159"/>
        <v>2536.1954475000002</v>
      </c>
      <c r="AN143" s="158">
        <f t="shared" si="160"/>
        <v>2200</v>
      </c>
      <c r="AO143" s="159">
        <v>0.2</v>
      </c>
      <c r="AP143" s="160">
        <f t="shared" si="161"/>
        <v>67387638.020016596</v>
      </c>
      <c r="AQ143" s="161">
        <f t="shared" si="162"/>
        <v>18718.789836396565</v>
      </c>
      <c r="AR143" s="162">
        <f t="shared" si="163"/>
        <v>3743.7579672793131</v>
      </c>
      <c r="AS143" s="163">
        <f t="shared" si="164"/>
        <v>0.5342120387099476</v>
      </c>
      <c r="AT143" s="164">
        <f t="shared" si="165"/>
        <v>0.5342120387099476</v>
      </c>
      <c r="AU143" s="165"/>
      <c r="AV143" s="166"/>
      <c r="AW143" s="167"/>
      <c r="AX143" s="146"/>
      <c r="AY143" s="168"/>
    </row>
    <row r="144" spans="1:51" ht="10.9" customHeight="1" x14ac:dyDescent="0.25">
      <c r="B144" s="140">
        <v>9</v>
      </c>
      <c r="C144" s="221" t="s">
        <v>188</v>
      </c>
      <c r="D144" s="235"/>
      <c r="E144" s="236"/>
      <c r="F144" s="236"/>
      <c r="G144" s="236"/>
      <c r="H144" s="236"/>
      <c r="I144" s="236"/>
      <c r="J144" s="236"/>
      <c r="K144" s="236"/>
      <c r="L144" s="236"/>
      <c r="M144" s="236">
        <v>94106</v>
      </c>
      <c r="N144" s="236">
        <v>98333</v>
      </c>
      <c r="O144" s="236"/>
      <c r="P144" s="237"/>
      <c r="Q144" s="223">
        <f t="shared" si="145"/>
        <v>98333</v>
      </c>
      <c r="R144" s="147">
        <f t="shared" si="146"/>
        <v>10816.63</v>
      </c>
      <c r="S144" s="147">
        <f t="shared" si="147"/>
        <v>29.634602739726024</v>
      </c>
      <c r="T144" s="148">
        <f t="shared" si="148"/>
        <v>6489.9779999999992</v>
      </c>
      <c r="U144" s="199"/>
      <c r="V144" s="150"/>
      <c r="W144" s="249"/>
      <c r="X144" s="249"/>
      <c r="Y144" s="152"/>
      <c r="Z144" s="153"/>
      <c r="AA144" s="153"/>
      <c r="AB144" s="154"/>
      <c r="AC144" s="155">
        <f t="shared" si="149"/>
        <v>3764.1872399999993</v>
      </c>
      <c r="AD144" s="156">
        <f t="shared" si="150"/>
        <v>843.69713999999988</v>
      </c>
      <c r="AE144" s="156">
        <f t="shared" si="151"/>
        <v>569.49556949999987</v>
      </c>
      <c r="AF144" s="156">
        <f t="shared" si="152"/>
        <v>259.59911999999997</v>
      </c>
      <c r="AG144" s="156">
        <f t="shared" si="153"/>
        <v>129.79955999999999</v>
      </c>
      <c r="AH144" s="156">
        <f t="shared" si="154"/>
        <v>129.79955999999999</v>
      </c>
      <c r="AI144" s="156">
        <f t="shared" si="155"/>
        <v>64.899779999999993</v>
      </c>
      <c r="AJ144" s="156">
        <f t="shared" si="156"/>
        <v>129.79955999999999</v>
      </c>
      <c r="AK144" s="156">
        <f t="shared" si="157"/>
        <v>129.79955999999999</v>
      </c>
      <c r="AL144" s="156">
        <f t="shared" si="158"/>
        <v>454.29845999999998</v>
      </c>
      <c r="AM144" s="157">
        <f t="shared" si="159"/>
        <v>1997.2907294999993</v>
      </c>
      <c r="AN144" s="158">
        <f t="shared" si="160"/>
        <v>2200</v>
      </c>
      <c r="AO144" s="159">
        <v>0.2</v>
      </c>
      <c r="AP144" s="160">
        <f t="shared" si="161"/>
        <v>53068743.117945708</v>
      </c>
      <c r="AQ144" s="161">
        <f t="shared" si="162"/>
        <v>14741.3187120681</v>
      </c>
      <c r="AR144" s="162">
        <f t="shared" si="163"/>
        <v>2948.2637424136201</v>
      </c>
      <c r="AS144" s="163">
        <f t="shared" si="164"/>
        <v>0.42069973493345036</v>
      </c>
      <c r="AT144" s="164">
        <f t="shared" si="165"/>
        <v>0.42069973493345036</v>
      </c>
      <c r="AU144" s="165"/>
      <c r="AV144" s="166"/>
      <c r="AW144" s="167"/>
      <c r="AX144" s="146"/>
      <c r="AY144" s="168"/>
    </row>
    <row r="145" spans="1:51" ht="10.9" customHeight="1" x14ac:dyDescent="0.25">
      <c r="B145" s="140">
        <v>10</v>
      </c>
      <c r="C145" s="221" t="s">
        <v>189</v>
      </c>
      <c r="D145" s="235"/>
      <c r="E145" s="236"/>
      <c r="F145" s="236"/>
      <c r="G145" s="236"/>
      <c r="H145" s="236"/>
      <c r="I145" s="236"/>
      <c r="J145" s="236"/>
      <c r="K145" s="236">
        <v>270079</v>
      </c>
      <c r="L145" s="236">
        <v>274477</v>
      </c>
      <c r="M145" s="236">
        <v>278831</v>
      </c>
      <c r="N145" s="236">
        <v>308544</v>
      </c>
      <c r="O145" s="236"/>
      <c r="P145" s="237"/>
      <c r="Q145" s="223">
        <f t="shared" si="145"/>
        <v>308544</v>
      </c>
      <c r="R145" s="147">
        <f t="shared" si="146"/>
        <v>33939.840000000004</v>
      </c>
      <c r="S145" s="147">
        <f t="shared" si="147"/>
        <v>92.985863013698633</v>
      </c>
      <c r="T145" s="148">
        <f t="shared" si="148"/>
        <v>20363.904000000002</v>
      </c>
      <c r="U145" s="199"/>
      <c r="V145" s="150"/>
      <c r="W145" s="249"/>
      <c r="X145" s="249"/>
      <c r="Y145" s="152"/>
      <c r="Z145" s="153"/>
      <c r="AA145" s="153"/>
      <c r="AB145" s="154"/>
      <c r="AC145" s="155">
        <f t="shared" si="149"/>
        <v>11811.064320000001</v>
      </c>
      <c r="AD145" s="156">
        <f t="shared" si="150"/>
        <v>2647.3075200000003</v>
      </c>
      <c r="AE145" s="156">
        <f t="shared" si="151"/>
        <v>1786.9325760000002</v>
      </c>
      <c r="AF145" s="156">
        <f t="shared" si="152"/>
        <v>814.55616000000009</v>
      </c>
      <c r="AG145" s="156">
        <f t="shared" si="153"/>
        <v>407.27808000000005</v>
      </c>
      <c r="AH145" s="156">
        <f t="shared" si="154"/>
        <v>407.27808000000005</v>
      </c>
      <c r="AI145" s="156">
        <f t="shared" si="155"/>
        <v>203.63904000000002</v>
      </c>
      <c r="AJ145" s="156">
        <f t="shared" si="156"/>
        <v>407.27808000000005</v>
      </c>
      <c r="AK145" s="156">
        <f t="shared" si="157"/>
        <v>407.27808000000005</v>
      </c>
      <c r="AL145" s="156">
        <f t="shared" si="158"/>
        <v>1425.4732800000004</v>
      </c>
      <c r="AM145" s="157">
        <f t="shared" si="159"/>
        <v>6266.9914560000007</v>
      </c>
      <c r="AN145" s="158">
        <f t="shared" si="160"/>
        <v>2200</v>
      </c>
      <c r="AO145" s="159">
        <v>0.2</v>
      </c>
      <c r="AP145" s="160">
        <f t="shared" si="161"/>
        <v>166516248.63050497</v>
      </c>
      <c r="AQ145" s="161">
        <f t="shared" si="162"/>
        <v>46254.517208834681</v>
      </c>
      <c r="AR145" s="162">
        <f t="shared" si="163"/>
        <v>9250.9034417669372</v>
      </c>
      <c r="AS145" s="163">
        <f t="shared" si="164"/>
        <v>1.3200490071014466</v>
      </c>
      <c r="AT145" s="164">
        <f t="shared" si="165"/>
        <v>1.3200490071014466</v>
      </c>
      <c r="AU145" s="165"/>
      <c r="AV145" s="166"/>
      <c r="AW145" s="167"/>
      <c r="AX145" s="146"/>
      <c r="AY145" s="168"/>
    </row>
    <row r="146" spans="1:51" s="263" customFormat="1" ht="17.25" customHeight="1" x14ac:dyDescent="0.25">
      <c r="A146" s="173"/>
      <c r="B146" s="225"/>
      <c r="C146" s="258" t="s">
        <v>190</v>
      </c>
      <c r="D146" s="240">
        <f>SUM(D136:D145)</f>
        <v>0</v>
      </c>
      <c r="E146" s="240">
        <f t="shared" ref="E146:AM146" si="166">SUM(E136:E145)</f>
        <v>0</v>
      </c>
      <c r="F146" s="240">
        <f t="shared" si="166"/>
        <v>0</v>
      </c>
      <c r="G146" s="240">
        <f t="shared" si="166"/>
        <v>0</v>
      </c>
      <c r="H146" s="240">
        <f t="shared" si="166"/>
        <v>0</v>
      </c>
      <c r="I146" s="240">
        <f t="shared" si="166"/>
        <v>0</v>
      </c>
      <c r="J146" s="240">
        <f t="shared" si="166"/>
        <v>0</v>
      </c>
      <c r="K146" s="240">
        <f t="shared" si="166"/>
        <v>1516663</v>
      </c>
      <c r="L146" s="240">
        <f t="shared" si="166"/>
        <v>1641921</v>
      </c>
      <c r="M146" s="240">
        <f t="shared" si="166"/>
        <v>1666920</v>
      </c>
      <c r="N146" s="240">
        <f>SUM(N136:N145)</f>
        <v>1715518</v>
      </c>
      <c r="O146" s="240">
        <f t="shared" si="166"/>
        <v>0</v>
      </c>
      <c r="P146" s="240">
        <f t="shared" si="166"/>
        <v>0</v>
      </c>
      <c r="Q146" s="240">
        <f t="shared" si="166"/>
        <v>1822133</v>
      </c>
      <c r="R146" s="240">
        <f t="shared" si="166"/>
        <v>200434.63</v>
      </c>
      <c r="S146" s="240">
        <f t="shared" si="166"/>
        <v>549.13597260273968</v>
      </c>
      <c r="T146" s="240">
        <f t="shared" si="166"/>
        <v>120260.77800000002</v>
      </c>
      <c r="U146" s="199">
        <f t="shared" si="166"/>
        <v>0</v>
      </c>
      <c r="V146" s="241"/>
      <c r="W146" s="242">
        <f t="shared" si="166"/>
        <v>0</v>
      </c>
      <c r="X146" s="242">
        <f>SUM(X136:X145)</f>
        <v>0</v>
      </c>
      <c r="Y146" s="242">
        <f>SUM(Y136:Y145)</f>
        <v>0</v>
      </c>
      <c r="Z146" s="199"/>
      <c r="AA146" s="199"/>
      <c r="AB146" s="243"/>
      <c r="AC146" s="240">
        <f>SUM(AC136:AC145)</f>
        <v>69751.251239999998</v>
      </c>
      <c r="AD146" s="244">
        <f>SUM(AD136:AD145)</f>
        <v>15633.90114</v>
      </c>
      <c r="AE146" s="244">
        <f>SUM(AE136:AE145)</f>
        <v>10552.883269499998</v>
      </c>
      <c r="AF146" s="244">
        <f>SUM(AF136:AF145)</f>
        <v>4810.4311199999993</v>
      </c>
      <c r="AG146" s="244">
        <f>SUM(AG136:AG145)</f>
        <v>2405.2155599999996</v>
      </c>
      <c r="AH146" s="244">
        <f t="shared" si="166"/>
        <v>2405.2155599999996</v>
      </c>
      <c r="AI146" s="244">
        <f>SUM(AI136:AI145)</f>
        <v>1202.6077799999998</v>
      </c>
      <c r="AJ146" s="244">
        <f t="shared" si="166"/>
        <v>2405.2155599999996</v>
      </c>
      <c r="AK146" s="244">
        <f t="shared" si="166"/>
        <v>2405.2155599999996</v>
      </c>
      <c r="AL146" s="244">
        <f t="shared" si="166"/>
        <v>8418.2544600000019</v>
      </c>
      <c r="AM146" s="245">
        <f t="shared" si="166"/>
        <v>37010.254429499997</v>
      </c>
      <c r="AN146" s="158"/>
      <c r="AO146" s="183"/>
      <c r="AP146" s="160">
        <f>SUM(AP136:AP145)</f>
        <v>983375958.26153755</v>
      </c>
      <c r="AQ146" s="160">
        <f t="shared" ref="AQ146:AX146" si="167">SUM(AQ136:AQ145)</f>
        <v>273160.01025878172</v>
      </c>
      <c r="AR146" s="160">
        <f t="shared" si="167"/>
        <v>54632.002051756361</v>
      </c>
      <c r="AS146" s="185">
        <f t="shared" si="167"/>
        <v>7.7956623932300735</v>
      </c>
      <c r="AT146" s="186">
        <f t="shared" si="167"/>
        <v>7.7956623932300735</v>
      </c>
      <c r="AU146" s="187"/>
      <c r="AV146" s="246">
        <f t="shared" si="167"/>
        <v>0</v>
      </c>
      <c r="AW146" s="246"/>
      <c r="AX146" s="185">
        <f t="shared" si="167"/>
        <v>0</v>
      </c>
      <c r="AY146" s="189"/>
    </row>
    <row r="147" spans="1:51" s="139" customFormat="1" ht="10.9" customHeight="1" x14ac:dyDescent="0.25">
      <c r="B147" s="247"/>
      <c r="C147" s="152"/>
      <c r="D147" s="247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248"/>
      <c r="Q147" s="249"/>
      <c r="R147" s="250"/>
      <c r="S147" s="250"/>
      <c r="T147" s="251"/>
      <c r="U147" s="199"/>
      <c r="V147" s="179"/>
      <c r="W147" s="249"/>
      <c r="X147" s="249"/>
      <c r="Y147" s="152"/>
      <c r="Z147" s="153"/>
      <c r="AA147" s="153"/>
      <c r="AB147" s="154"/>
      <c r="AC147" s="247"/>
      <c r="AD147" s="252"/>
      <c r="AE147" s="252"/>
      <c r="AF147" s="252"/>
      <c r="AG147" s="252"/>
      <c r="AH147" s="252"/>
      <c r="AI147" s="252"/>
      <c r="AJ147" s="252"/>
      <c r="AK147" s="252"/>
      <c r="AL147" s="252"/>
      <c r="AM147" s="214"/>
      <c r="AN147" s="203"/>
      <c r="AO147" s="204"/>
      <c r="AP147" s="203"/>
      <c r="AQ147" s="205"/>
      <c r="AR147" s="206"/>
      <c r="AS147" s="253"/>
      <c r="AT147" s="254"/>
      <c r="AU147" s="255"/>
      <c r="AV147" s="256"/>
      <c r="AW147" s="257"/>
      <c r="AX147" s="214"/>
      <c r="AY147" s="212"/>
    </row>
    <row r="148" spans="1:51" s="139" customFormat="1" ht="15" customHeight="1" x14ac:dyDescent="0.25">
      <c r="A148" s="1"/>
      <c r="B148" s="120"/>
      <c r="C148" s="258" t="s">
        <v>191</v>
      </c>
      <c r="D148" s="122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213"/>
      <c r="Q148" s="76"/>
      <c r="R148" s="108"/>
      <c r="S148" s="108"/>
      <c r="T148" s="94"/>
      <c r="U148" s="199"/>
      <c r="V148" s="179"/>
      <c r="W148" s="180"/>
      <c r="X148" s="180"/>
      <c r="Y148" s="214"/>
      <c r="Z148" s="181"/>
      <c r="AA148" s="181"/>
      <c r="AB148" s="182"/>
      <c r="AC148" s="62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125"/>
      <c r="AN148" s="75"/>
      <c r="AO148" s="216"/>
      <c r="AP148" s="75"/>
      <c r="AQ148" s="51"/>
      <c r="AR148" s="259"/>
      <c r="AS148" s="218"/>
      <c r="AT148" s="219"/>
      <c r="AU148" s="220"/>
      <c r="AV148" s="135"/>
      <c r="AW148" s="136"/>
      <c r="AX148" s="137"/>
      <c r="AY148" s="138"/>
    </row>
    <row r="149" spans="1:51" ht="10.9" customHeight="1" x14ac:dyDescent="0.25">
      <c r="B149" s="140">
        <v>1</v>
      </c>
      <c r="C149" s="258" t="s">
        <v>192</v>
      </c>
      <c r="D149" s="235"/>
      <c r="E149" s="236"/>
      <c r="F149" s="236"/>
      <c r="G149" s="236"/>
      <c r="H149" s="236">
        <v>1112854</v>
      </c>
      <c r="I149" s="236">
        <v>255246</v>
      </c>
      <c r="J149" s="236">
        <v>259292</v>
      </c>
      <c r="K149" s="236">
        <v>262383</v>
      </c>
      <c r="L149" s="236">
        <v>254743</v>
      </c>
      <c r="M149" s="236">
        <v>267022</v>
      </c>
      <c r="N149" s="236">
        <v>324045</v>
      </c>
      <c r="O149" s="236">
        <v>334295</v>
      </c>
      <c r="P149" s="237"/>
      <c r="Q149" s="223">
        <f t="shared" ref="Q149:Q163" si="168">MAX(D149:P149)</f>
        <v>1112854</v>
      </c>
      <c r="R149" s="147">
        <f>Q149*$R$8</f>
        <v>182508.05600000001</v>
      </c>
      <c r="S149" s="147">
        <f t="shared" ref="S149:S163" si="169">R149/$S$5</f>
        <v>500.02207123287673</v>
      </c>
      <c r="T149" s="148">
        <f>S149*$T$5*$T$8</f>
        <v>146006.44480000003</v>
      </c>
      <c r="U149" s="199"/>
      <c r="V149" s="150"/>
      <c r="W149" s="249"/>
      <c r="X149" s="249"/>
      <c r="Y149" s="152"/>
      <c r="Z149" s="153"/>
      <c r="AA149" s="153"/>
      <c r="AB149" s="154"/>
      <c r="AC149" s="155">
        <f t="shared" ref="AC149:AC163" si="170">T149*$AC$5</f>
        <v>84683.737984000007</v>
      </c>
      <c r="AD149" s="156">
        <f t="shared" ref="AD149:AD163" si="171">T149*$AD$5</f>
        <v>18980.837824000006</v>
      </c>
      <c r="AE149" s="156">
        <f t="shared" ref="AE149:AE163" si="172">T149*$AE$5</f>
        <v>12812.065531200002</v>
      </c>
      <c r="AF149" s="156">
        <f t="shared" ref="AF149:AF163" si="173">T149*$AF$5</f>
        <v>5840.2577920000012</v>
      </c>
      <c r="AG149" s="156">
        <f t="shared" ref="AG149:AG163" si="174">T149*$AG$5</f>
        <v>2920.1288960000006</v>
      </c>
      <c r="AH149" s="156">
        <f t="shared" ref="AH149:AH163" si="175">T149*$AH$5</f>
        <v>2920.1288960000006</v>
      </c>
      <c r="AI149" s="156">
        <f t="shared" ref="AI149:AI163" si="176">T149*$AI$5</f>
        <v>1460.0644480000003</v>
      </c>
      <c r="AJ149" s="156">
        <f t="shared" ref="AJ149:AJ163" si="177">T149*$AJ$5</f>
        <v>2920.1288960000006</v>
      </c>
      <c r="AK149" s="156">
        <f t="shared" ref="AK149:AK163" si="178">T149*$AK$5</f>
        <v>2920.1288960000006</v>
      </c>
      <c r="AL149" s="156">
        <f t="shared" ref="AL149:AL163" si="179">T149*$AL$5</f>
        <v>10220.451136000003</v>
      </c>
      <c r="AM149" s="157">
        <f t="shared" ref="AM149:AM163" si="180">SUM(AD149:AI149)</f>
        <v>44933.483387200009</v>
      </c>
      <c r="AN149" s="158">
        <f t="shared" ref="AN149:AN163" si="181">$AN$5</f>
        <v>2200</v>
      </c>
      <c r="AO149" s="159">
        <v>0.2</v>
      </c>
      <c r="AP149" s="160">
        <f t="shared" ref="AP149:AP163" si="182">(AC149+AM149)*AN149*$AP$5</f>
        <v>1193899041.3612685</v>
      </c>
      <c r="AQ149" s="161">
        <f t="shared" ref="AQ149:AQ163" si="183">AP149*$AQ$5</f>
        <v>331638.64913144219</v>
      </c>
      <c r="AR149" s="162">
        <f t="shared" ref="AR149:AR163" si="184">AQ149*$AR$5</f>
        <v>66327.729826288443</v>
      </c>
      <c r="AS149" s="163">
        <f t="shared" ref="AS149:AS163" si="185">AR149/$AS$5</f>
        <v>9.4645733199612501</v>
      </c>
      <c r="AT149" s="233">
        <f t="shared" ref="AT149:AT163" si="186">AS149</f>
        <v>9.4645733199612501</v>
      </c>
      <c r="AU149" s="187"/>
      <c r="AV149" s="166"/>
      <c r="AW149" s="167"/>
      <c r="AX149" s="146"/>
      <c r="AY149" s="168"/>
    </row>
    <row r="150" spans="1:51" ht="10.9" customHeight="1" x14ac:dyDescent="0.25">
      <c r="B150" s="140">
        <v>2</v>
      </c>
      <c r="C150" s="258" t="s">
        <v>193</v>
      </c>
      <c r="D150" s="235"/>
      <c r="E150" s="236"/>
      <c r="F150" s="236"/>
      <c r="G150" s="236"/>
      <c r="H150" s="236">
        <v>1000152</v>
      </c>
      <c r="I150" s="236">
        <v>556828</v>
      </c>
      <c r="J150" s="236">
        <v>572192</v>
      </c>
      <c r="K150" s="236">
        <v>685296</v>
      </c>
      <c r="L150" s="236">
        <v>696505</v>
      </c>
      <c r="M150" s="236">
        <v>707627</v>
      </c>
      <c r="N150" s="236">
        <v>727376</v>
      </c>
      <c r="O150" s="236">
        <v>742374</v>
      </c>
      <c r="P150" s="237"/>
      <c r="Q150" s="223">
        <f t="shared" si="168"/>
        <v>1000152</v>
      </c>
      <c r="R150" s="147">
        <f>Q150*$R$8</f>
        <v>164024.92800000001</v>
      </c>
      <c r="S150" s="147">
        <f t="shared" si="169"/>
        <v>449.38336438356168</v>
      </c>
      <c r="T150" s="148">
        <f>S150*$T$5*$T$8</f>
        <v>131219.94240000003</v>
      </c>
      <c r="U150" s="199"/>
      <c r="V150" s="150"/>
      <c r="W150" s="249"/>
      <c r="X150" s="249"/>
      <c r="Y150" s="152"/>
      <c r="Z150" s="153"/>
      <c r="AA150" s="153"/>
      <c r="AB150" s="154"/>
      <c r="AC150" s="155">
        <f t="shared" si="170"/>
        <v>76107.566592000017</v>
      </c>
      <c r="AD150" s="156">
        <f t="shared" si="171"/>
        <v>17058.592512000003</v>
      </c>
      <c r="AE150" s="156">
        <f t="shared" si="172"/>
        <v>11514.549945600002</v>
      </c>
      <c r="AF150" s="156">
        <f t="shared" si="173"/>
        <v>5248.7976960000015</v>
      </c>
      <c r="AG150" s="156">
        <f t="shared" si="174"/>
        <v>2624.3988480000007</v>
      </c>
      <c r="AH150" s="156">
        <f t="shared" si="175"/>
        <v>2624.3988480000007</v>
      </c>
      <c r="AI150" s="156">
        <f t="shared" si="176"/>
        <v>1312.1994240000004</v>
      </c>
      <c r="AJ150" s="156">
        <f t="shared" si="177"/>
        <v>2624.3988480000007</v>
      </c>
      <c r="AK150" s="156">
        <f t="shared" si="178"/>
        <v>2624.3988480000007</v>
      </c>
      <c r="AL150" s="156">
        <f t="shared" si="179"/>
        <v>9185.3959680000025</v>
      </c>
      <c r="AM150" s="157">
        <f t="shared" si="180"/>
        <v>40382.9372736</v>
      </c>
      <c r="AN150" s="158">
        <f t="shared" si="181"/>
        <v>2200</v>
      </c>
      <c r="AO150" s="159">
        <v>0.2</v>
      </c>
      <c r="AP150" s="160">
        <f t="shared" si="182"/>
        <v>1072989371.4858871</v>
      </c>
      <c r="AQ150" s="161">
        <f t="shared" si="183"/>
        <v>298052.62703473243</v>
      </c>
      <c r="AR150" s="162">
        <f t="shared" si="184"/>
        <v>59610.525406946486</v>
      </c>
      <c r="AS150" s="163">
        <f t="shared" si="185"/>
        <v>8.5060681231373412</v>
      </c>
      <c r="AT150" s="233">
        <f t="shared" si="186"/>
        <v>8.5060681231373412</v>
      </c>
      <c r="AU150" s="187"/>
      <c r="AV150" s="166"/>
      <c r="AW150" s="167"/>
      <c r="AX150" s="146"/>
      <c r="AY150" s="168"/>
    </row>
    <row r="151" spans="1:51" ht="10.9" customHeight="1" x14ac:dyDescent="0.25">
      <c r="B151" s="140">
        <v>3</v>
      </c>
      <c r="C151" s="63" t="s">
        <v>194</v>
      </c>
      <c r="D151" s="235"/>
      <c r="E151" s="236"/>
      <c r="F151" s="236"/>
      <c r="G151" s="236"/>
      <c r="H151" s="236">
        <v>621876</v>
      </c>
      <c r="I151" s="236">
        <v>532222</v>
      </c>
      <c r="J151" s="236">
        <v>643924</v>
      </c>
      <c r="K151" s="236">
        <v>653304</v>
      </c>
      <c r="L151" s="236">
        <v>650906</v>
      </c>
      <c r="M151" s="236">
        <v>668342</v>
      </c>
      <c r="N151" s="236">
        <v>716576</v>
      </c>
      <c r="O151" s="236">
        <v>731410</v>
      </c>
      <c r="P151" s="237"/>
      <c r="Q151" s="223">
        <f t="shared" si="168"/>
        <v>731410</v>
      </c>
      <c r="R151" s="147">
        <f>Q151*$R$9</f>
        <v>106785.86</v>
      </c>
      <c r="S151" s="147">
        <f t="shared" si="169"/>
        <v>292.56400000000002</v>
      </c>
      <c r="T151" s="148">
        <f>S151*$T$5*$T$9</f>
        <v>74750.101999999999</v>
      </c>
      <c r="U151" s="199"/>
      <c r="V151" s="150"/>
      <c r="W151" s="249"/>
      <c r="X151" s="249"/>
      <c r="Y151" s="152"/>
      <c r="Z151" s="153"/>
      <c r="AA151" s="153"/>
      <c r="AB151" s="154"/>
      <c r="AC151" s="155">
        <f t="shared" si="170"/>
        <v>43355.059159999997</v>
      </c>
      <c r="AD151" s="156">
        <f t="shared" si="171"/>
        <v>9717.5132599999997</v>
      </c>
      <c r="AE151" s="156">
        <f t="shared" si="172"/>
        <v>6559.3214504999996</v>
      </c>
      <c r="AF151" s="156">
        <f t="shared" si="173"/>
        <v>2990.0040800000002</v>
      </c>
      <c r="AG151" s="156">
        <f t="shared" si="174"/>
        <v>1495.0020400000001</v>
      </c>
      <c r="AH151" s="156">
        <f t="shared" si="175"/>
        <v>1495.0020400000001</v>
      </c>
      <c r="AI151" s="156">
        <f t="shared" si="176"/>
        <v>747.50102000000004</v>
      </c>
      <c r="AJ151" s="156">
        <f t="shared" si="177"/>
        <v>1495.0020400000001</v>
      </c>
      <c r="AK151" s="156">
        <f t="shared" si="178"/>
        <v>1495.0020400000001</v>
      </c>
      <c r="AL151" s="156">
        <f t="shared" si="179"/>
        <v>5232.5071400000006</v>
      </c>
      <c r="AM151" s="157">
        <f t="shared" si="180"/>
        <v>23004.343890499997</v>
      </c>
      <c r="AN151" s="158">
        <f t="shared" si="181"/>
        <v>2200</v>
      </c>
      <c r="AO151" s="159">
        <v>0.2</v>
      </c>
      <c r="AP151" s="160">
        <f t="shared" si="182"/>
        <v>611233807.12203336</v>
      </c>
      <c r="AQ151" s="161">
        <f t="shared" si="183"/>
        <v>169787.18222798276</v>
      </c>
      <c r="AR151" s="162">
        <f t="shared" si="184"/>
        <v>33957.436445596555</v>
      </c>
      <c r="AS151" s="163">
        <f t="shared" si="185"/>
        <v>4.8455246069629787</v>
      </c>
      <c r="AT151" s="164">
        <f t="shared" si="186"/>
        <v>4.8455246069629787</v>
      </c>
      <c r="AU151" s="165"/>
      <c r="AV151" s="166"/>
      <c r="AW151" s="167"/>
      <c r="AX151" s="146"/>
      <c r="AY151" s="168"/>
    </row>
    <row r="152" spans="1:51" ht="10.9" customHeight="1" x14ac:dyDescent="0.25">
      <c r="B152" s="140">
        <v>4</v>
      </c>
      <c r="C152" s="63" t="s">
        <v>195</v>
      </c>
      <c r="D152" s="235"/>
      <c r="E152" s="236"/>
      <c r="F152" s="236"/>
      <c r="G152" s="236"/>
      <c r="H152" s="236">
        <v>541895</v>
      </c>
      <c r="I152" s="236">
        <v>545754</v>
      </c>
      <c r="J152" s="236">
        <v>550478</v>
      </c>
      <c r="K152" s="236">
        <v>553093</v>
      </c>
      <c r="L152" s="236">
        <v>340556</v>
      </c>
      <c r="M152" s="236">
        <v>341055</v>
      </c>
      <c r="N152" s="236">
        <v>369974</v>
      </c>
      <c r="O152" s="236">
        <v>374505</v>
      </c>
      <c r="P152" s="237"/>
      <c r="Q152" s="223">
        <f t="shared" si="168"/>
        <v>553093</v>
      </c>
      <c r="R152" s="147">
        <f>Q152*$R$9</f>
        <v>80751.577999999994</v>
      </c>
      <c r="S152" s="147">
        <f t="shared" si="169"/>
        <v>221.23719999999997</v>
      </c>
      <c r="T152" s="148">
        <f>S152*$T$5*$T$9</f>
        <v>56526.104599999991</v>
      </c>
      <c r="U152" s="199"/>
      <c r="V152" s="150"/>
      <c r="W152" s="249"/>
      <c r="X152" s="249"/>
      <c r="Y152" s="152"/>
      <c r="Z152" s="153"/>
      <c r="AA152" s="153"/>
      <c r="AB152" s="154"/>
      <c r="AC152" s="155">
        <f t="shared" si="170"/>
        <v>32785.140667999993</v>
      </c>
      <c r="AD152" s="156">
        <f t="shared" si="171"/>
        <v>7348.3935979999987</v>
      </c>
      <c r="AE152" s="156">
        <f t="shared" si="172"/>
        <v>4960.1656786499989</v>
      </c>
      <c r="AF152" s="156">
        <f t="shared" si="173"/>
        <v>2261.0441839999999</v>
      </c>
      <c r="AG152" s="156">
        <f t="shared" si="174"/>
        <v>1130.5220919999999</v>
      </c>
      <c r="AH152" s="156">
        <f t="shared" si="175"/>
        <v>1130.5220919999999</v>
      </c>
      <c r="AI152" s="156">
        <f t="shared" si="176"/>
        <v>565.26104599999996</v>
      </c>
      <c r="AJ152" s="156">
        <f t="shared" si="177"/>
        <v>1130.5220919999999</v>
      </c>
      <c r="AK152" s="156">
        <f t="shared" si="178"/>
        <v>1130.5220919999999</v>
      </c>
      <c r="AL152" s="156">
        <f t="shared" si="179"/>
        <v>3956.8273219999996</v>
      </c>
      <c r="AM152" s="157">
        <f t="shared" si="180"/>
        <v>17395.908690649998</v>
      </c>
      <c r="AN152" s="158">
        <f t="shared" si="181"/>
        <v>2200</v>
      </c>
      <c r="AO152" s="159">
        <v>0.2</v>
      </c>
      <c r="AP152" s="160">
        <f t="shared" si="182"/>
        <v>462215638.40055072</v>
      </c>
      <c r="AQ152" s="161">
        <f t="shared" si="183"/>
        <v>128393.2431605005</v>
      </c>
      <c r="AR152" s="162">
        <f t="shared" si="184"/>
        <v>25678.648632100099</v>
      </c>
      <c r="AS152" s="163">
        <f t="shared" si="185"/>
        <v>3.6641907294663385</v>
      </c>
      <c r="AT152" s="164">
        <f t="shared" si="186"/>
        <v>3.6641907294663385</v>
      </c>
      <c r="AU152" s="165"/>
      <c r="AV152" s="166"/>
      <c r="AW152" s="167"/>
      <c r="AX152" s="146"/>
      <c r="AY152" s="168"/>
    </row>
    <row r="153" spans="1:51" ht="10.9" customHeight="1" x14ac:dyDescent="0.25">
      <c r="B153" s="140">
        <v>5</v>
      </c>
      <c r="C153" s="63" t="s">
        <v>196</v>
      </c>
      <c r="D153" s="235"/>
      <c r="E153" s="236"/>
      <c r="F153" s="236"/>
      <c r="G153" s="236"/>
      <c r="H153" s="236">
        <v>465682</v>
      </c>
      <c r="I153" s="236">
        <v>474430</v>
      </c>
      <c r="J153" s="236">
        <v>484281</v>
      </c>
      <c r="K153" s="236">
        <v>492437</v>
      </c>
      <c r="L153" s="236">
        <v>499238</v>
      </c>
      <c r="M153" s="236">
        <v>505940</v>
      </c>
      <c r="N153" s="236">
        <v>525508</v>
      </c>
      <c r="O153" s="236">
        <v>535614</v>
      </c>
      <c r="P153" s="237"/>
      <c r="Q153" s="223">
        <f t="shared" si="168"/>
        <v>535614</v>
      </c>
      <c r="R153" s="147">
        <f>Q153*$R$9</f>
        <v>78199.644</v>
      </c>
      <c r="S153" s="147">
        <f t="shared" si="169"/>
        <v>214.2456</v>
      </c>
      <c r="T153" s="148">
        <f>S153*$T$5*$T$9</f>
        <v>54739.750799999994</v>
      </c>
      <c r="U153" s="199"/>
      <c r="V153" s="150"/>
      <c r="W153" s="249"/>
      <c r="X153" s="249"/>
      <c r="Y153" s="152"/>
      <c r="Z153" s="153"/>
      <c r="AA153" s="153"/>
      <c r="AB153" s="154"/>
      <c r="AC153" s="155">
        <f t="shared" si="170"/>
        <v>31749.055463999994</v>
      </c>
      <c r="AD153" s="156">
        <f t="shared" si="171"/>
        <v>7116.1676039999993</v>
      </c>
      <c r="AE153" s="156">
        <f t="shared" si="172"/>
        <v>4803.4131326999996</v>
      </c>
      <c r="AF153" s="156">
        <f t="shared" si="173"/>
        <v>2189.5900319999996</v>
      </c>
      <c r="AG153" s="156">
        <f t="shared" si="174"/>
        <v>1094.7950159999998</v>
      </c>
      <c r="AH153" s="156">
        <f t="shared" si="175"/>
        <v>1094.7950159999998</v>
      </c>
      <c r="AI153" s="156">
        <f t="shared" si="176"/>
        <v>547.3975079999999</v>
      </c>
      <c r="AJ153" s="156">
        <f t="shared" si="177"/>
        <v>1094.7950159999998</v>
      </c>
      <c r="AK153" s="156">
        <f t="shared" si="178"/>
        <v>1094.7950159999998</v>
      </c>
      <c r="AL153" s="156">
        <f t="shared" si="179"/>
        <v>3831.7825560000001</v>
      </c>
      <c r="AM153" s="157">
        <f t="shared" si="180"/>
        <v>16846.158308699996</v>
      </c>
      <c r="AN153" s="158">
        <f t="shared" si="181"/>
        <v>2200</v>
      </c>
      <c r="AO153" s="159">
        <v>0.2</v>
      </c>
      <c r="AP153" s="160">
        <f t="shared" si="182"/>
        <v>447608570.25178874</v>
      </c>
      <c r="AQ153" s="161">
        <f t="shared" si="183"/>
        <v>124335.72390568732</v>
      </c>
      <c r="AR153" s="162">
        <f t="shared" si="184"/>
        <v>24867.144781137467</v>
      </c>
      <c r="AS153" s="163">
        <f t="shared" si="185"/>
        <v>3.5483939470801182</v>
      </c>
      <c r="AT153" s="164">
        <f t="shared" si="186"/>
        <v>3.5483939470801182</v>
      </c>
      <c r="AU153" s="165"/>
      <c r="AV153" s="166"/>
      <c r="AW153" s="167"/>
      <c r="AX153" s="146"/>
      <c r="AY153" s="168"/>
    </row>
    <row r="154" spans="1:51" ht="10.9" customHeight="1" x14ac:dyDescent="0.25">
      <c r="B154" s="140">
        <v>6</v>
      </c>
      <c r="C154" s="63" t="s">
        <v>197</v>
      </c>
      <c r="D154" s="235"/>
      <c r="E154" s="236"/>
      <c r="F154" s="236"/>
      <c r="G154" s="236"/>
      <c r="H154" s="236">
        <v>455739</v>
      </c>
      <c r="I154" s="236">
        <v>469175</v>
      </c>
      <c r="J154" s="236">
        <v>484245</v>
      </c>
      <c r="K154" s="236">
        <v>497964</v>
      </c>
      <c r="L154" s="236">
        <v>510387</v>
      </c>
      <c r="M154" s="236">
        <v>523025</v>
      </c>
      <c r="N154" s="236">
        <v>561458</v>
      </c>
      <c r="O154" s="236">
        <v>580489</v>
      </c>
      <c r="P154" s="237"/>
      <c r="Q154" s="223">
        <f t="shared" si="168"/>
        <v>580489</v>
      </c>
      <c r="R154" s="147">
        <f>Q154*$R$9</f>
        <v>84751.394</v>
      </c>
      <c r="S154" s="147">
        <f t="shared" si="169"/>
        <v>232.19560000000001</v>
      </c>
      <c r="T154" s="148">
        <f>S154*$T$5*$T$9</f>
        <v>59325.975799999993</v>
      </c>
      <c r="U154" s="199"/>
      <c r="V154" s="150"/>
      <c r="W154" s="249"/>
      <c r="X154" s="249"/>
      <c r="Y154" s="152"/>
      <c r="Z154" s="153"/>
      <c r="AA154" s="153"/>
      <c r="AB154" s="154"/>
      <c r="AC154" s="155">
        <f t="shared" si="170"/>
        <v>34409.065963999994</v>
      </c>
      <c r="AD154" s="156">
        <f t="shared" si="171"/>
        <v>7712.3768539999992</v>
      </c>
      <c r="AE154" s="156">
        <f t="shared" si="172"/>
        <v>5205.8543764499991</v>
      </c>
      <c r="AF154" s="156">
        <f t="shared" si="173"/>
        <v>2373.0390319999997</v>
      </c>
      <c r="AG154" s="156">
        <f t="shared" si="174"/>
        <v>1186.5195159999998</v>
      </c>
      <c r="AH154" s="156">
        <f t="shared" si="175"/>
        <v>1186.5195159999998</v>
      </c>
      <c r="AI154" s="156">
        <f t="shared" si="176"/>
        <v>593.25975799999992</v>
      </c>
      <c r="AJ154" s="156">
        <f t="shared" si="177"/>
        <v>1186.5195159999998</v>
      </c>
      <c r="AK154" s="156">
        <f t="shared" si="178"/>
        <v>1186.5195159999998</v>
      </c>
      <c r="AL154" s="156">
        <f t="shared" si="179"/>
        <v>4152.8183060000001</v>
      </c>
      <c r="AM154" s="157">
        <f t="shared" si="180"/>
        <v>18257.569052449999</v>
      </c>
      <c r="AN154" s="158">
        <f t="shared" si="181"/>
        <v>2200</v>
      </c>
      <c r="AO154" s="159">
        <v>0.2</v>
      </c>
      <c r="AP154" s="160">
        <f t="shared" si="182"/>
        <v>485110268.47112018</v>
      </c>
      <c r="AQ154" s="161">
        <f t="shared" si="183"/>
        <v>134752.86313331712</v>
      </c>
      <c r="AR154" s="162">
        <f t="shared" si="184"/>
        <v>26950.572626663426</v>
      </c>
      <c r="AS154" s="163">
        <f t="shared" si="185"/>
        <v>3.8456867332567675</v>
      </c>
      <c r="AT154" s="164">
        <f t="shared" si="186"/>
        <v>3.8456867332567675</v>
      </c>
      <c r="AU154" s="165"/>
      <c r="AV154" s="166"/>
      <c r="AW154" s="167"/>
      <c r="AX154" s="146"/>
      <c r="AY154" s="168"/>
    </row>
    <row r="155" spans="1:51" ht="10.9" customHeight="1" x14ac:dyDescent="0.25">
      <c r="B155" s="140">
        <v>7</v>
      </c>
      <c r="C155" s="258" t="s">
        <v>198</v>
      </c>
      <c r="D155" s="235"/>
      <c r="E155" s="236"/>
      <c r="F155" s="236"/>
      <c r="G155" s="236"/>
      <c r="H155" s="236">
        <v>712813</v>
      </c>
      <c r="I155" s="236">
        <v>733828</v>
      </c>
      <c r="J155" s="236">
        <v>757398</v>
      </c>
      <c r="K155" s="236">
        <v>778627</v>
      </c>
      <c r="L155" s="236">
        <v>798360</v>
      </c>
      <c r="M155" s="236">
        <v>818280</v>
      </c>
      <c r="N155" s="236">
        <v>750110</v>
      </c>
      <c r="O155" s="236">
        <v>762482</v>
      </c>
      <c r="P155" s="237"/>
      <c r="Q155" s="223">
        <f t="shared" si="168"/>
        <v>818280</v>
      </c>
      <c r="R155" s="147">
        <f>Q155*$R$9</f>
        <v>119468.87999999999</v>
      </c>
      <c r="S155" s="147">
        <f t="shared" si="169"/>
        <v>327.31199999999995</v>
      </c>
      <c r="T155" s="148">
        <f>S155*$T$5*$T$9</f>
        <v>83628.215999999986</v>
      </c>
      <c r="U155" s="199"/>
      <c r="V155" s="150"/>
      <c r="W155" s="249"/>
      <c r="X155" s="249"/>
      <c r="Y155" s="152"/>
      <c r="Z155" s="153"/>
      <c r="AA155" s="153"/>
      <c r="AB155" s="154"/>
      <c r="AC155" s="155">
        <f t="shared" si="170"/>
        <v>48504.365279999991</v>
      </c>
      <c r="AD155" s="156">
        <f t="shared" si="171"/>
        <v>10871.668079999998</v>
      </c>
      <c r="AE155" s="156">
        <f t="shared" si="172"/>
        <v>7338.3759539999983</v>
      </c>
      <c r="AF155" s="156">
        <f t="shared" si="173"/>
        <v>3345.1286399999995</v>
      </c>
      <c r="AG155" s="156">
        <f t="shared" si="174"/>
        <v>1672.5643199999997</v>
      </c>
      <c r="AH155" s="156">
        <f t="shared" si="175"/>
        <v>1672.5643199999997</v>
      </c>
      <c r="AI155" s="156">
        <f t="shared" si="176"/>
        <v>836.28215999999986</v>
      </c>
      <c r="AJ155" s="156">
        <f t="shared" si="177"/>
        <v>1672.5643199999997</v>
      </c>
      <c r="AK155" s="156">
        <f t="shared" si="178"/>
        <v>1672.5643199999997</v>
      </c>
      <c r="AL155" s="156">
        <f t="shared" si="179"/>
        <v>5853.9751199999992</v>
      </c>
      <c r="AM155" s="157">
        <f t="shared" si="180"/>
        <v>25736.583473999995</v>
      </c>
      <c r="AN155" s="158">
        <f t="shared" si="181"/>
        <v>2200</v>
      </c>
      <c r="AO155" s="159">
        <v>0.2</v>
      </c>
      <c r="AP155" s="160">
        <f t="shared" si="182"/>
        <v>683830409.33514369</v>
      </c>
      <c r="AQ155" s="161">
        <f t="shared" si="183"/>
        <v>189952.90667821566</v>
      </c>
      <c r="AR155" s="162">
        <f t="shared" si="184"/>
        <v>37990.581335643132</v>
      </c>
      <c r="AS155" s="163">
        <f t="shared" si="185"/>
        <v>5.4210304417298989</v>
      </c>
      <c r="AT155" s="164">
        <f t="shared" si="186"/>
        <v>5.4210304417298989</v>
      </c>
      <c r="AU155" s="165"/>
      <c r="AV155" s="166"/>
      <c r="AW155" s="167"/>
      <c r="AX155" s="146"/>
      <c r="AY155" s="168"/>
    </row>
    <row r="156" spans="1:51" ht="10.9" customHeight="1" x14ac:dyDescent="0.25">
      <c r="B156" s="140">
        <v>8</v>
      </c>
      <c r="C156" s="63" t="s">
        <v>199</v>
      </c>
      <c r="D156" s="235"/>
      <c r="E156" s="236"/>
      <c r="F156" s="236"/>
      <c r="G156" s="236"/>
      <c r="H156" s="236"/>
      <c r="I156" s="236">
        <v>317277</v>
      </c>
      <c r="J156" s="236">
        <v>322307</v>
      </c>
      <c r="K156" s="236">
        <v>326162</v>
      </c>
      <c r="L156" s="236">
        <v>329071</v>
      </c>
      <c r="M156" s="236">
        <v>331879</v>
      </c>
      <c r="N156" s="236">
        <v>318428</v>
      </c>
      <c r="O156" s="236">
        <v>320290</v>
      </c>
      <c r="P156" s="237"/>
      <c r="Q156" s="223">
        <f t="shared" si="168"/>
        <v>331879</v>
      </c>
      <c r="R156" s="147">
        <f>Q156*$R$10</f>
        <v>36506.69</v>
      </c>
      <c r="S156" s="147">
        <f t="shared" si="169"/>
        <v>100.01832876712329</v>
      </c>
      <c r="T156" s="148">
        <f>S156*$T$5*$T$10</f>
        <v>21904.013999999999</v>
      </c>
      <c r="U156" s="199"/>
      <c r="V156" s="150"/>
      <c r="W156" s="249"/>
      <c r="X156" s="249"/>
      <c r="Y156" s="152"/>
      <c r="Z156" s="153"/>
      <c r="AA156" s="153"/>
      <c r="AB156" s="154"/>
      <c r="AC156" s="155">
        <f t="shared" si="170"/>
        <v>12704.328119999998</v>
      </c>
      <c r="AD156" s="156">
        <f t="shared" si="171"/>
        <v>2847.5218199999999</v>
      </c>
      <c r="AE156" s="156">
        <f t="shared" si="172"/>
        <v>1922.0772284999998</v>
      </c>
      <c r="AF156" s="156">
        <f t="shared" si="173"/>
        <v>876.16056000000003</v>
      </c>
      <c r="AG156" s="156">
        <f t="shared" si="174"/>
        <v>438.08028000000002</v>
      </c>
      <c r="AH156" s="156">
        <f t="shared" si="175"/>
        <v>438.08028000000002</v>
      </c>
      <c r="AI156" s="156">
        <f t="shared" si="176"/>
        <v>219.04014000000001</v>
      </c>
      <c r="AJ156" s="156">
        <f t="shared" si="177"/>
        <v>438.08028000000002</v>
      </c>
      <c r="AK156" s="156">
        <f t="shared" si="178"/>
        <v>438.08028000000002</v>
      </c>
      <c r="AL156" s="156">
        <f t="shared" si="179"/>
        <v>1533.28098</v>
      </c>
      <c r="AM156" s="157">
        <f t="shared" si="180"/>
        <v>6740.9603085000008</v>
      </c>
      <c r="AN156" s="158">
        <f t="shared" si="181"/>
        <v>2200</v>
      </c>
      <c r="AO156" s="159">
        <v>0.2</v>
      </c>
      <c r="AP156" s="160">
        <f t="shared" si="182"/>
        <v>179109773.90337634</v>
      </c>
      <c r="AQ156" s="161">
        <f t="shared" si="183"/>
        <v>49752.718953377291</v>
      </c>
      <c r="AR156" s="162">
        <f t="shared" si="184"/>
        <v>9950.5437906754596</v>
      </c>
      <c r="AS156" s="163">
        <f t="shared" si="185"/>
        <v>1.4198835317744662</v>
      </c>
      <c r="AT156" s="164">
        <f t="shared" si="186"/>
        <v>1.4198835317744662</v>
      </c>
      <c r="AU156" s="165"/>
      <c r="AV156" s="166"/>
      <c r="AW156" s="167"/>
      <c r="AX156" s="146"/>
      <c r="AY156" s="168"/>
    </row>
    <row r="157" spans="1:51" ht="10.9" customHeight="1" x14ac:dyDescent="0.25">
      <c r="B157" s="140">
        <v>9</v>
      </c>
      <c r="C157" s="63" t="s">
        <v>200</v>
      </c>
      <c r="D157" s="235"/>
      <c r="E157" s="236"/>
      <c r="F157" s="236"/>
      <c r="G157" s="236"/>
      <c r="H157" s="236"/>
      <c r="I157" s="236">
        <v>556010</v>
      </c>
      <c r="J157" s="236">
        <v>564824</v>
      </c>
      <c r="K157" s="236">
        <v>571557</v>
      </c>
      <c r="L157" s="236">
        <v>576699</v>
      </c>
      <c r="M157" s="236">
        <v>581665</v>
      </c>
      <c r="N157" s="236">
        <v>609982</v>
      </c>
      <c r="O157" s="236">
        <v>619460</v>
      </c>
      <c r="P157" s="237"/>
      <c r="Q157" s="223">
        <f t="shared" si="168"/>
        <v>619460</v>
      </c>
      <c r="R157" s="147">
        <f>Q157*$R$9</f>
        <v>90441.159999999989</v>
      </c>
      <c r="S157" s="147">
        <f t="shared" si="169"/>
        <v>247.78399999999996</v>
      </c>
      <c r="T157" s="148">
        <f>S157*$T$5*$T$9</f>
        <v>63308.811999999991</v>
      </c>
      <c r="U157" s="199"/>
      <c r="V157" s="150"/>
      <c r="W157" s="249"/>
      <c r="X157" s="249"/>
      <c r="Y157" s="152"/>
      <c r="Z157" s="153"/>
      <c r="AA157" s="153"/>
      <c r="AB157" s="154"/>
      <c r="AC157" s="155">
        <f t="shared" si="170"/>
        <v>36719.110959999991</v>
      </c>
      <c r="AD157" s="156">
        <f t="shared" si="171"/>
        <v>8230.145559999999</v>
      </c>
      <c r="AE157" s="156">
        <f t="shared" si="172"/>
        <v>5555.3482529999992</v>
      </c>
      <c r="AF157" s="156">
        <f t="shared" si="173"/>
        <v>2532.3524799999996</v>
      </c>
      <c r="AG157" s="156">
        <f t="shared" si="174"/>
        <v>1266.1762399999998</v>
      </c>
      <c r="AH157" s="156">
        <f t="shared" si="175"/>
        <v>1266.1762399999998</v>
      </c>
      <c r="AI157" s="156">
        <f t="shared" si="176"/>
        <v>633.08811999999989</v>
      </c>
      <c r="AJ157" s="156">
        <f t="shared" si="177"/>
        <v>1266.1762399999998</v>
      </c>
      <c r="AK157" s="156">
        <f t="shared" si="178"/>
        <v>1266.1762399999998</v>
      </c>
      <c r="AL157" s="156">
        <f t="shared" si="179"/>
        <v>4431.6168399999997</v>
      </c>
      <c r="AM157" s="157">
        <f t="shared" si="180"/>
        <v>19483.286892999997</v>
      </c>
      <c r="AN157" s="158">
        <f t="shared" si="181"/>
        <v>2200</v>
      </c>
      <c r="AO157" s="159">
        <v>0.2</v>
      </c>
      <c r="AP157" s="160">
        <f t="shared" si="182"/>
        <v>517678038.52806872</v>
      </c>
      <c r="AQ157" s="161">
        <f t="shared" si="183"/>
        <v>143799.46665064216</v>
      </c>
      <c r="AR157" s="162">
        <f t="shared" si="184"/>
        <v>28759.893330128434</v>
      </c>
      <c r="AS157" s="163">
        <f t="shared" si="185"/>
        <v>4.1038660573813406</v>
      </c>
      <c r="AT157" s="164">
        <f t="shared" si="186"/>
        <v>4.1038660573813406</v>
      </c>
      <c r="AU157" s="165"/>
      <c r="AV157" s="166"/>
      <c r="AW157" s="167"/>
      <c r="AX157" s="146"/>
      <c r="AY157" s="168"/>
    </row>
    <row r="158" spans="1:51" ht="10.9" customHeight="1" x14ac:dyDescent="0.25">
      <c r="B158" s="140">
        <v>10</v>
      </c>
      <c r="C158" s="63" t="s">
        <v>201</v>
      </c>
      <c r="D158" s="235"/>
      <c r="E158" s="236"/>
      <c r="F158" s="236"/>
      <c r="G158" s="236"/>
      <c r="H158" s="236"/>
      <c r="I158" s="236">
        <v>356983</v>
      </c>
      <c r="J158" s="236">
        <v>365333</v>
      </c>
      <c r="K158" s="236">
        <v>372431</v>
      </c>
      <c r="L158" s="236">
        <v>378570</v>
      </c>
      <c r="M158" s="236">
        <v>384663</v>
      </c>
      <c r="N158" s="236">
        <v>380904</v>
      </c>
      <c r="O158" s="236">
        <v>387205</v>
      </c>
      <c r="P158" s="237"/>
      <c r="Q158" s="223">
        <f t="shared" si="168"/>
        <v>387205</v>
      </c>
      <c r="R158" s="147">
        <f>Q158*$R$10</f>
        <v>42592.55</v>
      </c>
      <c r="S158" s="147">
        <f t="shared" si="169"/>
        <v>116.69191780821919</v>
      </c>
      <c r="T158" s="148">
        <f>S158*$T$5*$T$10</f>
        <v>25555.530000000002</v>
      </c>
      <c r="U158" s="199"/>
      <c r="V158" s="150"/>
      <c r="W158" s="249"/>
      <c r="X158" s="249"/>
      <c r="Y158" s="152"/>
      <c r="Z158" s="153"/>
      <c r="AA158" s="153"/>
      <c r="AB158" s="154"/>
      <c r="AC158" s="155">
        <f t="shared" si="170"/>
        <v>14822.207400000001</v>
      </c>
      <c r="AD158" s="156">
        <f t="shared" si="171"/>
        <v>3322.2189000000003</v>
      </c>
      <c r="AE158" s="156">
        <f t="shared" si="172"/>
        <v>2242.4977575000003</v>
      </c>
      <c r="AF158" s="156">
        <f t="shared" si="173"/>
        <v>1022.2212000000001</v>
      </c>
      <c r="AG158" s="156">
        <f t="shared" si="174"/>
        <v>511.11060000000003</v>
      </c>
      <c r="AH158" s="156">
        <f t="shared" si="175"/>
        <v>511.11060000000003</v>
      </c>
      <c r="AI158" s="156">
        <f t="shared" si="176"/>
        <v>255.55530000000002</v>
      </c>
      <c r="AJ158" s="156">
        <f t="shared" si="177"/>
        <v>511.11060000000003</v>
      </c>
      <c r="AK158" s="156">
        <f t="shared" si="178"/>
        <v>511.11060000000003</v>
      </c>
      <c r="AL158" s="156">
        <f t="shared" si="179"/>
        <v>1788.8871000000004</v>
      </c>
      <c r="AM158" s="157">
        <f t="shared" si="180"/>
        <v>7864.7143575000009</v>
      </c>
      <c r="AN158" s="158">
        <f t="shared" si="181"/>
        <v>2200</v>
      </c>
      <c r="AO158" s="159">
        <v>0.2</v>
      </c>
      <c r="AP158" s="160">
        <f t="shared" si="182"/>
        <v>208968328.83146217</v>
      </c>
      <c r="AQ158" s="161">
        <f t="shared" si="183"/>
        <v>58046.762652480131</v>
      </c>
      <c r="AR158" s="162">
        <f t="shared" si="184"/>
        <v>11609.352530496028</v>
      </c>
      <c r="AS158" s="163">
        <f t="shared" si="185"/>
        <v>1.6565856921369901</v>
      </c>
      <c r="AT158" s="164">
        <f t="shared" si="186"/>
        <v>1.6565856921369901</v>
      </c>
      <c r="AU158" s="165"/>
      <c r="AV158" s="166"/>
      <c r="AW158" s="167"/>
      <c r="AX158" s="146"/>
      <c r="AY158" s="168"/>
    </row>
    <row r="159" spans="1:51" ht="10.9" customHeight="1" x14ac:dyDescent="0.25">
      <c r="B159" s="140">
        <v>11</v>
      </c>
      <c r="C159" s="63" t="s">
        <v>202</v>
      </c>
      <c r="D159" s="235"/>
      <c r="E159" s="236"/>
      <c r="F159" s="236"/>
      <c r="G159" s="236"/>
      <c r="H159" s="236"/>
      <c r="I159" s="236"/>
      <c r="J159" s="236"/>
      <c r="K159" s="236"/>
      <c r="L159" s="236">
        <v>213559</v>
      </c>
      <c r="M159" s="236">
        <v>213873</v>
      </c>
      <c r="N159" s="236">
        <v>221176</v>
      </c>
      <c r="O159" s="236">
        <v>222735</v>
      </c>
      <c r="P159" s="237"/>
      <c r="Q159" s="223">
        <f t="shared" si="168"/>
        <v>222735</v>
      </c>
      <c r="R159" s="147">
        <f>Q159*$R$10</f>
        <v>24500.85</v>
      </c>
      <c r="S159" s="147">
        <f t="shared" si="169"/>
        <v>67.125616438356161</v>
      </c>
      <c r="T159" s="148">
        <f>S159*$T$5*$T$10</f>
        <v>14700.509999999998</v>
      </c>
      <c r="U159" s="199"/>
      <c r="V159" s="150"/>
      <c r="W159" s="249"/>
      <c r="X159" s="249"/>
      <c r="Y159" s="152"/>
      <c r="Z159" s="153"/>
      <c r="AA159" s="153"/>
      <c r="AB159" s="154"/>
      <c r="AC159" s="155">
        <f t="shared" si="170"/>
        <v>8526.2957999999981</v>
      </c>
      <c r="AD159" s="156">
        <f t="shared" si="171"/>
        <v>1911.0663</v>
      </c>
      <c r="AE159" s="156">
        <f t="shared" si="172"/>
        <v>1289.9697524999997</v>
      </c>
      <c r="AF159" s="156">
        <f t="shared" si="173"/>
        <v>588.0204</v>
      </c>
      <c r="AG159" s="156">
        <f t="shared" si="174"/>
        <v>294.0102</v>
      </c>
      <c r="AH159" s="156">
        <f t="shared" si="175"/>
        <v>294.0102</v>
      </c>
      <c r="AI159" s="156">
        <f t="shared" si="176"/>
        <v>147.0051</v>
      </c>
      <c r="AJ159" s="156">
        <f t="shared" si="177"/>
        <v>294.0102</v>
      </c>
      <c r="AK159" s="156">
        <f t="shared" si="178"/>
        <v>294.0102</v>
      </c>
      <c r="AL159" s="156">
        <f t="shared" si="179"/>
        <v>1029.0356999999999</v>
      </c>
      <c r="AM159" s="157">
        <f t="shared" si="180"/>
        <v>4524.0819524999997</v>
      </c>
      <c r="AN159" s="158">
        <f t="shared" si="181"/>
        <v>2200</v>
      </c>
      <c r="AO159" s="159">
        <v>0.2</v>
      </c>
      <c r="AP159" s="160">
        <f t="shared" si="182"/>
        <v>120206507.46316737</v>
      </c>
      <c r="AQ159" s="161">
        <f t="shared" si="183"/>
        <v>33390.699188802209</v>
      </c>
      <c r="AR159" s="162">
        <f t="shared" si="184"/>
        <v>6678.1398377604419</v>
      </c>
      <c r="AS159" s="163">
        <f t="shared" si="185"/>
        <v>0.95293091292243748</v>
      </c>
      <c r="AT159" s="164">
        <f t="shared" si="186"/>
        <v>0.95293091292243748</v>
      </c>
      <c r="AU159" s="165"/>
      <c r="AV159" s="166"/>
      <c r="AW159" s="167"/>
      <c r="AX159" s="146"/>
      <c r="AY159" s="168"/>
    </row>
    <row r="160" spans="1:51" ht="10.9" customHeight="1" x14ac:dyDescent="0.25">
      <c r="B160" s="140">
        <v>12</v>
      </c>
      <c r="C160" s="258" t="s">
        <v>203</v>
      </c>
      <c r="D160" s="235"/>
      <c r="E160" s="236"/>
      <c r="F160" s="236"/>
      <c r="G160" s="236"/>
      <c r="H160" s="236">
        <v>1304211</v>
      </c>
      <c r="I160" s="236">
        <v>1338793</v>
      </c>
      <c r="J160" s="236">
        <v>1369239</v>
      </c>
      <c r="K160" s="236">
        <v>1394954</v>
      </c>
      <c r="L160" s="236">
        <v>1417047</v>
      </c>
      <c r="M160" s="236">
        <v>1438938</v>
      </c>
      <c r="N160" s="236">
        <v>1455284</v>
      </c>
      <c r="O160" s="236">
        <v>1481814</v>
      </c>
      <c r="P160" s="237"/>
      <c r="Q160" s="223">
        <f t="shared" si="168"/>
        <v>1481814</v>
      </c>
      <c r="R160" s="147">
        <f>Q160*$R$8</f>
        <v>243017.49600000001</v>
      </c>
      <c r="S160" s="147">
        <f t="shared" si="169"/>
        <v>665.80135890410963</v>
      </c>
      <c r="T160" s="148">
        <f>S160*$T$5*$T$8</f>
        <v>194413.99680000002</v>
      </c>
      <c r="U160" s="199"/>
      <c r="V160" s="150"/>
      <c r="W160" s="249"/>
      <c r="X160" s="249"/>
      <c r="Y160" s="152"/>
      <c r="Z160" s="153"/>
      <c r="AA160" s="153"/>
      <c r="AB160" s="154"/>
      <c r="AC160" s="155">
        <f t="shared" si="170"/>
        <v>112760.11814400001</v>
      </c>
      <c r="AD160" s="156">
        <f t="shared" si="171"/>
        <v>25273.819584000004</v>
      </c>
      <c r="AE160" s="156">
        <f t="shared" si="172"/>
        <v>17059.828219200001</v>
      </c>
      <c r="AF160" s="156">
        <f t="shared" si="173"/>
        <v>7776.5598720000007</v>
      </c>
      <c r="AG160" s="156">
        <f t="shared" si="174"/>
        <v>3888.2799360000004</v>
      </c>
      <c r="AH160" s="156">
        <f t="shared" si="175"/>
        <v>3888.2799360000004</v>
      </c>
      <c r="AI160" s="156">
        <f t="shared" si="176"/>
        <v>1944.1399680000002</v>
      </c>
      <c r="AJ160" s="156">
        <f t="shared" si="177"/>
        <v>3888.2799360000004</v>
      </c>
      <c r="AK160" s="156">
        <f t="shared" si="178"/>
        <v>3888.2799360000004</v>
      </c>
      <c r="AL160" s="156">
        <f t="shared" si="179"/>
        <v>13608.979776000004</v>
      </c>
      <c r="AM160" s="157">
        <f t="shared" si="180"/>
        <v>59830.9075152</v>
      </c>
      <c r="AN160" s="158">
        <f t="shared" si="181"/>
        <v>2200</v>
      </c>
      <c r="AO160" s="159">
        <v>0.2</v>
      </c>
      <c r="AP160" s="160">
        <f t="shared" si="182"/>
        <v>1589729033.7058649</v>
      </c>
      <c r="AQ160" s="161">
        <f t="shared" si="183"/>
        <v>441591.43357894098</v>
      </c>
      <c r="AR160" s="162">
        <f t="shared" si="184"/>
        <v>88318.286715788199</v>
      </c>
      <c r="AS160" s="163">
        <f t="shared" si="185"/>
        <v>12.602495250540553</v>
      </c>
      <c r="AT160" s="233">
        <f t="shared" si="186"/>
        <v>12.602495250540553</v>
      </c>
      <c r="AU160" s="187"/>
      <c r="AV160" s="166"/>
      <c r="AW160" s="167"/>
      <c r="AX160" s="146"/>
      <c r="AY160" s="168"/>
    </row>
    <row r="161" spans="1:51" ht="10.9" customHeight="1" x14ac:dyDescent="0.25">
      <c r="B161" s="140">
        <v>13</v>
      </c>
      <c r="C161" s="63" t="s">
        <v>204</v>
      </c>
      <c r="D161" s="235"/>
      <c r="E161" s="236"/>
      <c r="F161" s="236"/>
      <c r="G161" s="236"/>
      <c r="H161" s="236">
        <v>128207</v>
      </c>
      <c r="I161" s="236">
        <v>130340</v>
      </c>
      <c r="J161" s="236">
        <v>132752</v>
      </c>
      <c r="K161" s="236">
        <v>134686</v>
      </c>
      <c r="L161" s="236">
        <v>136253</v>
      </c>
      <c r="M161" s="236">
        <v>137786</v>
      </c>
      <c r="N161" s="236">
        <v>161984</v>
      </c>
      <c r="O161" s="236">
        <v>166960</v>
      </c>
      <c r="P161" s="237"/>
      <c r="Q161" s="223">
        <f t="shared" si="168"/>
        <v>166960</v>
      </c>
      <c r="R161" s="147">
        <f>Q161*$R$10</f>
        <v>18365.599999999999</v>
      </c>
      <c r="S161" s="147">
        <f t="shared" si="169"/>
        <v>50.316712328767117</v>
      </c>
      <c r="T161" s="148">
        <f>S161*$T$5*$T$10</f>
        <v>11019.359999999999</v>
      </c>
      <c r="U161" s="199"/>
      <c r="V161" s="150"/>
      <c r="W161" s="249"/>
      <c r="X161" s="249"/>
      <c r="Y161" s="152"/>
      <c r="Z161" s="153"/>
      <c r="AA161" s="153"/>
      <c r="AB161" s="154"/>
      <c r="AC161" s="155">
        <f t="shared" si="170"/>
        <v>6391.228799999999</v>
      </c>
      <c r="AD161" s="156">
        <f t="shared" si="171"/>
        <v>1432.5167999999999</v>
      </c>
      <c r="AE161" s="156">
        <f t="shared" si="172"/>
        <v>966.94883999999979</v>
      </c>
      <c r="AF161" s="156">
        <f t="shared" si="173"/>
        <v>440.77439999999996</v>
      </c>
      <c r="AG161" s="156">
        <f t="shared" si="174"/>
        <v>220.38719999999998</v>
      </c>
      <c r="AH161" s="156">
        <f t="shared" si="175"/>
        <v>220.38719999999998</v>
      </c>
      <c r="AI161" s="156">
        <f t="shared" si="176"/>
        <v>110.19359999999999</v>
      </c>
      <c r="AJ161" s="156">
        <f t="shared" si="177"/>
        <v>220.38719999999998</v>
      </c>
      <c r="AK161" s="156">
        <f t="shared" si="178"/>
        <v>220.38719999999998</v>
      </c>
      <c r="AL161" s="156">
        <f t="shared" si="179"/>
        <v>771.35519999999997</v>
      </c>
      <c r="AM161" s="157">
        <f t="shared" si="180"/>
        <v>3391.2080399999995</v>
      </c>
      <c r="AN161" s="158">
        <f t="shared" si="181"/>
        <v>2200</v>
      </c>
      <c r="AO161" s="159">
        <v>0.2</v>
      </c>
      <c r="AP161" s="160">
        <f t="shared" si="182"/>
        <v>90105634.435766384</v>
      </c>
      <c r="AQ161" s="161">
        <f t="shared" si="183"/>
        <v>25029.344901171426</v>
      </c>
      <c r="AR161" s="162">
        <f t="shared" si="184"/>
        <v>5005.8689802342851</v>
      </c>
      <c r="AS161" s="163">
        <f t="shared" si="185"/>
        <v>0.71430778827544028</v>
      </c>
      <c r="AT161" s="164">
        <f t="shared" si="186"/>
        <v>0.71430778827544028</v>
      </c>
      <c r="AU161" s="165"/>
      <c r="AV161" s="166"/>
      <c r="AW161" s="167"/>
      <c r="AX161" s="146"/>
      <c r="AY161" s="168"/>
    </row>
    <row r="162" spans="1:51" ht="10.9" customHeight="1" x14ac:dyDescent="0.25">
      <c r="B162" s="140">
        <v>14</v>
      </c>
      <c r="C162" s="63" t="s">
        <v>205</v>
      </c>
      <c r="D162" s="235"/>
      <c r="E162" s="236"/>
      <c r="F162" s="236"/>
      <c r="G162" s="236"/>
      <c r="H162" s="236">
        <v>113752</v>
      </c>
      <c r="I162" s="236">
        <v>114562</v>
      </c>
      <c r="J162" s="236">
        <v>115553</v>
      </c>
      <c r="K162" s="236">
        <v>116102</v>
      </c>
      <c r="L162" s="236">
        <v>116316</v>
      </c>
      <c r="M162" s="236">
        <v>116486</v>
      </c>
      <c r="N162" s="236">
        <v>126181</v>
      </c>
      <c r="O162" s="236">
        <v>127706</v>
      </c>
      <c r="P162" s="237"/>
      <c r="Q162" s="223">
        <f t="shared" si="168"/>
        <v>127706</v>
      </c>
      <c r="R162" s="147">
        <f>Q162*$R$10</f>
        <v>14047.66</v>
      </c>
      <c r="S162" s="147">
        <f t="shared" si="169"/>
        <v>38.486739726027395</v>
      </c>
      <c r="T162" s="148">
        <f>S162*$T$5*$T$10</f>
        <v>8428.5959999999995</v>
      </c>
      <c r="U162" s="199"/>
      <c r="V162" s="150"/>
      <c r="W162" s="249"/>
      <c r="X162" s="249"/>
      <c r="Y162" s="152"/>
      <c r="Z162" s="153"/>
      <c r="AA162" s="153"/>
      <c r="AB162" s="154"/>
      <c r="AC162" s="155">
        <f t="shared" si="170"/>
        <v>4888.5856799999992</v>
      </c>
      <c r="AD162" s="156">
        <f t="shared" si="171"/>
        <v>1095.71748</v>
      </c>
      <c r="AE162" s="156">
        <f t="shared" si="172"/>
        <v>739.60929899999996</v>
      </c>
      <c r="AF162" s="156">
        <f t="shared" si="173"/>
        <v>337.14384000000001</v>
      </c>
      <c r="AG162" s="156">
        <f t="shared" si="174"/>
        <v>168.57192000000001</v>
      </c>
      <c r="AH162" s="156">
        <f t="shared" si="175"/>
        <v>168.57192000000001</v>
      </c>
      <c r="AI162" s="156">
        <f t="shared" si="176"/>
        <v>84.285960000000003</v>
      </c>
      <c r="AJ162" s="156">
        <f t="shared" si="177"/>
        <v>168.57192000000001</v>
      </c>
      <c r="AK162" s="156">
        <f t="shared" si="178"/>
        <v>168.57192000000001</v>
      </c>
      <c r="AL162" s="156">
        <f t="shared" si="179"/>
        <v>590.00171999999998</v>
      </c>
      <c r="AM162" s="157">
        <f t="shared" si="180"/>
        <v>2593.9004190000001</v>
      </c>
      <c r="AN162" s="158">
        <f t="shared" si="181"/>
        <v>2200</v>
      </c>
      <c r="AO162" s="159">
        <v>0.2</v>
      </c>
      <c r="AP162" s="160">
        <f t="shared" si="182"/>
        <v>68920880.15844503</v>
      </c>
      <c r="AQ162" s="161">
        <f t="shared" si="183"/>
        <v>19144.690464476513</v>
      </c>
      <c r="AR162" s="162">
        <f t="shared" si="184"/>
        <v>3828.9380928953028</v>
      </c>
      <c r="AS162" s="163">
        <f t="shared" si="185"/>
        <v>0.54636673699990057</v>
      </c>
      <c r="AT162" s="164">
        <f t="shared" si="186"/>
        <v>0.54636673699990057</v>
      </c>
      <c r="AU162" s="165"/>
      <c r="AV162" s="166"/>
      <c r="AW162" s="167"/>
      <c r="AX162" s="146"/>
      <c r="AY162" s="168"/>
    </row>
    <row r="163" spans="1:51" ht="10.9" customHeight="1" x14ac:dyDescent="0.25">
      <c r="B163" s="140">
        <v>15</v>
      </c>
      <c r="C163" s="63" t="s">
        <v>206</v>
      </c>
      <c r="D163" s="235"/>
      <c r="E163" s="236"/>
      <c r="F163" s="236"/>
      <c r="G163" s="236"/>
      <c r="H163" s="236">
        <v>171235</v>
      </c>
      <c r="I163" s="236">
        <v>174452</v>
      </c>
      <c r="J163" s="236">
        <v>178074</v>
      </c>
      <c r="K163" s="236">
        <v>181068</v>
      </c>
      <c r="L163" s="236">
        <v>183580</v>
      </c>
      <c r="M163" s="236">
        <v>186056</v>
      </c>
      <c r="N163" s="236">
        <v>201308</v>
      </c>
      <c r="O163" s="236">
        <v>206086</v>
      </c>
      <c r="P163" s="237"/>
      <c r="Q163" s="223">
        <f t="shared" si="168"/>
        <v>206086</v>
      </c>
      <c r="R163" s="147">
        <f>Q163*$R$10</f>
        <v>22669.46</v>
      </c>
      <c r="S163" s="147">
        <f t="shared" si="169"/>
        <v>62.108109589041092</v>
      </c>
      <c r="T163" s="148">
        <f>S163*$T$5*$T$10</f>
        <v>13601.675999999999</v>
      </c>
      <c r="U163" s="199"/>
      <c r="V163" s="150"/>
      <c r="W163" s="249"/>
      <c r="X163" s="249"/>
      <c r="Y163" s="152"/>
      <c r="Z163" s="153"/>
      <c r="AA163" s="153"/>
      <c r="AB163" s="154"/>
      <c r="AC163" s="155">
        <f t="shared" si="170"/>
        <v>7888.9720799999996</v>
      </c>
      <c r="AD163" s="156">
        <f t="shared" si="171"/>
        <v>1768.2178799999999</v>
      </c>
      <c r="AE163" s="156">
        <f t="shared" si="172"/>
        <v>1193.547069</v>
      </c>
      <c r="AF163" s="156">
        <f t="shared" si="173"/>
        <v>544.06704000000002</v>
      </c>
      <c r="AG163" s="156">
        <f t="shared" si="174"/>
        <v>272.03352000000001</v>
      </c>
      <c r="AH163" s="156">
        <f t="shared" si="175"/>
        <v>272.03352000000001</v>
      </c>
      <c r="AI163" s="156">
        <f t="shared" si="176"/>
        <v>136.01676</v>
      </c>
      <c r="AJ163" s="156">
        <f t="shared" si="177"/>
        <v>272.03352000000001</v>
      </c>
      <c r="AK163" s="156">
        <f t="shared" si="178"/>
        <v>272.03352000000001</v>
      </c>
      <c r="AL163" s="156">
        <f t="shared" si="179"/>
        <v>952.11732000000006</v>
      </c>
      <c r="AM163" s="157">
        <f t="shared" si="180"/>
        <v>4185.9157889999997</v>
      </c>
      <c r="AN163" s="158">
        <f t="shared" si="181"/>
        <v>2200</v>
      </c>
      <c r="AO163" s="159">
        <v>0.2</v>
      </c>
      <c r="AP163" s="160">
        <f t="shared" si="182"/>
        <v>111221309.16584422</v>
      </c>
      <c r="AQ163" s="161">
        <f t="shared" si="183"/>
        <v>30894.81057320804</v>
      </c>
      <c r="AR163" s="162">
        <f t="shared" si="184"/>
        <v>6178.9621146416084</v>
      </c>
      <c r="AS163" s="163">
        <f t="shared" si="185"/>
        <v>0.88170121498881404</v>
      </c>
      <c r="AT163" s="164">
        <f t="shared" si="186"/>
        <v>0.88170121498881404</v>
      </c>
      <c r="AU163" s="165"/>
      <c r="AV163" s="166"/>
      <c r="AW163" s="167"/>
      <c r="AX163" s="146"/>
      <c r="AY163" s="168"/>
    </row>
    <row r="164" spans="1:51" s="263" customFormat="1" ht="16.7" customHeight="1" x14ac:dyDescent="0.25">
      <c r="A164" s="173"/>
      <c r="B164" s="225"/>
      <c r="C164" s="258" t="s">
        <v>207</v>
      </c>
      <c r="D164" s="240">
        <f>SUM(D149:D163)</f>
        <v>0</v>
      </c>
      <c r="E164" s="240">
        <f t="shared" ref="E164:AM164" si="187">SUM(E149:E163)</f>
        <v>0</v>
      </c>
      <c r="F164" s="240">
        <f t="shared" si="187"/>
        <v>0</v>
      </c>
      <c r="G164" s="240">
        <f t="shared" si="187"/>
        <v>0</v>
      </c>
      <c r="H164" s="240">
        <f t="shared" si="187"/>
        <v>6628416</v>
      </c>
      <c r="I164" s="240">
        <f t="shared" si="187"/>
        <v>6555900</v>
      </c>
      <c r="J164" s="240">
        <f t="shared" si="187"/>
        <v>6799892</v>
      </c>
      <c r="K164" s="240">
        <f t="shared" si="187"/>
        <v>7020064</v>
      </c>
      <c r="L164" s="240">
        <f t="shared" si="187"/>
        <v>7101790</v>
      </c>
      <c r="M164" s="240">
        <f t="shared" si="187"/>
        <v>7222637</v>
      </c>
      <c r="N164" s="240">
        <f t="shared" si="187"/>
        <v>7450294</v>
      </c>
      <c r="O164" s="240">
        <f t="shared" si="187"/>
        <v>7593425</v>
      </c>
      <c r="P164" s="240">
        <f t="shared" si="187"/>
        <v>0</v>
      </c>
      <c r="Q164" s="240">
        <f t="shared" si="187"/>
        <v>8875737</v>
      </c>
      <c r="R164" s="240">
        <f t="shared" si="187"/>
        <v>1308631.8060000001</v>
      </c>
      <c r="S164" s="240">
        <f t="shared" si="187"/>
        <v>3585.292619178083</v>
      </c>
      <c r="T164" s="240">
        <f t="shared" si="187"/>
        <v>959129.03120000008</v>
      </c>
      <c r="U164" s="199">
        <f t="shared" si="187"/>
        <v>0</v>
      </c>
      <c r="V164" s="241"/>
      <c r="W164" s="242">
        <f t="shared" si="187"/>
        <v>0</v>
      </c>
      <c r="X164" s="242">
        <f>SUM(X149:X163)</f>
        <v>0</v>
      </c>
      <c r="Y164" s="242">
        <f>SUM(Y149:Y163)</f>
        <v>0</v>
      </c>
      <c r="Z164" s="199"/>
      <c r="AA164" s="199"/>
      <c r="AB164" s="243"/>
      <c r="AC164" s="240">
        <f>SUM(AC149:AC163)</f>
        <v>556294.83809600014</v>
      </c>
      <c r="AD164" s="244">
        <f>SUM(AD149:AD163)</f>
        <v>124686.77405600004</v>
      </c>
      <c r="AE164" s="244">
        <f>SUM(AE149:AE163)</f>
        <v>84163.572487799989</v>
      </c>
      <c r="AF164" s="244">
        <f>SUM(AF149:AF163)</f>
        <v>38365.161248000004</v>
      </c>
      <c r="AG164" s="244">
        <f>SUM(AG149:AG163)</f>
        <v>19182.580624000002</v>
      </c>
      <c r="AH164" s="244">
        <f t="shared" si="187"/>
        <v>19182.580624000002</v>
      </c>
      <c r="AI164" s="244">
        <f>SUM(AI149:AI163)</f>
        <v>9591.290312000001</v>
      </c>
      <c r="AJ164" s="244">
        <f t="shared" si="187"/>
        <v>19182.580624000002</v>
      </c>
      <c r="AK164" s="244">
        <f t="shared" si="187"/>
        <v>19182.580624000002</v>
      </c>
      <c r="AL164" s="244">
        <f t="shared" si="187"/>
        <v>67139.032184000025</v>
      </c>
      <c r="AM164" s="245">
        <f t="shared" si="187"/>
        <v>295171.95935180003</v>
      </c>
      <c r="AN164" s="158"/>
      <c r="AO164" s="183"/>
      <c r="AP164" s="160">
        <f>SUM(AP149:AP163)</f>
        <v>7842826612.6197872</v>
      </c>
      <c r="AQ164" s="160">
        <f t="shared" ref="AQ164:AX164" si="188">SUM(AQ149:AQ163)</f>
        <v>2178563.1222349769</v>
      </c>
      <c r="AR164" s="160">
        <f t="shared" si="188"/>
        <v>435712.62444699538</v>
      </c>
      <c r="AS164" s="185">
        <f t="shared" si="188"/>
        <v>62.173605086614643</v>
      </c>
      <c r="AT164" s="186">
        <f t="shared" si="188"/>
        <v>62.173605086614643</v>
      </c>
      <c r="AU164" s="187"/>
      <c r="AV164" s="246">
        <f t="shared" si="188"/>
        <v>0</v>
      </c>
      <c r="AW164" s="246"/>
      <c r="AX164" s="185">
        <f t="shared" si="188"/>
        <v>0</v>
      </c>
      <c r="AY164" s="189"/>
    </row>
    <row r="165" spans="1:51" s="139" customFormat="1" ht="10.9" customHeight="1" x14ac:dyDescent="0.25">
      <c r="B165" s="247"/>
      <c r="C165" s="152"/>
      <c r="D165" s="247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248"/>
      <c r="Q165" s="249"/>
      <c r="R165" s="250"/>
      <c r="S165" s="250"/>
      <c r="T165" s="251"/>
      <c r="U165" s="199"/>
      <c r="V165" s="179"/>
      <c r="W165" s="249"/>
      <c r="X165" s="249"/>
      <c r="Y165" s="152"/>
      <c r="Z165" s="153"/>
      <c r="AA165" s="153"/>
      <c r="AB165" s="154"/>
      <c r="AC165" s="247"/>
      <c r="AD165" s="252"/>
      <c r="AE165" s="252"/>
      <c r="AF165" s="252"/>
      <c r="AG165" s="252"/>
      <c r="AH165" s="252"/>
      <c r="AI165" s="252"/>
      <c r="AJ165" s="252"/>
      <c r="AK165" s="252"/>
      <c r="AL165" s="252"/>
      <c r="AM165" s="214"/>
      <c r="AN165" s="203"/>
      <c r="AO165" s="204"/>
      <c r="AP165" s="203"/>
      <c r="AQ165" s="205"/>
      <c r="AR165" s="206"/>
      <c r="AS165" s="253"/>
      <c r="AT165" s="254"/>
      <c r="AU165" s="255"/>
      <c r="AV165" s="256"/>
      <c r="AW165" s="257"/>
      <c r="AX165" s="214"/>
      <c r="AY165" s="212"/>
    </row>
    <row r="166" spans="1:51" s="139" customFormat="1" ht="15" customHeight="1" x14ac:dyDescent="0.25">
      <c r="A166" s="1"/>
      <c r="B166" s="120"/>
      <c r="C166" s="258" t="s">
        <v>208</v>
      </c>
      <c r="D166" s="122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213"/>
      <c r="Q166" s="76"/>
      <c r="R166" s="108"/>
      <c r="S166" s="108"/>
      <c r="T166" s="94"/>
      <c r="U166" s="199"/>
      <c r="V166" s="179"/>
      <c r="W166" s="180"/>
      <c r="X166" s="180"/>
      <c r="Y166" s="214"/>
      <c r="Z166" s="181"/>
      <c r="AA166" s="181"/>
      <c r="AB166" s="182"/>
      <c r="AC166" s="62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125"/>
      <c r="AN166" s="75"/>
      <c r="AO166" s="216"/>
      <c r="AP166" s="75"/>
      <c r="AQ166" s="51"/>
      <c r="AR166" s="259"/>
      <c r="AS166" s="218"/>
      <c r="AT166" s="219"/>
      <c r="AU166" s="220"/>
      <c r="AV166" s="135"/>
      <c r="AW166" s="136"/>
      <c r="AX166" s="137"/>
      <c r="AY166" s="138"/>
    </row>
    <row r="167" spans="1:51" ht="10.9" customHeight="1" x14ac:dyDescent="0.25">
      <c r="B167" s="140">
        <v>1</v>
      </c>
      <c r="C167" s="63" t="s">
        <v>209</v>
      </c>
      <c r="D167" s="235"/>
      <c r="E167" s="236"/>
      <c r="F167" s="236"/>
      <c r="G167" s="236"/>
      <c r="H167" s="236"/>
      <c r="I167" s="236"/>
      <c r="J167" s="236"/>
      <c r="K167" s="236"/>
      <c r="L167" s="236"/>
      <c r="M167" s="236">
        <v>275515</v>
      </c>
      <c r="N167" s="236">
        <v>277204</v>
      </c>
      <c r="O167" s="236">
        <v>285915</v>
      </c>
      <c r="P167" s="237"/>
      <c r="Q167" s="223">
        <f t="shared" ref="Q167:Q173" si="189">MAX(D167:P167)</f>
        <v>285915</v>
      </c>
      <c r="R167" s="147">
        <f t="shared" ref="R167:R173" si="190">Q167*$R$10</f>
        <v>31450.65</v>
      </c>
      <c r="S167" s="147">
        <f t="shared" ref="S167:S173" si="191">R167/$S$5</f>
        <v>86.16616438356165</v>
      </c>
      <c r="T167" s="148">
        <f t="shared" ref="T167:T173" si="192">S167*$T$5*$T$10</f>
        <v>18870.39</v>
      </c>
      <c r="U167" s="199"/>
      <c r="V167" s="150"/>
      <c r="W167" s="249"/>
      <c r="X167" s="249"/>
      <c r="Y167" s="152"/>
      <c r="Z167" s="153"/>
      <c r="AA167" s="153"/>
      <c r="AB167" s="154"/>
      <c r="AC167" s="155">
        <f t="shared" ref="AC167:AC173" si="193">T167*$AC$5</f>
        <v>10944.8262</v>
      </c>
      <c r="AD167" s="156">
        <f t="shared" ref="AD167:AD173" si="194">T167*$AD$5</f>
        <v>2453.1507000000001</v>
      </c>
      <c r="AE167" s="156">
        <f t="shared" ref="AE167:AE173" si="195">T167*$AE$5</f>
        <v>1655.8767224999999</v>
      </c>
      <c r="AF167" s="156">
        <f t="shared" ref="AF167:AF173" si="196">T167*$AF$5</f>
        <v>754.81560000000002</v>
      </c>
      <c r="AG167" s="156">
        <f t="shared" ref="AG167:AG173" si="197">T167*$AG$5</f>
        <v>377.40780000000001</v>
      </c>
      <c r="AH167" s="156">
        <f t="shared" ref="AH167:AH173" si="198">T167*$AH$5</f>
        <v>377.40780000000001</v>
      </c>
      <c r="AI167" s="156">
        <f t="shared" ref="AI167:AI173" si="199">T167*$AI$5</f>
        <v>188.7039</v>
      </c>
      <c r="AJ167" s="156">
        <f t="shared" ref="AJ167:AJ173" si="200">T167*$AJ$5</f>
        <v>377.40780000000001</v>
      </c>
      <c r="AK167" s="156">
        <f t="shared" ref="AK167:AK173" si="201">T167*$AK$5</f>
        <v>377.40780000000001</v>
      </c>
      <c r="AL167" s="156">
        <f t="shared" ref="AL167:AL173" si="202">T167*$AL$5</f>
        <v>1320.9273000000001</v>
      </c>
      <c r="AM167" s="157">
        <f t="shared" ref="AM167:AM173" si="203">SUM(AD167:AI167)</f>
        <v>5807.3625225000005</v>
      </c>
      <c r="AN167" s="158">
        <f t="shared" ref="AN167:AN173" si="204">$AN$5</f>
        <v>2200</v>
      </c>
      <c r="AO167" s="159">
        <v>0.2</v>
      </c>
      <c r="AP167" s="160">
        <f t="shared" ref="AP167:AP173" si="205">(AC167+AM167)*AN167*$AP$5</f>
        <v>154303740.23539859</v>
      </c>
      <c r="AQ167" s="161">
        <f t="shared" ref="AQ167:AQ173" si="206">AP167*$AQ$5</f>
        <v>42862.1534943605</v>
      </c>
      <c r="AR167" s="162">
        <f t="shared" ref="AR167:AR173" si="207">AQ167*$AR$5</f>
        <v>8572.4306988721</v>
      </c>
      <c r="AS167" s="163">
        <f t="shared" ref="AS167:AS173" si="208">AR167/$AS$5</f>
        <v>1.223234974154124</v>
      </c>
      <c r="AT167" s="164">
        <f t="shared" ref="AT167:AT173" si="209">AS167</f>
        <v>1.223234974154124</v>
      </c>
      <c r="AU167" s="165"/>
      <c r="AV167" s="166"/>
      <c r="AW167" s="167"/>
      <c r="AX167" s="146"/>
      <c r="AY167" s="168"/>
    </row>
    <row r="168" spans="1:51" ht="10.9" customHeight="1" x14ac:dyDescent="0.25">
      <c r="B168" s="140">
        <v>2</v>
      </c>
      <c r="C168" s="63" t="s">
        <v>210</v>
      </c>
      <c r="D168" s="235"/>
      <c r="E168" s="236"/>
      <c r="F168" s="236"/>
      <c r="G168" s="236"/>
      <c r="H168" s="236"/>
      <c r="I168" s="236"/>
      <c r="J168" s="236"/>
      <c r="K168" s="236"/>
      <c r="L168" s="236"/>
      <c r="M168" s="236">
        <v>140376</v>
      </c>
      <c r="N168" s="236">
        <v>155965</v>
      </c>
      <c r="O168" s="236">
        <v>160866</v>
      </c>
      <c r="P168" s="237"/>
      <c r="Q168" s="223">
        <f t="shared" si="189"/>
        <v>160866</v>
      </c>
      <c r="R168" s="147">
        <f t="shared" si="190"/>
        <v>17695.259999999998</v>
      </c>
      <c r="S168" s="147">
        <f t="shared" si="191"/>
        <v>48.480164383561636</v>
      </c>
      <c r="T168" s="148">
        <f t="shared" si="192"/>
        <v>10617.155999999999</v>
      </c>
      <c r="U168" s="199"/>
      <c r="V168" s="150"/>
      <c r="W168" s="249"/>
      <c r="X168" s="249"/>
      <c r="Y168" s="152"/>
      <c r="Z168" s="153"/>
      <c r="AA168" s="153"/>
      <c r="AB168" s="154"/>
      <c r="AC168" s="155">
        <f t="shared" si="193"/>
        <v>6157.9504799999986</v>
      </c>
      <c r="AD168" s="156">
        <f t="shared" si="194"/>
        <v>1380.23028</v>
      </c>
      <c r="AE168" s="156">
        <f t="shared" si="195"/>
        <v>931.65543899999989</v>
      </c>
      <c r="AF168" s="156">
        <f t="shared" si="196"/>
        <v>424.68624</v>
      </c>
      <c r="AG168" s="156">
        <f t="shared" si="197"/>
        <v>212.34312</v>
      </c>
      <c r="AH168" s="156">
        <f t="shared" si="198"/>
        <v>212.34312</v>
      </c>
      <c r="AI168" s="156">
        <f t="shared" si="199"/>
        <v>106.17156</v>
      </c>
      <c r="AJ168" s="156">
        <f t="shared" si="200"/>
        <v>212.34312</v>
      </c>
      <c r="AK168" s="156">
        <f t="shared" si="201"/>
        <v>212.34312</v>
      </c>
      <c r="AL168" s="156">
        <f t="shared" si="202"/>
        <v>743.20092</v>
      </c>
      <c r="AM168" s="157">
        <f t="shared" si="203"/>
        <v>3267.4297589999996</v>
      </c>
      <c r="AN168" s="158">
        <f t="shared" si="204"/>
        <v>2200</v>
      </c>
      <c r="AO168" s="159">
        <v>0.2</v>
      </c>
      <c r="AP168" s="160">
        <f t="shared" si="205"/>
        <v>86816800.366219431</v>
      </c>
      <c r="AQ168" s="161">
        <f t="shared" si="206"/>
        <v>24115.779808767627</v>
      </c>
      <c r="AR168" s="162">
        <f t="shared" si="207"/>
        <v>4823.1559617535258</v>
      </c>
      <c r="AS168" s="163">
        <f t="shared" si="208"/>
        <v>0.68823572513606246</v>
      </c>
      <c r="AT168" s="164">
        <f t="shared" si="209"/>
        <v>0.68823572513606246</v>
      </c>
      <c r="AU168" s="165"/>
      <c r="AV168" s="166"/>
      <c r="AW168" s="167"/>
      <c r="AX168" s="146"/>
      <c r="AY168" s="168"/>
    </row>
    <row r="169" spans="1:51" ht="10.9" customHeight="1" x14ac:dyDescent="0.25">
      <c r="B169" s="140">
        <v>3</v>
      </c>
      <c r="C169" s="63" t="s">
        <v>211</v>
      </c>
      <c r="D169" s="235"/>
      <c r="E169" s="236"/>
      <c r="F169" s="236"/>
      <c r="G169" s="236"/>
      <c r="H169" s="236"/>
      <c r="I169" s="236"/>
      <c r="J169" s="236"/>
      <c r="K169" s="236"/>
      <c r="L169" s="236"/>
      <c r="M169" s="236">
        <v>160006</v>
      </c>
      <c r="N169" s="236">
        <v>175150</v>
      </c>
      <c r="O169" s="236">
        <v>180654</v>
      </c>
      <c r="P169" s="237"/>
      <c r="Q169" s="223">
        <f t="shared" si="189"/>
        <v>180654</v>
      </c>
      <c r="R169" s="147">
        <f t="shared" si="190"/>
        <v>19871.939999999999</v>
      </c>
      <c r="S169" s="147">
        <f t="shared" si="191"/>
        <v>54.44367123287671</v>
      </c>
      <c r="T169" s="148">
        <f t="shared" si="192"/>
        <v>11923.163999999999</v>
      </c>
      <c r="U169" s="199"/>
      <c r="V169" s="150"/>
      <c r="W169" s="249"/>
      <c r="X169" s="249"/>
      <c r="Y169" s="152"/>
      <c r="Z169" s="153"/>
      <c r="AA169" s="153"/>
      <c r="AB169" s="154"/>
      <c r="AC169" s="155">
        <f t="shared" si="193"/>
        <v>6915.4351199999992</v>
      </c>
      <c r="AD169" s="156">
        <f t="shared" si="194"/>
        <v>1550.0113199999998</v>
      </c>
      <c r="AE169" s="156">
        <f t="shared" si="195"/>
        <v>1046.2576409999999</v>
      </c>
      <c r="AF169" s="156">
        <f t="shared" si="196"/>
        <v>476.92655999999994</v>
      </c>
      <c r="AG169" s="156">
        <f t="shared" si="197"/>
        <v>238.46327999999997</v>
      </c>
      <c r="AH169" s="156">
        <f t="shared" si="198"/>
        <v>238.46327999999997</v>
      </c>
      <c r="AI169" s="156">
        <f t="shared" si="199"/>
        <v>119.23163999999998</v>
      </c>
      <c r="AJ169" s="156">
        <f t="shared" si="200"/>
        <v>238.46327999999997</v>
      </c>
      <c r="AK169" s="156">
        <f t="shared" si="201"/>
        <v>238.46327999999997</v>
      </c>
      <c r="AL169" s="156">
        <f t="shared" si="202"/>
        <v>834.62148000000002</v>
      </c>
      <c r="AM169" s="157">
        <f t="shared" si="203"/>
        <v>3669.3537209999995</v>
      </c>
      <c r="AN169" s="158">
        <f t="shared" si="204"/>
        <v>2200</v>
      </c>
      <c r="AO169" s="159">
        <v>0.2</v>
      </c>
      <c r="AP169" s="160">
        <f t="shared" si="205"/>
        <v>97496066.622897342</v>
      </c>
      <c r="AQ169" s="161">
        <f t="shared" si="206"/>
        <v>27082.242895161853</v>
      </c>
      <c r="AR169" s="162">
        <f t="shared" si="207"/>
        <v>5416.4485790323706</v>
      </c>
      <c r="AS169" s="163">
        <f t="shared" si="208"/>
        <v>0.77289505979343187</v>
      </c>
      <c r="AT169" s="164">
        <f t="shared" si="209"/>
        <v>0.77289505979343187</v>
      </c>
      <c r="AU169" s="165"/>
      <c r="AV169" s="166"/>
      <c r="AW169" s="167"/>
      <c r="AX169" s="146"/>
      <c r="AY169" s="168"/>
    </row>
    <row r="170" spans="1:51" ht="10.9" customHeight="1" x14ac:dyDescent="0.25">
      <c r="B170" s="140">
        <v>4</v>
      </c>
      <c r="C170" s="63" t="s">
        <v>212</v>
      </c>
      <c r="D170" s="235"/>
      <c r="E170" s="236"/>
      <c r="F170" s="236"/>
      <c r="G170" s="236"/>
      <c r="H170" s="236"/>
      <c r="I170" s="236"/>
      <c r="J170" s="236"/>
      <c r="K170" s="236"/>
      <c r="L170" s="236"/>
      <c r="M170" s="236">
        <v>148053</v>
      </c>
      <c r="N170" s="236">
        <v>161228</v>
      </c>
      <c r="O170" s="236">
        <v>166294</v>
      </c>
      <c r="P170" s="237"/>
      <c r="Q170" s="223">
        <f t="shared" si="189"/>
        <v>166294</v>
      </c>
      <c r="R170" s="147">
        <f t="shared" si="190"/>
        <v>18292.34</v>
      </c>
      <c r="S170" s="147">
        <f t="shared" si="191"/>
        <v>50.116</v>
      </c>
      <c r="T170" s="148">
        <f t="shared" si="192"/>
        <v>10975.404</v>
      </c>
      <c r="U170" s="199"/>
      <c r="V170" s="150"/>
      <c r="W170" s="249"/>
      <c r="X170" s="249"/>
      <c r="Y170" s="152"/>
      <c r="Z170" s="153"/>
      <c r="AA170" s="153"/>
      <c r="AB170" s="154"/>
      <c r="AC170" s="155">
        <f t="shared" si="193"/>
        <v>6365.7343199999996</v>
      </c>
      <c r="AD170" s="156">
        <f t="shared" si="194"/>
        <v>1426.8025200000002</v>
      </c>
      <c r="AE170" s="156">
        <f t="shared" si="195"/>
        <v>963.09170099999994</v>
      </c>
      <c r="AF170" s="156">
        <f t="shared" si="196"/>
        <v>439.01616000000001</v>
      </c>
      <c r="AG170" s="156">
        <f t="shared" si="197"/>
        <v>219.50808000000001</v>
      </c>
      <c r="AH170" s="156">
        <f t="shared" si="198"/>
        <v>219.50808000000001</v>
      </c>
      <c r="AI170" s="156">
        <f t="shared" si="199"/>
        <v>109.75404</v>
      </c>
      <c r="AJ170" s="156">
        <f t="shared" si="200"/>
        <v>219.50808000000001</v>
      </c>
      <c r="AK170" s="156">
        <f t="shared" si="201"/>
        <v>219.50808000000001</v>
      </c>
      <c r="AL170" s="156">
        <f t="shared" si="202"/>
        <v>768.27828000000011</v>
      </c>
      <c r="AM170" s="157">
        <f t="shared" si="203"/>
        <v>3377.6805810000001</v>
      </c>
      <c r="AN170" s="158">
        <f t="shared" si="204"/>
        <v>2200</v>
      </c>
      <c r="AO170" s="159">
        <v>0.2</v>
      </c>
      <c r="AP170" s="160">
        <f t="shared" si="205"/>
        <v>89746204.916514963</v>
      </c>
      <c r="AQ170" s="161">
        <f t="shared" si="206"/>
        <v>24929.503360058708</v>
      </c>
      <c r="AR170" s="162">
        <f t="shared" si="207"/>
        <v>4985.9006720117422</v>
      </c>
      <c r="AS170" s="163">
        <f t="shared" si="208"/>
        <v>0.7114584292254198</v>
      </c>
      <c r="AT170" s="164">
        <f t="shared" si="209"/>
        <v>0.7114584292254198</v>
      </c>
      <c r="AU170" s="165"/>
      <c r="AV170" s="166"/>
      <c r="AW170" s="167"/>
      <c r="AX170" s="146"/>
      <c r="AY170" s="168"/>
    </row>
    <row r="171" spans="1:51" ht="10.9" customHeight="1" x14ac:dyDescent="0.25">
      <c r="B171" s="140">
        <v>5</v>
      </c>
      <c r="C171" s="63" t="s">
        <v>213</v>
      </c>
      <c r="D171" s="235"/>
      <c r="E171" s="236"/>
      <c r="F171" s="236"/>
      <c r="G171" s="236"/>
      <c r="H171" s="236"/>
      <c r="I171" s="236"/>
      <c r="J171" s="236"/>
      <c r="K171" s="236"/>
      <c r="L171" s="236"/>
      <c r="M171" s="236">
        <v>163200</v>
      </c>
      <c r="N171" s="236">
        <v>172528</v>
      </c>
      <c r="O171" s="236">
        <v>177949</v>
      </c>
      <c r="P171" s="237"/>
      <c r="Q171" s="223">
        <f t="shared" si="189"/>
        <v>177949</v>
      </c>
      <c r="R171" s="147">
        <f t="shared" si="190"/>
        <v>19574.39</v>
      </c>
      <c r="S171" s="147">
        <f t="shared" si="191"/>
        <v>53.628465753424656</v>
      </c>
      <c r="T171" s="148">
        <f t="shared" si="192"/>
        <v>11744.634</v>
      </c>
      <c r="U171" s="199"/>
      <c r="V171" s="150"/>
      <c r="W171" s="249"/>
      <c r="X171" s="249"/>
      <c r="Y171" s="152"/>
      <c r="Z171" s="153"/>
      <c r="AA171" s="153"/>
      <c r="AB171" s="154"/>
      <c r="AC171" s="155">
        <f t="shared" si="193"/>
        <v>6811.8877199999997</v>
      </c>
      <c r="AD171" s="156">
        <f t="shared" si="194"/>
        <v>1526.80242</v>
      </c>
      <c r="AE171" s="156">
        <f t="shared" si="195"/>
        <v>1030.5916334999999</v>
      </c>
      <c r="AF171" s="156">
        <f t="shared" si="196"/>
        <v>469.78536000000003</v>
      </c>
      <c r="AG171" s="156">
        <f t="shared" si="197"/>
        <v>234.89268000000001</v>
      </c>
      <c r="AH171" s="156">
        <f t="shared" si="198"/>
        <v>234.89268000000001</v>
      </c>
      <c r="AI171" s="156">
        <f t="shared" si="199"/>
        <v>117.44634000000001</v>
      </c>
      <c r="AJ171" s="156">
        <f t="shared" si="200"/>
        <v>234.89268000000001</v>
      </c>
      <c r="AK171" s="156">
        <f t="shared" si="201"/>
        <v>234.89268000000001</v>
      </c>
      <c r="AL171" s="156">
        <f t="shared" si="202"/>
        <v>822.12438000000009</v>
      </c>
      <c r="AM171" s="157">
        <f t="shared" si="203"/>
        <v>3614.4111134999998</v>
      </c>
      <c r="AN171" s="158">
        <f t="shared" si="204"/>
        <v>2200</v>
      </c>
      <c r="AO171" s="159">
        <v>0.2</v>
      </c>
      <c r="AP171" s="160">
        <f t="shared" si="205"/>
        <v>96036221.503415152</v>
      </c>
      <c r="AQ171" s="161">
        <f t="shared" si="206"/>
        <v>26676.730329531354</v>
      </c>
      <c r="AR171" s="162">
        <f t="shared" si="207"/>
        <v>5335.3460659062712</v>
      </c>
      <c r="AS171" s="163">
        <f t="shared" si="208"/>
        <v>0.7613222126007807</v>
      </c>
      <c r="AT171" s="164">
        <f t="shared" si="209"/>
        <v>0.7613222126007807</v>
      </c>
      <c r="AU171" s="165"/>
      <c r="AV171" s="166"/>
      <c r="AW171" s="167"/>
      <c r="AX171" s="146"/>
      <c r="AY171" s="168"/>
    </row>
    <row r="172" spans="1:51" ht="10.9" customHeight="1" x14ac:dyDescent="0.25">
      <c r="B172" s="140">
        <v>6</v>
      </c>
      <c r="C172" s="63" t="s">
        <v>214</v>
      </c>
      <c r="D172" s="235"/>
      <c r="E172" s="236"/>
      <c r="F172" s="236"/>
      <c r="G172" s="236"/>
      <c r="H172" s="236"/>
      <c r="I172" s="236"/>
      <c r="J172" s="236"/>
      <c r="K172" s="236"/>
      <c r="L172" s="236"/>
      <c r="M172" s="236">
        <v>92315</v>
      </c>
      <c r="N172" s="236">
        <v>106463</v>
      </c>
      <c r="O172" s="236">
        <v>109809</v>
      </c>
      <c r="P172" s="237"/>
      <c r="Q172" s="223">
        <f t="shared" si="189"/>
        <v>109809</v>
      </c>
      <c r="R172" s="147">
        <f t="shared" si="190"/>
        <v>12078.99</v>
      </c>
      <c r="S172" s="147">
        <f t="shared" si="191"/>
        <v>33.093123287671233</v>
      </c>
      <c r="T172" s="148">
        <f t="shared" si="192"/>
        <v>7247.3939999999993</v>
      </c>
      <c r="U172" s="199"/>
      <c r="V172" s="150"/>
      <c r="W172" s="249"/>
      <c r="X172" s="249"/>
      <c r="Y172" s="152"/>
      <c r="Z172" s="153"/>
      <c r="AA172" s="153"/>
      <c r="AB172" s="154"/>
      <c r="AC172" s="155">
        <f t="shared" si="193"/>
        <v>4203.488519999999</v>
      </c>
      <c r="AD172" s="156">
        <f t="shared" si="194"/>
        <v>942.16121999999996</v>
      </c>
      <c r="AE172" s="156">
        <f t="shared" si="195"/>
        <v>635.95882349999988</v>
      </c>
      <c r="AF172" s="156">
        <f t="shared" si="196"/>
        <v>289.89576</v>
      </c>
      <c r="AG172" s="156">
        <f t="shared" si="197"/>
        <v>144.94788</v>
      </c>
      <c r="AH172" s="156">
        <f t="shared" si="198"/>
        <v>144.94788</v>
      </c>
      <c r="AI172" s="156">
        <f t="shared" si="199"/>
        <v>72.473939999999999</v>
      </c>
      <c r="AJ172" s="156">
        <f t="shared" si="200"/>
        <v>144.94788</v>
      </c>
      <c r="AK172" s="156">
        <f t="shared" si="201"/>
        <v>144.94788</v>
      </c>
      <c r="AL172" s="156">
        <f t="shared" si="202"/>
        <v>507.31758000000002</v>
      </c>
      <c r="AM172" s="157">
        <f t="shared" si="203"/>
        <v>2230.3855034999997</v>
      </c>
      <c r="AN172" s="158">
        <f t="shared" si="204"/>
        <v>2200</v>
      </c>
      <c r="AO172" s="159">
        <v>0.2</v>
      </c>
      <c r="AP172" s="160">
        <f t="shared" si="205"/>
        <v>59262156.275497541</v>
      </c>
      <c r="AQ172" s="161">
        <f t="shared" si="206"/>
        <v>16461.711393463902</v>
      </c>
      <c r="AR172" s="162">
        <f t="shared" si="207"/>
        <v>3292.3422786927804</v>
      </c>
      <c r="AS172" s="163">
        <f t="shared" si="208"/>
        <v>0.46979769958515699</v>
      </c>
      <c r="AT172" s="164">
        <f t="shared" si="209"/>
        <v>0.46979769958515699</v>
      </c>
      <c r="AU172" s="165"/>
      <c r="AV172" s="166"/>
      <c r="AW172" s="167"/>
      <c r="AX172" s="146"/>
      <c r="AY172" s="168"/>
    </row>
    <row r="173" spans="1:51" ht="10.9" customHeight="1" x14ac:dyDescent="0.25">
      <c r="B173" s="140">
        <v>7</v>
      </c>
      <c r="C173" s="63" t="s">
        <v>215</v>
      </c>
      <c r="D173" s="235"/>
      <c r="E173" s="236"/>
      <c r="F173" s="236"/>
      <c r="G173" s="236"/>
      <c r="H173" s="236"/>
      <c r="I173" s="236"/>
      <c r="J173" s="236"/>
      <c r="K173" s="236"/>
      <c r="L173" s="236"/>
      <c r="M173" s="236">
        <v>158664</v>
      </c>
      <c r="N173" s="236">
        <v>174758</v>
      </c>
      <c r="O173" s="236">
        <v>180250</v>
      </c>
      <c r="P173" s="237"/>
      <c r="Q173" s="223">
        <f t="shared" si="189"/>
        <v>180250</v>
      </c>
      <c r="R173" s="147">
        <f t="shared" si="190"/>
        <v>19827.5</v>
      </c>
      <c r="S173" s="147">
        <f t="shared" si="191"/>
        <v>54.321917808219176</v>
      </c>
      <c r="T173" s="148">
        <f t="shared" si="192"/>
        <v>11896.5</v>
      </c>
      <c r="U173" s="199"/>
      <c r="V173" s="150"/>
      <c r="W173" s="249"/>
      <c r="X173" s="249"/>
      <c r="Y173" s="152"/>
      <c r="Z173" s="153"/>
      <c r="AA173" s="153"/>
      <c r="AB173" s="154"/>
      <c r="AC173" s="155">
        <f t="shared" si="193"/>
        <v>6899.9699999999993</v>
      </c>
      <c r="AD173" s="156">
        <f t="shared" si="194"/>
        <v>1546.5450000000001</v>
      </c>
      <c r="AE173" s="156">
        <f t="shared" si="195"/>
        <v>1043.9178749999999</v>
      </c>
      <c r="AF173" s="156">
        <f t="shared" si="196"/>
        <v>475.86</v>
      </c>
      <c r="AG173" s="156">
        <f t="shared" si="197"/>
        <v>237.93</v>
      </c>
      <c r="AH173" s="156">
        <f t="shared" si="198"/>
        <v>237.93</v>
      </c>
      <c r="AI173" s="156">
        <f t="shared" si="199"/>
        <v>118.965</v>
      </c>
      <c r="AJ173" s="156">
        <f t="shared" si="200"/>
        <v>237.93</v>
      </c>
      <c r="AK173" s="156">
        <f t="shared" si="201"/>
        <v>237.93</v>
      </c>
      <c r="AL173" s="156">
        <f t="shared" si="202"/>
        <v>832.75500000000011</v>
      </c>
      <c r="AM173" s="157">
        <f t="shared" si="203"/>
        <v>3661.1478750000001</v>
      </c>
      <c r="AN173" s="158">
        <f t="shared" si="204"/>
        <v>2200</v>
      </c>
      <c r="AO173" s="159">
        <v>0.2</v>
      </c>
      <c r="AP173" s="160">
        <f t="shared" si="205"/>
        <v>97278034.301909998</v>
      </c>
      <c r="AQ173" s="161">
        <f t="shared" si="206"/>
        <v>27021.678356709093</v>
      </c>
      <c r="AR173" s="162">
        <f t="shared" si="207"/>
        <v>5404.3356713418189</v>
      </c>
      <c r="AS173" s="163">
        <f t="shared" si="208"/>
        <v>0.77116661976909517</v>
      </c>
      <c r="AT173" s="164">
        <f t="shared" si="209"/>
        <v>0.77116661976909517</v>
      </c>
      <c r="AU173" s="165"/>
      <c r="AV173" s="166"/>
      <c r="AW173" s="167"/>
      <c r="AX173" s="167"/>
      <c r="AY173" s="168"/>
    </row>
    <row r="174" spans="1:51" s="263" customFormat="1" ht="16.7" customHeight="1" x14ac:dyDescent="0.25">
      <c r="A174" s="173"/>
      <c r="B174" s="225"/>
      <c r="C174" s="258" t="s">
        <v>216</v>
      </c>
      <c r="D174" s="240">
        <f>SUM(D167:D173)</f>
        <v>0</v>
      </c>
      <c r="E174" s="240">
        <f t="shared" ref="E174:AM174" si="210">SUM(E167:E173)</f>
        <v>0</v>
      </c>
      <c r="F174" s="240">
        <f t="shared" si="210"/>
        <v>0</v>
      </c>
      <c r="G174" s="240">
        <f t="shared" si="210"/>
        <v>0</v>
      </c>
      <c r="H174" s="240">
        <f t="shared" si="210"/>
        <v>0</v>
      </c>
      <c r="I174" s="240">
        <f t="shared" si="210"/>
        <v>0</v>
      </c>
      <c r="J174" s="240">
        <f t="shared" si="210"/>
        <v>0</v>
      </c>
      <c r="K174" s="240">
        <f t="shared" si="210"/>
        <v>0</v>
      </c>
      <c r="L174" s="240">
        <f t="shared" si="210"/>
        <v>0</v>
      </c>
      <c r="M174" s="240">
        <f t="shared" si="210"/>
        <v>1138129</v>
      </c>
      <c r="N174" s="240">
        <f t="shared" si="210"/>
        <v>1223296</v>
      </c>
      <c r="O174" s="240">
        <f t="shared" si="210"/>
        <v>1261737</v>
      </c>
      <c r="P174" s="240">
        <f t="shared" si="210"/>
        <v>0</v>
      </c>
      <c r="Q174" s="240">
        <f t="shared" si="210"/>
        <v>1261737</v>
      </c>
      <c r="R174" s="240">
        <f t="shared" si="210"/>
        <v>138791.07</v>
      </c>
      <c r="S174" s="240">
        <f t="shared" si="210"/>
        <v>380.24950684931508</v>
      </c>
      <c r="T174" s="240">
        <f t="shared" si="210"/>
        <v>83274.641999999993</v>
      </c>
      <c r="U174" s="199">
        <f t="shared" si="210"/>
        <v>0</v>
      </c>
      <c r="V174" s="241"/>
      <c r="W174" s="242">
        <f t="shared" si="210"/>
        <v>0</v>
      </c>
      <c r="X174" s="242">
        <f>SUM(X167:X173)</f>
        <v>0</v>
      </c>
      <c r="Y174" s="242">
        <f>SUM(Y167:Y173)</f>
        <v>0</v>
      </c>
      <c r="Z174" s="199"/>
      <c r="AA174" s="199"/>
      <c r="AB174" s="243"/>
      <c r="AC174" s="240">
        <f>SUM(AC167:AC173)</f>
        <v>48299.292359999999</v>
      </c>
      <c r="AD174" s="244">
        <f>SUM(AD167:AD173)</f>
        <v>10825.703460000001</v>
      </c>
      <c r="AE174" s="244">
        <f>SUM(AE167:AE173)</f>
        <v>7307.3498355000002</v>
      </c>
      <c r="AF174" s="244">
        <f>SUM(AF167:AF173)</f>
        <v>3330.9856799999998</v>
      </c>
      <c r="AG174" s="244">
        <f>SUM(AG167:AG173)</f>
        <v>1665.4928399999999</v>
      </c>
      <c r="AH174" s="244">
        <f t="shared" si="210"/>
        <v>1665.4928399999999</v>
      </c>
      <c r="AI174" s="244">
        <f>SUM(AI167:AI173)</f>
        <v>832.74641999999994</v>
      </c>
      <c r="AJ174" s="244">
        <f t="shared" si="210"/>
        <v>1665.4928399999999</v>
      </c>
      <c r="AK174" s="244">
        <f t="shared" si="210"/>
        <v>1665.4928399999999</v>
      </c>
      <c r="AL174" s="244">
        <f t="shared" si="210"/>
        <v>5829.2249400000001</v>
      </c>
      <c r="AM174" s="245">
        <f t="shared" si="210"/>
        <v>25627.771075499997</v>
      </c>
      <c r="AN174" s="158"/>
      <c r="AO174" s="183"/>
      <c r="AP174" s="160">
        <f>SUM(AP167:AP173)</f>
        <v>680939224.22185302</v>
      </c>
      <c r="AQ174" s="160">
        <f t="shared" ref="AQ174:AX174" si="211">SUM(AQ167:AQ173)</f>
        <v>189149.79963805302</v>
      </c>
      <c r="AR174" s="160">
        <f t="shared" si="211"/>
        <v>37829.959927610616</v>
      </c>
      <c r="AS174" s="185">
        <f t="shared" si="211"/>
        <v>5.3981107202640697</v>
      </c>
      <c r="AT174" s="186">
        <f t="shared" si="211"/>
        <v>5.3981107202640697</v>
      </c>
      <c r="AU174" s="187"/>
      <c r="AV174" s="246">
        <f t="shared" si="211"/>
        <v>0</v>
      </c>
      <c r="AW174" s="246"/>
      <c r="AX174" s="185">
        <f t="shared" si="211"/>
        <v>0</v>
      </c>
      <c r="AY174" s="189"/>
    </row>
    <row r="175" spans="1:51" s="139" customFormat="1" ht="10.9" customHeight="1" x14ac:dyDescent="0.25">
      <c r="B175" s="247"/>
      <c r="C175" s="152"/>
      <c r="D175" s="265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248"/>
      <c r="Q175" s="249"/>
      <c r="R175" s="250"/>
      <c r="S175" s="250"/>
      <c r="T175" s="251"/>
      <c r="U175" s="199"/>
      <c r="V175" s="179"/>
      <c r="W175" s="249"/>
      <c r="X175" s="249"/>
      <c r="Y175" s="152"/>
      <c r="Z175" s="153"/>
      <c r="AA175" s="153"/>
      <c r="AB175" s="154"/>
      <c r="AC175" s="247"/>
      <c r="AD175" s="252"/>
      <c r="AE175" s="252"/>
      <c r="AF175" s="252"/>
      <c r="AG175" s="252"/>
      <c r="AH175" s="252"/>
      <c r="AI175" s="252"/>
      <c r="AJ175" s="252"/>
      <c r="AK175" s="252"/>
      <c r="AL175" s="252"/>
      <c r="AM175" s="214"/>
      <c r="AN175" s="203"/>
      <c r="AO175" s="204"/>
      <c r="AP175" s="203"/>
      <c r="AQ175" s="205"/>
      <c r="AR175" s="206"/>
      <c r="AS175" s="253"/>
      <c r="AT175" s="254"/>
      <c r="AU175" s="255"/>
      <c r="AV175" s="256"/>
      <c r="AW175" s="257"/>
      <c r="AX175" s="214"/>
      <c r="AY175" s="212"/>
    </row>
    <row r="176" spans="1:51" s="139" customFormat="1" ht="15" customHeight="1" x14ac:dyDescent="0.25">
      <c r="A176" s="1"/>
      <c r="B176" s="120"/>
      <c r="C176" s="258" t="s">
        <v>217</v>
      </c>
      <c r="D176" s="122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213"/>
      <c r="Q176" s="76"/>
      <c r="R176" s="108"/>
      <c r="S176" s="108"/>
      <c r="T176" s="94"/>
      <c r="U176" s="199"/>
      <c r="V176" s="179"/>
      <c r="W176" s="180"/>
      <c r="X176" s="180"/>
      <c r="Y176" s="214"/>
      <c r="Z176" s="181"/>
      <c r="AA176" s="181"/>
      <c r="AB176" s="182"/>
      <c r="AC176" s="62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125"/>
      <c r="AN176" s="75"/>
      <c r="AO176" s="216"/>
      <c r="AP176" s="75"/>
      <c r="AQ176" s="51"/>
      <c r="AR176" s="259"/>
      <c r="AS176" s="218"/>
      <c r="AT176" s="219"/>
      <c r="AU176" s="220"/>
      <c r="AV176" s="135"/>
      <c r="AW176" s="136"/>
      <c r="AX176" s="137"/>
      <c r="AY176" s="138"/>
    </row>
    <row r="177" spans="1:51" ht="10.9" customHeight="1" x14ac:dyDescent="0.25">
      <c r="B177" s="140">
        <v>1</v>
      </c>
      <c r="C177" s="63" t="s">
        <v>218</v>
      </c>
      <c r="D177" s="235"/>
      <c r="E177" s="236">
        <v>371891</v>
      </c>
      <c r="F177" s="236">
        <v>377298</v>
      </c>
      <c r="G177" s="236">
        <v>382706</v>
      </c>
      <c r="H177" s="236">
        <v>388113</v>
      </c>
      <c r="I177" s="236">
        <v>395288</v>
      </c>
      <c r="J177" s="236">
        <v>400090</v>
      </c>
      <c r="K177" s="236">
        <v>404908</v>
      </c>
      <c r="L177" s="236">
        <v>409740</v>
      </c>
      <c r="M177" s="236">
        <v>414585</v>
      </c>
      <c r="N177" s="236">
        <v>419037</v>
      </c>
      <c r="O177" s="236">
        <v>423586</v>
      </c>
      <c r="P177" s="237"/>
      <c r="Q177" s="223">
        <f t="shared" ref="Q177:Q189" si="212">MAX(D177:P177)</f>
        <v>423586</v>
      </c>
      <c r="R177" s="147">
        <f>Q177*$R$10</f>
        <v>46594.46</v>
      </c>
      <c r="S177" s="147">
        <f t="shared" ref="S177:S190" si="213">R177/$S$5</f>
        <v>127.65605479452054</v>
      </c>
      <c r="T177" s="148">
        <f>S177*$T$5*$T$10</f>
        <v>27956.675999999999</v>
      </c>
      <c r="U177" s="199"/>
      <c r="V177" s="150"/>
      <c r="W177" s="249"/>
      <c r="X177" s="249"/>
      <c r="Y177" s="152"/>
      <c r="Z177" s="153"/>
      <c r="AA177" s="153"/>
      <c r="AB177" s="154"/>
      <c r="AC177" s="155">
        <f t="shared" ref="AC177:AC190" si="214">T177*$AC$5</f>
        <v>16214.872079999999</v>
      </c>
      <c r="AD177" s="156">
        <f t="shared" ref="AD177:AD190" si="215">T177*$AD$5</f>
        <v>3634.3678800000002</v>
      </c>
      <c r="AE177" s="156">
        <f t="shared" ref="AE177:AE190" si="216">T177*$AE$5</f>
        <v>2453.1983189999996</v>
      </c>
      <c r="AF177" s="156">
        <f t="shared" ref="AF177:AF190" si="217">T177*$AF$5</f>
        <v>1118.26704</v>
      </c>
      <c r="AG177" s="156">
        <f t="shared" ref="AG177:AG190" si="218">T177*$AG$5</f>
        <v>559.13351999999998</v>
      </c>
      <c r="AH177" s="156">
        <f t="shared" ref="AH177:AH190" si="219">T177*$AH$5</f>
        <v>559.13351999999998</v>
      </c>
      <c r="AI177" s="156">
        <f t="shared" ref="AI177:AI190" si="220">T177*$AI$5</f>
        <v>279.56675999999999</v>
      </c>
      <c r="AJ177" s="156">
        <f t="shared" ref="AJ177:AJ190" si="221">T177*$AJ$5</f>
        <v>559.13351999999998</v>
      </c>
      <c r="AK177" s="156">
        <f t="shared" ref="AK177:AK190" si="222">T177*$AK$5</f>
        <v>559.13351999999998</v>
      </c>
      <c r="AL177" s="156">
        <f t="shared" ref="AL177:AL190" si="223">T177*$AL$5</f>
        <v>1956.9673200000002</v>
      </c>
      <c r="AM177" s="157">
        <f t="shared" ref="AM177:AM190" si="224">SUM(AD177:AI177)</f>
        <v>8603.6670389999999</v>
      </c>
      <c r="AN177" s="158">
        <f t="shared" ref="AN177:AN190" si="225">$AN$5</f>
        <v>2200</v>
      </c>
      <c r="AO177" s="159">
        <v>0.2</v>
      </c>
      <c r="AP177" s="160">
        <f t="shared" ref="AP177:AP190" si="226">(AC177+AM177)*AN177*$AP$5</f>
        <v>228602571.08354425</v>
      </c>
      <c r="AQ177" s="161">
        <f t="shared" ref="AQ177:AQ190" si="227">AP177*$AQ$5</f>
        <v>63500.719269930538</v>
      </c>
      <c r="AR177" s="162">
        <f t="shared" ref="AR177:AR190" si="228">AQ177*$AR$5</f>
        <v>12700.143853986108</v>
      </c>
      <c r="AS177" s="163">
        <f t="shared" ref="AS177:AS190" si="229">AR177/$AS$5</f>
        <v>1.8122351389820359</v>
      </c>
      <c r="AT177" s="164">
        <f t="shared" ref="AT177:AT190" si="230">AS177</f>
        <v>1.8122351389820359</v>
      </c>
      <c r="AU177" s="165"/>
      <c r="AV177" s="166"/>
      <c r="AW177" s="167"/>
      <c r="AX177" s="146"/>
      <c r="AY177" s="168"/>
    </row>
    <row r="178" spans="1:51" ht="10.9" customHeight="1" x14ac:dyDescent="0.25">
      <c r="B178" s="140">
        <v>2</v>
      </c>
      <c r="C178" s="258" t="s">
        <v>219</v>
      </c>
      <c r="D178" s="235"/>
      <c r="E178" s="236">
        <v>800561</v>
      </c>
      <c r="F178" s="236">
        <v>800910</v>
      </c>
      <c r="G178" s="236">
        <v>801260</v>
      </c>
      <c r="H178" s="236">
        <v>801609</v>
      </c>
      <c r="I178" s="236">
        <v>857052</v>
      </c>
      <c r="J178" s="236">
        <v>866154</v>
      </c>
      <c r="K178" s="236">
        <v>875276</v>
      </c>
      <c r="L178" s="236">
        <v>884419</v>
      </c>
      <c r="M178" s="236">
        <v>529893</v>
      </c>
      <c r="N178" s="236">
        <v>536613</v>
      </c>
      <c r="O178" s="236">
        <v>542439</v>
      </c>
      <c r="P178" s="237"/>
      <c r="Q178" s="223">
        <f t="shared" si="212"/>
        <v>884419</v>
      </c>
      <c r="R178" s="147">
        <f>Q178*$R$9</f>
        <v>129125.174</v>
      </c>
      <c r="S178" s="147">
        <f t="shared" si="213"/>
        <v>353.76760000000002</v>
      </c>
      <c r="T178" s="148">
        <f>S178*$T$5*$T$9</f>
        <v>90387.621799999994</v>
      </c>
      <c r="U178" s="199"/>
      <c r="V178" s="150"/>
      <c r="W178" s="249"/>
      <c r="X178" s="249"/>
      <c r="Y178" s="152"/>
      <c r="Z178" s="153"/>
      <c r="AA178" s="153"/>
      <c r="AB178" s="154"/>
      <c r="AC178" s="155">
        <f t="shared" si="214"/>
        <v>52424.820643999992</v>
      </c>
      <c r="AD178" s="156">
        <f t="shared" si="215"/>
        <v>11750.390834</v>
      </c>
      <c r="AE178" s="156">
        <f t="shared" si="216"/>
        <v>7931.5138129499992</v>
      </c>
      <c r="AF178" s="156">
        <f t="shared" si="217"/>
        <v>3615.504872</v>
      </c>
      <c r="AG178" s="156">
        <f t="shared" si="218"/>
        <v>1807.752436</v>
      </c>
      <c r="AH178" s="156">
        <f t="shared" si="219"/>
        <v>1807.752436</v>
      </c>
      <c r="AI178" s="156">
        <f t="shared" si="220"/>
        <v>903.87621799999999</v>
      </c>
      <c r="AJ178" s="156">
        <f t="shared" si="221"/>
        <v>1807.752436</v>
      </c>
      <c r="AK178" s="156">
        <f t="shared" si="222"/>
        <v>1807.752436</v>
      </c>
      <c r="AL178" s="156">
        <f t="shared" si="223"/>
        <v>6327.1335260000005</v>
      </c>
      <c r="AM178" s="157">
        <f t="shared" si="224"/>
        <v>27816.790608949999</v>
      </c>
      <c r="AN178" s="158">
        <f t="shared" si="225"/>
        <v>2200</v>
      </c>
      <c r="AO178" s="159">
        <v>0.2</v>
      </c>
      <c r="AP178" s="160">
        <f t="shared" si="226"/>
        <v>739102271.58647227</v>
      </c>
      <c r="AQ178" s="161">
        <f t="shared" si="227"/>
        <v>205306.20297629279</v>
      </c>
      <c r="AR178" s="162">
        <f t="shared" si="228"/>
        <v>41061.240595258561</v>
      </c>
      <c r="AS178" s="163">
        <f t="shared" si="229"/>
        <v>5.859195290419315</v>
      </c>
      <c r="AT178" s="233">
        <f t="shared" si="230"/>
        <v>5.859195290419315</v>
      </c>
      <c r="AU178" s="187"/>
      <c r="AV178" s="166"/>
      <c r="AW178" s="167"/>
      <c r="AX178" s="146"/>
      <c r="AY178" s="168"/>
    </row>
    <row r="179" spans="1:51" ht="10.9" customHeight="1" x14ac:dyDescent="0.25">
      <c r="B179" s="140">
        <v>3</v>
      </c>
      <c r="C179" s="258" t="s">
        <v>220</v>
      </c>
      <c r="D179" s="235"/>
      <c r="E179" s="236">
        <v>1147914</v>
      </c>
      <c r="F179" s="236">
        <v>1162708</v>
      </c>
      <c r="G179" s="236">
        <v>1177505</v>
      </c>
      <c r="H179" s="236">
        <v>1192296</v>
      </c>
      <c r="I179" s="236">
        <v>1229448</v>
      </c>
      <c r="J179" s="236">
        <v>1245937</v>
      </c>
      <c r="K179" s="236">
        <v>878182</v>
      </c>
      <c r="L179" s="236">
        <v>889888</v>
      </c>
      <c r="M179" s="236">
        <v>901655</v>
      </c>
      <c r="N179" s="236">
        <v>912490</v>
      </c>
      <c r="O179" s="236">
        <v>922397</v>
      </c>
      <c r="P179" s="237"/>
      <c r="Q179" s="223">
        <f t="shared" si="212"/>
        <v>1245937</v>
      </c>
      <c r="R179" s="147">
        <f>Q179*$R$8</f>
        <v>204333.66800000001</v>
      </c>
      <c r="S179" s="147">
        <f t="shared" si="213"/>
        <v>559.81826849315075</v>
      </c>
      <c r="T179" s="148">
        <f>S179*$T$5*$T$8</f>
        <v>163466.93440000003</v>
      </c>
      <c r="U179" s="199"/>
      <c r="V179" s="150"/>
      <c r="W179" s="249"/>
      <c r="X179" s="249"/>
      <c r="Y179" s="152"/>
      <c r="Z179" s="153"/>
      <c r="AA179" s="153"/>
      <c r="AB179" s="154"/>
      <c r="AC179" s="155">
        <f t="shared" si="214"/>
        <v>94810.821952000013</v>
      </c>
      <c r="AD179" s="156">
        <f t="shared" si="215"/>
        <v>21250.701472000004</v>
      </c>
      <c r="AE179" s="156">
        <f t="shared" si="216"/>
        <v>14344.223493600002</v>
      </c>
      <c r="AF179" s="156">
        <f t="shared" si="217"/>
        <v>6538.6773760000015</v>
      </c>
      <c r="AG179" s="156">
        <f t="shared" si="218"/>
        <v>3269.3386880000007</v>
      </c>
      <c r="AH179" s="156">
        <f t="shared" si="219"/>
        <v>3269.3386880000007</v>
      </c>
      <c r="AI179" s="156">
        <f t="shared" si="220"/>
        <v>1634.6693440000004</v>
      </c>
      <c r="AJ179" s="156">
        <f t="shared" si="221"/>
        <v>3269.3386880000007</v>
      </c>
      <c r="AK179" s="156">
        <f t="shared" si="222"/>
        <v>3269.3386880000007</v>
      </c>
      <c r="AL179" s="156">
        <f t="shared" si="223"/>
        <v>11442.685408000003</v>
      </c>
      <c r="AM179" s="157">
        <f t="shared" si="224"/>
        <v>50306.949061600011</v>
      </c>
      <c r="AN179" s="158">
        <f t="shared" si="225"/>
        <v>2200</v>
      </c>
      <c r="AO179" s="159">
        <v>0.2</v>
      </c>
      <c r="AP179" s="160">
        <f t="shared" si="226"/>
        <v>1336673984.0954292</v>
      </c>
      <c r="AQ179" s="161">
        <f t="shared" si="227"/>
        <v>371298.35861926328</v>
      </c>
      <c r="AR179" s="162">
        <f t="shared" si="228"/>
        <v>74259.671723852662</v>
      </c>
      <c r="AS179" s="163">
        <f t="shared" si="229"/>
        <v>10.596414344157058</v>
      </c>
      <c r="AT179" s="233">
        <f t="shared" si="230"/>
        <v>10.596414344157058</v>
      </c>
      <c r="AU179" s="187"/>
      <c r="AV179" s="166"/>
      <c r="AW179" s="167"/>
      <c r="AX179" s="146"/>
      <c r="AY179" s="168"/>
    </row>
    <row r="180" spans="1:51" ht="10.9" customHeight="1" x14ac:dyDescent="0.25">
      <c r="B180" s="140">
        <v>4</v>
      </c>
      <c r="C180" s="258" t="s">
        <v>221</v>
      </c>
      <c r="D180" s="235"/>
      <c r="E180" s="236">
        <v>874645</v>
      </c>
      <c r="F180" s="236">
        <v>879863</v>
      </c>
      <c r="G180" s="236">
        <v>885080</v>
      </c>
      <c r="H180" s="236">
        <v>890298</v>
      </c>
      <c r="I180" s="236">
        <v>917514</v>
      </c>
      <c r="J180" s="236">
        <v>924546</v>
      </c>
      <c r="K180" s="236">
        <v>931534</v>
      </c>
      <c r="L180" s="236">
        <v>938476</v>
      </c>
      <c r="M180" s="236">
        <v>945367</v>
      </c>
      <c r="N180" s="236">
        <v>951639</v>
      </c>
      <c r="O180" s="236">
        <v>961971</v>
      </c>
      <c r="P180" s="237"/>
      <c r="Q180" s="223">
        <f t="shared" si="212"/>
        <v>961971</v>
      </c>
      <c r="R180" s="147">
        <f>Q180*$R$9</f>
        <v>140447.766</v>
      </c>
      <c r="S180" s="147">
        <f t="shared" si="213"/>
        <v>384.78840000000002</v>
      </c>
      <c r="T180" s="148">
        <f>S180*$T$5*$T$9</f>
        <v>98313.436199999996</v>
      </c>
      <c r="U180" s="199"/>
      <c r="V180" s="150"/>
      <c r="W180" s="249"/>
      <c r="X180" s="249"/>
      <c r="Y180" s="152"/>
      <c r="Z180" s="153"/>
      <c r="AA180" s="153"/>
      <c r="AB180" s="154"/>
      <c r="AC180" s="155">
        <f t="shared" si="214"/>
        <v>57021.792995999996</v>
      </c>
      <c r="AD180" s="156">
        <f t="shared" si="215"/>
        <v>12780.746706</v>
      </c>
      <c r="AE180" s="156">
        <f t="shared" si="216"/>
        <v>8627.0040265499993</v>
      </c>
      <c r="AF180" s="156">
        <f t="shared" si="217"/>
        <v>3932.537448</v>
      </c>
      <c r="AG180" s="156">
        <f t="shared" si="218"/>
        <v>1966.268724</v>
      </c>
      <c r="AH180" s="156">
        <f t="shared" si="219"/>
        <v>1966.268724</v>
      </c>
      <c r="AI180" s="156">
        <f t="shared" si="220"/>
        <v>983.13436200000001</v>
      </c>
      <c r="AJ180" s="156">
        <f t="shared" si="221"/>
        <v>1966.268724</v>
      </c>
      <c r="AK180" s="156">
        <f t="shared" si="222"/>
        <v>1966.268724</v>
      </c>
      <c r="AL180" s="156">
        <f t="shared" si="223"/>
        <v>6881.9405340000003</v>
      </c>
      <c r="AM180" s="157">
        <f t="shared" si="224"/>
        <v>30255.95999055</v>
      </c>
      <c r="AN180" s="158">
        <f t="shared" si="225"/>
        <v>2200</v>
      </c>
      <c r="AO180" s="159">
        <v>0.2</v>
      </c>
      <c r="AP180" s="160">
        <f t="shared" si="226"/>
        <v>803911891.64899254</v>
      </c>
      <c r="AQ180" s="161">
        <f t="shared" si="227"/>
        <v>223308.87665609553</v>
      </c>
      <c r="AR180" s="162">
        <f t="shared" si="228"/>
        <v>44661.775331219105</v>
      </c>
      <c r="AS180" s="163">
        <f t="shared" si="229"/>
        <v>6.3729702242036392</v>
      </c>
      <c r="AT180" s="233">
        <f t="shared" si="230"/>
        <v>6.3729702242036392</v>
      </c>
      <c r="AU180" s="187"/>
      <c r="AV180" s="166"/>
      <c r="AW180" s="167"/>
      <c r="AX180" s="146"/>
      <c r="AY180" s="168"/>
    </row>
    <row r="181" spans="1:51" ht="10.9" customHeight="1" x14ac:dyDescent="0.25">
      <c r="B181" s="140">
        <v>5</v>
      </c>
      <c r="C181" s="258" t="s">
        <v>222</v>
      </c>
      <c r="D181" s="235"/>
      <c r="E181" s="236">
        <v>1055249</v>
      </c>
      <c r="F181" s="236">
        <v>1064330</v>
      </c>
      <c r="G181" s="236">
        <v>1073412</v>
      </c>
      <c r="H181" s="236">
        <v>1082494</v>
      </c>
      <c r="I181" s="236">
        <v>1116629</v>
      </c>
      <c r="J181" s="236">
        <v>1127657</v>
      </c>
      <c r="K181" s="236">
        <v>1138678</v>
      </c>
      <c r="L181" s="236">
        <v>1149679</v>
      </c>
      <c r="M181" s="236">
        <v>1160607</v>
      </c>
      <c r="N181" s="236">
        <v>1170717</v>
      </c>
      <c r="O181" s="236">
        <v>1183427</v>
      </c>
      <c r="P181" s="237"/>
      <c r="Q181" s="223">
        <f t="shared" si="212"/>
        <v>1183427</v>
      </c>
      <c r="R181" s="147">
        <f>Q181*$R$8</f>
        <v>194082.02800000002</v>
      </c>
      <c r="S181" s="147">
        <f t="shared" si="213"/>
        <v>531.7315835616439</v>
      </c>
      <c r="T181" s="148">
        <f>S181*$T$5*$T$8</f>
        <v>155265.62240000002</v>
      </c>
      <c r="U181" s="199"/>
      <c r="V181" s="150"/>
      <c r="W181" s="249"/>
      <c r="X181" s="249"/>
      <c r="Y181" s="152"/>
      <c r="Z181" s="153"/>
      <c r="AA181" s="153"/>
      <c r="AB181" s="154"/>
      <c r="AC181" s="155">
        <f t="shared" si="214"/>
        <v>90054.060992000013</v>
      </c>
      <c r="AD181" s="156">
        <f t="shared" si="215"/>
        <v>20184.530912000002</v>
      </c>
      <c r="AE181" s="156">
        <f t="shared" si="216"/>
        <v>13624.558365600002</v>
      </c>
      <c r="AF181" s="156">
        <f t="shared" si="217"/>
        <v>6210.6248960000012</v>
      </c>
      <c r="AG181" s="156">
        <f t="shared" si="218"/>
        <v>3105.3124480000006</v>
      </c>
      <c r="AH181" s="156">
        <f t="shared" si="219"/>
        <v>3105.3124480000006</v>
      </c>
      <c r="AI181" s="156">
        <f t="shared" si="220"/>
        <v>1552.6562240000003</v>
      </c>
      <c r="AJ181" s="156">
        <f t="shared" si="221"/>
        <v>3105.3124480000006</v>
      </c>
      <c r="AK181" s="156">
        <f t="shared" si="222"/>
        <v>3105.3124480000006</v>
      </c>
      <c r="AL181" s="156">
        <f t="shared" si="223"/>
        <v>10868.593568000002</v>
      </c>
      <c r="AM181" s="157">
        <f t="shared" si="224"/>
        <v>47782.995293599997</v>
      </c>
      <c r="AN181" s="158">
        <f t="shared" si="225"/>
        <v>2200</v>
      </c>
      <c r="AO181" s="159">
        <v>0.2</v>
      </c>
      <c r="AP181" s="160">
        <f t="shared" si="226"/>
        <v>1269611611.9644103</v>
      </c>
      <c r="AQ181" s="161">
        <f t="shared" si="227"/>
        <v>352669.92042592756</v>
      </c>
      <c r="AR181" s="162">
        <f t="shared" si="228"/>
        <v>70533.984085185512</v>
      </c>
      <c r="AS181" s="163">
        <f t="shared" si="229"/>
        <v>10.064780834073275</v>
      </c>
      <c r="AT181" s="233">
        <f t="shared" si="230"/>
        <v>10.064780834073275</v>
      </c>
      <c r="AU181" s="187"/>
      <c r="AV181" s="166"/>
      <c r="AW181" s="167"/>
      <c r="AX181" s="146"/>
      <c r="AY181" s="168"/>
    </row>
    <row r="182" spans="1:51" ht="10.9" customHeight="1" x14ac:dyDescent="0.25">
      <c r="B182" s="140">
        <v>6</v>
      </c>
      <c r="C182" s="63" t="s">
        <v>223</v>
      </c>
      <c r="D182" s="235"/>
      <c r="E182" s="236">
        <v>536980</v>
      </c>
      <c r="F182" s="236">
        <v>543020</v>
      </c>
      <c r="G182" s="236">
        <v>549060</v>
      </c>
      <c r="H182" s="236">
        <v>555099</v>
      </c>
      <c r="I182" s="236">
        <v>561955</v>
      </c>
      <c r="J182" s="236">
        <v>566542</v>
      </c>
      <c r="K182" s="236">
        <v>571107</v>
      </c>
      <c r="L182" s="236">
        <v>575648</v>
      </c>
      <c r="M182" s="236">
        <v>580163</v>
      </c>
      <c r="N182" s="236">
        <v>584277</v>
      </c>
      <c r="O182" s="236">
        <v>590620</v>
      </c>
      <c r="P182" s="237"/>
      <c r="Q182" s="223">
        <f t="shared" si="212"/>
        <v>590620</v>
      </c>
      <c r="R182" s="147">
        <f>Q182*$R$9</f>
        <v>86230.51999999999</v>
      </c>
      <c r="S182" s="147">
        <f t="shared" si="213"/>
        <v>236.24799999999996</v>
      </c>
      <c r="T182" s="148">
        <f>S182*$T$5*$T$9</f>
        <v>60361.363999999987</v>
      </c>
      <c r="U182" s="199"/>
      <c r="V182" s="150"/>
      <c r="W182" s="249"/>
      <c r="X182" s="249"/>
      <c r="Y182" s="152"/>
      <c r="Z182" s="153"/>
      <c r="AA182" s="153"/>
      <c r="AB182" s="154"/>
      <c r="AC182" s="155">
        <f t="shared" si="214"/>
        <v>35009.59111999999</v>
      </c>
      <c r="AD182" s="156">
        <f t="shared" si="215"/>
        <v>7846.9773199999981</v>
      </c>
      <c r="AE182" s="156">
        <f t="shared" si="216"/>
        <v>5296.7096909999982</v>
      </c>
      <c r="AF182" s="156">
        <f t="shared" si="217"/>
        <v>2414.4545599999997</v>
      </c>
      <c r="AG182" s="156">
        <f t="shared" si="218"/>
        <v>1207.2272799999998</v>
      </c>
      <c r="AH182" s="156">
        <f t="shared" si="219"/>
        <v>1207.2272799999998</v>
      </c>
      <c r="AI182" s="156">
        <f t="shared" si="220"/>
        <v>603.61363999999992</v>
      </c>
      <c r="AJ182" s="156">
        <f t="shared" si="221"/>
        <v>1207.2272799999998</v>
      </c>
      <c r="AK182" s="156">
        <f t="shared" si="222"/>
        <v>1207.2272799999998</v>
      </c>
      <c r="AL182" s="156">
        <f t="shared" si="223"/>
        <v>4225.2954799999998</v>
      </c>
      <c r="AM182" s="157">
        <f t="shared" si="224"/>
        <v>18576.209770999994</v>
      </c>
      <c r="AN182" s="158">
        <f t="shared" si="225"/>
        <v>2200</v>
      </c>
      <c r="AO182" s="159">
        <v>0.2</v>
      </c>
      <c r="AP182" s="160">
        <f t="shared" si="226"/>
        <v>493576668.57496518</v>
      </c>
      <c r="AQ182" s="161">
        <f t="shared" si="227"/>
        <v>137104.64112808296</v>
      </c>
      <c r="AR182" s="162">
        <f t="shared" si="228"/>
        <v>27420.928225616593</v>
      </c>
      <c r="AS182" s="163">
        <f t="shared" si="229"/>
        <v>3.912803685162185</v>
      </c>
      <c r="AT182" s="164">
        <f t="shared" si="230"/>
        <v>3.912803685162185</v>
      </c>
      <c r="AU182" s="165"/>
      <c r="AV182" s="166"/>
      <c r="AW182" s="167"/>
      <c r="AX182" s="146"/>
      <c r="AY182" s="168"/>
    </row>
    <row r="183" spans="1:51" ht="10.9" customHeight="1" x14ac:dyDescent="0.25">
      <c r="B183" s="140">
        <v>7</v>
      </c>
      <c r="C183" s="63" t="s">
        <v>224</v>
      </c>
      <c r="D183" s="235"/>
      <c r="E183" s="236">
        <v>358164</v>
      </c>
      <c r="F183" s="236">
        <v>358724</v>
      </c>
      <c r="G183" s="236">
        <v>359284</v>
      </c>
      <c r="H183" s="236">
        <v>359844</v>
      </c>
      <c r="I183" s="236">
        <v>380373</v>
      </c>
      <c r="J183" s="236">
        <v>385555</v>
      </c>
      <c r="K183" s="236">
        <v>390766</v>
      </c>
      <c r="L183" s="236">
        <v>396005</v>
      </c>
      <c r="M183" s="236">
        <v>401272</v>
      </c>
      <c r="N183" s="236">
        <v>406123</v>
      </c>
      <c r="O183" s="236">
        <v>410532</v>
      </c>
      <c r="P183" s="237"/>
      <c r="Q183" s="223">
        <f t="shared" si="212"/>
        <v>410532</v>
      </c>
      <c r="R183" s="147">
        <f>Q183*$R$10</f>
        <v>45158.52</v>
      </c>
      <c r="S183" s="147">
        <f t="shared" si="213"/>
        <v>123.72197260273971</v>
      </c>
      <c r="T183" s="148">
        <f>S183*$T$5*$T$10</f>
        <v>27095.111999999997</v>
      </c>
      <c r="U183" s="199"/>
      <c r="V183" s="150"/>
      <c r="W183" s="249"/>
      <c r="X183" s="249"/>
      <c r="Y183" s="152"/>
      <c r="Z183" s="153"/>
      <c r="AA183" s="153"/>
      <c r="AB183" s="154"/>
      <c r="AC183" s="155">
        <f t="shared" si="214"/>
        <v>15715.164959999998</v>
      </c>
      <c r="AD183" s="156">
        <f t="shared" si="215"/>
        <v>3522.36456</v>
      </c>
      <c r="AE183" s="156">
        <f t="shared" si="216"/>
        <v>2377.5960779999996</v>
      </c>
      <c r="AF183" s="156">
        <f t="shared" si="217"/>
        <v>1083.80448</v>
      </c>
      <c r="AG183" s="156">
        <f t="shared" si="218"/>
        <v>541.90224000000001</v>
      </c>
      <c r="AH183" s="156">
        <f t="shared" si="219"/>
        <v>541.90224000000001</v>
      </c>
      <c r="AI183" s="156">
        <f t="shared" si="220"/>
        <v>270.95112</v>
      </c>
      <c r="AJ183" s="156">
        <f t="shared" si="221"/>
        <v>541.90224000000001</v>
      </c>
      <c r="AK183" s="156">
        <f t="shared" si="222"/>
        <v>541.90224000000001</v>
      </c>
      <c r="AL183" s="156">
        <f t="shared" si="223"/>
        <v>1896.6578400000001</v>
      </c>
      <c r="AM183" s="157">
        <f t="shared" si="224"/>
        <v>8338.5207179999998</v>
      </c>
      <c r="AN183" s="158">
        <f t="shared" si="225"/>
        <v>2200</v>
      </c>
      <c r="AO183" s="159">
        <v>0.2</v>
      </c>
      <c r="AP183" s="160">
        <f t="shared" si="226"/>
        <v>221557536.63263083</v>
      </c>
      <c r="AQ183" s="161">
        <f t="shared" si="227"/>
        <v>61543.765099231598</v>
      </c>
      <c r="AR183" s="162">
        <f t="shared" si="228"/>
        <v>12308.753019846321</v>
      </c>
      <c r="AS183" s="163">
        <f t="shared" si="229"/>
        <v>1.7563859902748746</v>
      </c>
      <c r="AT183" s="164">
        <f t="shared" si="230"/>
        <v>1.7563859902748746</v>
      </c>
      <c r="AU183" s="165"/>
      <c r="AV183" s="166"/>
      <c r="AW183" s="167"/>
      <c r="AX183" s="146"/>
      <c r="AY183" s="168"/>
    </row>
    <row r="184" spans="1:51" ht="10.9" customHeight="1" x14ac:dyDescent="0.25">
      <c r="B184" s="140">
        <v>8</v>
      </c>
      <c r="C184" s="258" t="s">
        <v>225</v>
      </c>
      <c r="D184" s="235"/>
      <c r="E184" s="236">
        <v>702247</v>
      </c>
      <c r="F184" s="236">
        <v>712671</v>
      </c>
      <c r="G184" s="236">
        <v>723096</v>
      </c>
      <c r="H184" s="236">
        <v>733520</v>
      </c>
      <c r="I184" s="236">
        <v>765283</v>
      </c>
      <c r="J184" s="236">
        <v>779254</v>
      </c>
      <c r="K184" s="236">
        <v>793434</v>
      </c>
      <c r="L184" s="236">
        <v>807830</v>
      </c>
      <c r="M184" s="236">
        <v>388766</v>
      </c>
      <c r="N184" s="236">
        <v>397906</v>
      </c>
      <c r="O184" s="236">
        <v>402226</v>
      </c>
      <c r="P184" s="237"/>
      <c r="Q184" s="223">
        <f t="shared" si="212"/>
        <v>807830</v>
      </c>
      <c r="R184" s="147">
        <f>Q184*$R$9</f>
        <v>117943.18</v>
      </c>
      <c r="S184" s="147">
        <f t="shared" si="213"/>
        <v>323.13200000000001</v>
      </c>
      <c r="T184" s="148">
        <f>S184*$T$5*$T$9</f>
        <v>82560.225999999995</v>
      </c>
      <c r="U184" s="199"/>
      <c r="V184" s="150"/>
      <c r="W184" s="249"/>
      <c r="X184" s="249"/>
      <c r="Y184" s="152"/>
      <c r="Z184" s="153"/>
      <c r="AA184" s="153"/>
      <c r="AB184" s="154"/>
      <c r="AC184" s="155">
        <f t="shared" si="214"/>
        <v>47884.931079999995</v>
      </c>
      <c r="AD184" s="156">
        <f t="shared" si="215"/>
        <v>10732.829379999999</v>
      </c>
      <c r="AE184" s="156">
        <f t="shared" si="216"/>
        <v>7244.6598314999992</v>
      </c>
      <c r="AF184" s="156">
        <f t="shared" si="217"/>
        <v>3302.40904</v>
      </c>
      <c r="AG184" s="156">
        <f t="shared" si="218"/>
        <v>1651.20452</v>
      </c>
      <c r="AH184" s="156">
        <f t="shared" si="219"/>
        <v>1651.20452</v>
      </c>
      <c r="AI184" s="156">
        <f t="shared" si="220"/>
        <v>825.60226</v>
      </c>
      <c r="AJ184" s="156">
        <f t="shared" si="221"/>
        <v>1651.20452</v>
      </c>
      <c r="AK184" s="156">
        <f t="shared" si="222"/>
        <v>1651.20452</v>
      </c>
      <c r="AL184" s="156">
        <f t="shared" si="223"/>
        <v>5779.2158200000003</v>
      </c>
      <c r="AM184" s="157">
        <f t="shared" si="224"/>
        <v>25407.909551499994</v>
      </c>
      <c r="AN184" s="158">
        <f t="shared" si="225"/>
        <v>2200</v>
      </c>
      <c r="AO184" s="159">
        <v>0.2</v>
      </c>
      <c r="AP184" s="160">
        <f t="shared" si="226"/>
        <v>675097423.34312117</v>
      </c>
      <c r="AQ184" s="161">
        <f t="shared" si="227"/>
        <v>187527.07704192083</v>
      </c>
      <c r="AR184" s="162">
        <f t="shared" si="228"/>
        <v>37505.415408384164</v>
      </c>
      <c r="AS184" s="163">
        <f t="shared" si="229"/>
        <v>5.3518001438904346</v>
      </c>
      <c r="AT184" s="233">
        <f t="shared" si="230"/>
        <v>5.3518001438904346</v>
      </c>
      <c r="AU184" s="187"/>
      <c r="AV184" s="166"/>
      <c r="AW184" s="167"/>
      <c r="AX184" s="146"/>
      <c r="AY184" s="168"/>
    </row>
    <row r="185" spans="1:51" ht="10.9" customHeight="1" x14ac:dyDescent="0.25">
      <c r="B185" s="140">
        <v>9</v>
      </c>
      <c r="C185" s="63" t="s">
        <v>226</v>
      </c>
      <c r="D185" s="235"/>
      <c r="E185" s="236"/>
      <c r="F185" s="236"/>
      <c r="G185" s="236"/>
      <c r="H185" s="236"/>
      <c r="I185" s="236"/>
      <c r="J185" s="236"/>
      <c r="K185" s="236">
        <v>384333</v>
      </c>
      <c r="L185" s="236">
        <v>389289</v>
      </c>
      <c r="M185" s="236">
        <v>394267</v>
      </c>
      <c r="N185" s="236">
        <v>398848</v>
      </c>
      <c r="O185" s="236">
        <v>403178</v>
      </c>
      <c r="P185" s="237"/>
      <c r="Q185" s="223">
        <f t="shared" si="212"/>
        <v>403178</v>
      </c>
      <c r="R185" s="147">
        <f>Q185*$R$10</f>
        <v>44349.58</v>
      </c>
      <c r="S185" s="147">
        <f t="shared" si="213"/>
        <v>121.50569863013699</v>
      </c>
      <c r="T185" s="148">
        <f>S185*$T$5*$T$10</f>
        <v>26609.748</v>
      </c>
      <c r="U185" s="199"/>
      <c r="V185" s="150"/>
      <c r="W185" s="249"/>
      <c r="X185" s="249"/>
      <c r="Y185" s="152"/>
      <c r="Z185" s="153"/>
      <c r="AA185" s="153"/>
      <c r="AB185" s="154"/>
      <c r="AC185" s="155">
        <f t="shared" si="214"/>
        <v>15433.653839999999</v>
      </c>
      <c r="AD185" s="156">
        <f t="shared" si="215"/>
        <v>3459.2672400000001</v>
      </c>
      <c r="AE185" s="156">
        <f t="shared" si="216"/>
        <v>2335.0053869999997</v>
      </c>
      <c r="AF185" s="156">
        <f t="shared" si="217"/>
        <v>1064.3899200000001</v>
      </c>
      <c r="AG185" s="156">
        <f t="shared" si="218"/>
        <v>532.19496000000004</v>
      </c>
      <c r="AH185" s="156">
        <f t="shared" si="219"/>
        <v>532.19496000000004</v>
      </c>
      <c r="AI185" s="156">
        <f t="shared" si="220"/>
        <v>266.09748000000002</v>
      </c>
      <c r="AJ185" s="156">
        <f t="shared" si="221"/>
        <v>532.19496000000004</v>
      </c>
      <c r="AK185" s="156">
        <f t="shared" si="222"/>
        <v>532.19496000000004</v>
      </c>
      <c r="AL185" s="156">
        <f t="shared" si="223"/>
        <v>1862.6823600000002</v>
      </c>
      <c r="AM185" s="157">
        <f t="shared" si="224"/>
        <v>8189.1499469999999</v>
      </c>
      <c r="AN185" s="158">
        <f t="shared" si="225"/>
        <v>2200</v>
      </c>
      <c r="AO185" s="159">
        <v>0.2</v>
      </c>
      <c r="AP185" s="160">
        <f t="shared" si="226"/>
        <v>217588700.76990548</v>
      </c>
      <c r="AQ185" s="161">
        <f t="shared" si="227"/>
        <v>60441.310604722647</v>
      </c>
      <c r="AR185" s="162">
        <f t="shared" si="228"/>
        <v>12088.26212094453</v>
      </c>
      <c r="AS185" s="163">
        <f t="shared" si="229"/>
        <v>1.7249232478516738</v>
      </c>
      <c r="AT185" s="164">
        <f t="shared" si="230"/>
        <v>1.7249232478516738</v>
      </c>
      <c r="AU185" s="165"/>
      <c r="AV185" s="166"/>
      <c r="AW185" s="167"/>
      <c r="AX185" s="146"/>
      <c r="AY185" s="168"/>
    </row>
    <row r="186" spans="1:51" ht="10.9" customHeight="1" x14ac:dyDescent="0.25">
      <c r="B186" s="140">
        <v>10</v>
      </c>
      <c r="C186" s="63" t="s">
        <v>227</v>
      </c>
      <c r="D186" s="235"/>
      <c r="E186" s="236"/>
      <c r="F186" s="236"/>
      <c r="G186" s="236"/>
      <c r="H186" s="236"/>
      <c r="I186" s="236"/>
      <c r="J186" s="236"/>
      <c r="K186" s="236"/>
      <c r="L186" s="236"/>
      <c r="M186" s="236">
        <v>363683</v>
      </c>
      <c r="N186" s="236">
        <v>365369</v>
      </c>
      <c r="O186" s="236">
        <v>369336</v>
      </c>
      <c r="P186" s="237"/>
      <c r="Q186" s="223">
        <f t="shared" si="212"/>
        <v>369336</v>
      </c>
      <c r="R186" s="147">
        <f>Q186*$R$10</f>
        <v>40626.959999999999</v>
      </c>
      <c r="S186" s="147">
        <f t="shared" si="213"/>
        <v>111.30673972602739</v>
      </c>
      <c r="T186" s="148">
        <f>S186*$T$5*$T$10</f>
        <v>24376.175999999999</v>
      </c>
      <c r="U186" s="199"/>
      <c r="V186" s="150"/>
      <c r="W186" s="249"/>
      <c r="X186" s="249"/>
      <c r="Y186" s="152"/>
      <c r="Z186" s="153"/>
      <c r="AA186" s="153"/>
      <c r="AB186" s="154"/>
      <c r="AC186" s="155">
        <f t="shared" si="214"/>
        <v>14138.182079999999</v>
      </c>
      <c r="AD186" s="156">
        <f t="shared" si="215"/>
        <v>3168.9028800000001</v>
      </c>
      <c r="AE186" s="156">
        <f t="shared" si="216"/>
        <v>2139.0094439999998</v>
      </c>
      <c r="AF186" s="156">
        <f t="shared" si="217"/>
        <v>975.04704000000004</v>
      </c>
      <c r="AG186" s="156">
        <f t="shared" si="218"/>
        <v>487.52352000000002</v>
      </c>
      <c r="AH186" s="156">
        <f t="shared" si="219"/>
        <v>487.52352000000002</v>
      </c>
      <c r="AI186" s="156">
        <f t="shared" si="220"/>
        <v>243.76176000000001</v>
      </c>
      <c r="AJ186" s="156">
        <f t="shared" si="221"/>
        <v>487.52352000000002</v>
      </c>
      <c r="AK186" s="156">
        <f t="shared" si="222"/>
        <v>487.52352000000002</v>
      </c>
      <c r="AL186" s="156">
        <f t="shared" si="223"/>
        <v>1706.3323200000002</v>
      </c>
      <c r="AM186" s="157">
        <f t="shared" si="224"/>
        <v>7501.7681640000001</v>
      </c>
      <c r="AN186" s="158">
        <f t="shared" si="225"/>
        <v>2200</v>
      </c>
      <c r="AO186" s="159">
        <v>0.2</v>
      </c>
      <c r="AP186" s="160">
        <f t="shared" si="226"/>
        <v>199324716.09947422</v>
      </c>
      <c r="AQ186" s="161">
        <f t="shared" si="227"/>
        <v>55367.981123736528</v>
      </c>
      <c r="AR186" s="162">
        <f t="shared" si="228"/>
        <v>11073.596224747307</v>
      </c>
      <c r="AS186" s="163">
        <f t="shared" si="229"/>
        <v>1.5801364475952209</v>
      </c>
      <c r="AT186" s="164">
        <f t="shared" si="230"/>
        <v>1.5801364475952209</v>
      </c>
      <c r="AU186" s="165"/>
      <c r="AV186" s="166"/>
      <c r="AW186" s="167"/>
      <c r="AX186" s="146"/>
      <c r="AY186" s="168"/>
    </row>
    <row r="187" spans="1:51" ht="10.9" customHeight="1" x14ac:dyDescent="0.25">
      <c r="B187" s="140">
        <v>11</v>
      </c>
      <c r="C187" s="63" t="s">
        <v>228</v>
      </c>
      <c r="D187" s="235"/>
      <c r="E187" s="236"/>
      <c r="F187" s="236"/>
      <c r="G187" s="236"/>
      <c r="H187" s="236"/>
      <c r="I187" s="236"/>
      <c r="J187" s="236"/>
      <c r="K187" s="236"/>
      <c r="L187" s="236"/>
      <c r="M187" s="236">
        <v>185518</v>
      </c>
      <c r="N187" s="236">
        <v>187407</v>
      </c>
      <c r="O187" s="236">
        <v>189442</v>
      </c>
      <c r="P187" s="237"/>
      <c r="Q187" s="223">
        <f t="shared" si="212"/>
        <v>189442</v>
      </c>
      <c r="R187" s="147">
        <f>Q187*$R$10</f>
        <v>20838.62</v>
      </c>
      <c r="S187" s="147">
        <f t="shared" si="213"/>
        <v>57.092109589041094</v>
      </c>
      <c r="T187" s="148">
        <f>S187*$T$5*$T$10</f>
        <v>12503.171999999999</v>
      </c>
      <c r="U187" s="199"/>
      <c r="V187" s="150"/>
      <c r="W187" s="249"/>
      <c r="X187" s="249"/>
      <c r="Y187" s="152"/>
      <c r="Z187" s="153"/>
      <c r="AA187" s="153"/>
      <c r="AB187" s="154"/>
      <c r="AC187" s="155">
        <f t="shared" si="214"/>
        <v>7251.8397599999989</v>
      </c>
      <c r="AD187" s="156">
        <f t="shared" si="215"/>
        <v>1625.4123599999998</v>
      </c>
      <c r="AE187" s="156">
        <f t="shared" si="216"/>
        <v>1097.1533429999997</v>
      </c>
      <c r="AF187" s="156">
        <f t="shared" si="217"/>
        <v>500.12687999999997</v>
      </c>
      <c r="AG187" s="156">
        <f t="shared" si="218"/>
        <v>250.06343999999999</v>
      </c>
      <c r="AH187" s="156">
        <f t="shared" si="219"/>
        <v>250.06343999999999</v>
      </c>
      <c r="AI187" s="156">
        <f t="shared" si="220"/>
        <v>125.03171999999999</v>
      </c>
      <c r="AJ187" s="156">
        <f t="shared" si="221"/>
        <v>250.06343999999999</v>
      </c>
      <c r="AK187" s="156">
        <f t="shared" si="222"/>
        <v>250.06343999999999</v>
      </c>
      <c r="AL187" s="156">
        <f t="shared" si="223"/>
        <v>875.22203999999999</v>
      </c>
      <c r="AM187" s="157">
        <f t="shared" si="224"/>
        <v>3847.8511829999989</v>
      </c>
      <c r="AN187" s="158">
        <f t="shared" si="225"/>
        <v>2200</v>
      </c>
      <c r="AO187" s="159">
        <v>0.2</v>
      </c>
      <c r="AP187" s="160">
        <f t="shared" si="226"/>
        <v>102238809.28833526</v>
      </c>
      <c r="AQ187" s="161">
        <f t="shared" si="227"/>
        <v>28399.671518733336</v>
      </c>
      <c r="AR187" s="162">
        <f t="shared" si="228"/>
        <v>5679.9343037466679</v>
      </c>
      <c r="AS187" s="163">
        <f t="shared" si="229"/>
        <v>0.81049290863965007</v>
      </c>
      <c r="AT187" s="164">
        <f t="shared" si="230"/>
        <v>0.81049290863965007</v>
      </c>
      <c r="AU187" s="165"/>
      <c r="AV187" s="166"/>
      <c r="AW187" s="167"/>
      <c r="AX187" s="146"/>
      <c r="AY187" s="168"/>
    </row>
    <row r="188" spans="1:51" ht="10.9" customHeight="1" x14ac:dyDescent="0.25">
      <c r="B188" s="140">
        <v>12</v>
      </c>
      <c r="C188" s="63" t="s">
        <v>229</v>
      </c>
      <c r="D188" s="235"/>
      <c r="E188" s="236"/>
      <c r="F188" s="236"/>
      <c r="G188" s="236"/>
      <c r="H188" s="236"/>
      <c r="I188" s="236"/>
      <c r="J188" s="236"/>
      <c r="K188" s="236"/>
      <c r="L188" s="236"/>
      <c r="M188" s="236">
        <v>48154</v>
      </c>
      <c r="N188" s="236">
        <v>50707</v>
      </c>
      <c r="O188" s="236">
        <v>253429</v>
      </c>
      <c r="P188" s="237"/>
      <c r="Q188" s="223">
        <f t="shared" si="212"/>
        <v>253429</v>
      </c>
      <c r="R188" s="147">
        <f>Q188*$R$10</f>
        <v>27877.19</v>
      </c>
      <c r="S188" s="147">
        <f t="shared" si="213"/>
        <v>76.37586301369862</v>
      </c>
      <c r="T188" s="148">
        <f>S188*$T$5*$T$10</f>
        <v>16726.313999999995</v>
      </c>
      <c r="U188" s="199"/>
      <c r="V188" s="150"/>
      <c r="W188" s="249"/>
      <c r="X188" s="249"/>
      <c r="Y188" s="152"/>
      <c r="Z188" s="153"/>
      <c r="AA188" s="153"/>
      <c r="AB188" s="154"/>
      <c r="AC188" s="155">
        <f t="shared" si="214"/>
        <v>9701.2621199999958</v>
      </c>
      <c r="AD188" s="156">
        <f t="shared" si="215"/>
        <v>2174.4208199999994</v>
      </c>
      <c r="AE188" s="156">
        <f t="shared" si="216"/>
        <v>1467.7340534999994</v>
      </c>
      <c r="AF188" s="156">
        <f t="shared" si="217"/>
        <v>669.05255999999986</v>
      </c>
      <c r="AG188" s="156">
        <f t="shared" si="218"/>
        <v>334.52627999999993</v>
      </c>
      <c r="AH188" s="156">
        <f t="shared" si="219"/>
        <v>334.52627999999993</v>
      </c>
      <c r="AI188" s="156">
        <f t="shared" si="220"/>
        <v>167.26313999999996</v>
      </c>
      <c r="AJ188" s="156">
        <f t="shared" si="221"/>
        <v>334.52627999999993</v>
      </c>
      <c r="AK188" s="156">
        <f t="shared" si="222"/>
        <v>334.52627999999993</v>
      </c>
      <c r="AL188" s="156">
        <f t="shared" si="223"/>
        <v>1170.8419799999997</v>
      </c>
      <c r="AM188" s="157">
        <f t="shared" si="224"/>
        <v>5147.5231334999989</v>
      </c>
      <c r="AN188" s="158">
        <f t="shared" si="225"/>
        <v>2200</v>
      </c>
      <c r="AO188" s="159">
        <v>0.2</v>
      </c>
      <c r="AP188" s="160">
        <f t="shared" si="226"/>
        <v>136771567.01857832</v>
      </c>
      <c r="AQ188" s="161">
        <f t="shared" si="227"/>
        <v>37992.104988973246</v>
      </c>
      <c r="AR188" s="162">
        <f t="shared" si="228"/>
        <v>7598.4209977946493</v>
      </c>
      <c r="AS188" s="163">
        <f t="shared" si="229"/>
        <v>1.0842495716031177</v>
      </c>
      <c r="AT188" s="164">
        <f t="shared" si="230"/>
        <v>1.0842495716031177</v>
      </c>
      <c r="AU188" s="165"/>
      <c r="AV188" s="166"/>
      <c r="AW188" s="167"/>
      <c r="AX188" s="146"/>
      <c r="AY188" s="168"/>
    </row>
    <row r="189" spans="1:51" ht="10.9" customHeight="1" x14ac:dyDescent="0.25">
      <c r="B189" s="140">
        <v>13</v>
      </c>
      <c r="C189" s="258" t="s">
        <v>230</v>
      </c>
      <c r="D189" s="235"/>
      <c r="E189" s="236">
        <v>754892</v>
      </c>
      <c r="F189" s="236">
        <v>767036</v>
      </c>
      <c r="G189" s="236">
        <v>779179</v>
      </c>
      <c r="H189" s="236">
        <v>788937</v>
      </c>
      <c r="I189" s="236">
        <v>816788</v>
      </c>
      <c r="J189" s="236">
        <v>829783</v>
      </c>
      <c r="K189" s="236">
        <v>824896</v>
      </c>
      <c r="L189" s="236">
        <v>856126</v>
      </c>
      <c r="M189" s="236">
        <v>869470</v>
      </c>
      <c r="N189" s="236">
        <v>881801</v>
      </c>
      <c r="O189" s="236">
        <v>891374</v>
      </c>
      <c r="P189" s="237"/>
      <c r="Q189" s="223">
        <f t="shared" si="212"/>
        <v>891374</v>
      </c>
      <c r="R189" s="147">
        <f>Q189*$R$9</f>
        <v>130140.60399999999</v>
      </c>
      <c r="S189" s="147">
        <f t="shared" si="213"/>
        <v>356.5496</v>
      </c>
      <c r="T189" s="148">
        <f>S189*$T$5*$T$9</f>
        <v>91098.422799999986</v>
      </c>
      <c r="U189" s="199"/>
      <c r="V189" s="150"/>
      <c r="W189" s="249"/>
      <c r="X189" s="249"/>
      <c r="Y189" s="152"/>
      <c r="Z189" s="153"/>
      <c r="AA189" s="153"/>
      <c r="AB189" s="154"/>
      <c r="AC189" s="155">
        <f t="shared" si="214"/>
        <v>52837.085223999988</v>
      </c>
      <c r="AD189" s="156">
        <f t="shared" si="215"/>
        <v>11842.794963999999</v>
      </c>
      <c r="AE189" s="156">
        <f t="shared" si="216"/>
        <v>7993.8866006999979</v>
      </c>
      <c r="AF189" s="156">
        <f t="shared" si="217"/>
        <v>3643.9369119999997</v>
      </c>
      <c r="AG189" s="156">
        <f t="shared" si="218"/>
        <v>1821.9684559999998</v>
      </c>
      <c r="AH189" s="156">
        <f t="shared" si="219"/>
        <v>1821.9684559999998</v>
      </c>
      <c r="AI189" s="156">
        <f t="shared" si="220"/>
        <v>910.98422799999992</v>
      </c>
      <c r="AJ189" s="156">
        <f t="shared" si="221"/>
        <v>1821.9684559999998</v>
      </c>
      <c r="AK189" s="156">
        <f t="shared" si="222"/>
        <v>1821.9684559999998</v>
      </c>
      <c r="AL189" s="156">
        <f t="shared" si="223"/>
        <v>6376.889596</v>
      </c>
      <c r="AM189" s="157">
        <f t="shared" si="224"/>
        <v>28035.539616699996</v>
      </c>
      <c r="AN189" s="158">
        <f t="shared" si="225"/>
        <v>2200</v>
      </c>
      <c r="AO189" s="159">
        <v>0.2</v>
      </c>
      <c r="AP189" s="160">
        <f t="shared" si="226"/>
        <v>744914512.50269377</v>
      </c>
      <c r="AQ189" s="161">
        <f t="shared" si="227"/>
        <v>206920.71447107077</v>
      </c>
      <c r="AR189" s="162">
        <f t="shared" si="228"/>
        <v>41384.142894214157</v>
      </c>
      <c r="AS189" s="163">
        <f t="shared" si="229"/>
        <v>5.9052715317086415</v>
      </c>
      <c r="AT189" s="233">
        <f t="shared" si="230"/>
        <v>5.9052715317086415</v>
      </c>
      <c r="AU189" s="187"/>
      <c r="AV189" s="166"/>
      <c r="AW189" s="167"/>
      <c r="AX189" s="146"/>
      <c r="AY189" s="168"/>
    </row>
    <row r="190" spans="1:51" ht="10.9" customHeight="1" x14ac:dyDescent="0.25">
      <c r="B190" s="140">
        <v>14</v>
      </c>
      <c r="C190" s="63" t="s">
        <v>231</v>
      </c>
      <c r="D190" s="235"/>
      <c r="E190" s="236">
        <v>119771</v>
      </c>
      <c r="F190" s="236">
        <v>121094</v>
      </c>
      <c r="G190" s="236">
        <v>122417</v>
      </c>
      <c r="H190" s="236">
        <v>123740</v>
      </c>
      <c r="I190" s="236">
        <v>132501</v>
      </c>
      <c r="J190" s="236">
        <v>135070</v>
      </c>
      <c r="K190" s="236">
        <v>137674</v>
      </c>
      <c r="L190" s="236">
        <v>140314</v>
      </c>
      <c r="M190" s="236">
        <v>142988</v>
      </c>
      <c r="N190" s="236">
        <v>145471</v>
      </c>
      <c r="O190" s="236">
        <v>147050</v>
      </c>
      <c r="P190" s="237"/>
      <c r="Q190" s="223">
        <f>MAX(D190:P190)</f>
        <v>147050</v>
      </c>
      <c r="R190" s="147">
        <f>Q190*$R$10</f>
        <v>16175.5</v>
      </c>
      <c r="S190" s="147">
        <f t="shared" si="213"/>
        <v>44.316438356164383</v>
      </c>
      <c r="T190" s="148">
        <f>S190*$T$5*$T$10</f>
        <v>9705.2999999999993</v>
      </c>
      <c r="U190" s="199"/>
      <c r="V190" s="150"/>
      <c r="W190" s="249"/>
      <c r="X190" s="249"/>
      <c r="Y190" s="152"/>
      <c r="Z190" s="153"/>
      <c r="AA190" s="153"/>
      <c r="AB190" s="154"/>
      <c r="AC190" s="155">
        <f t="shared" si="214"/>
        <v>5629.0739999999996</v>
      </c>
      <c r="AD190" s="156">
        <f t="shared" si="215"/>
        <v>1261.6889999999999</v>
      </c>
      <c r="AE190" s="156">
        <f t="shared" si="216"/>
        <v>851.64007499999991</v>
      </c>
      <c r="AF190" s="156">
        <f t="shared" si="217"/>
        <v>388.21199999999999</v>
      </c>
      <c r="AG190" s="156">
        <f t="shared" si="218"/>
        <v>194.10599999999999</v>
      </c>
      <c r="AH190" s="156">
        <f t="shared" si="219"/>
        <v>194.10599999999999</v>
      </c>
      <c r="AI190" s="156">
        <f t="shared" si="220"/>
        <v>97.052999999999997</v>
      </c>
      <c r="AJ190" s="156">
        <f t="shared" si="221"/>
        <v>194.10599999999999</v>
      </c>
      <c r="AK190" s="156">
        <f t="shared" si="222"/>
        <v>194.10599999999999</v>
      </c>
      <c r="AL190" s="156">
        <f t="shared" si="223"/>
        <v>679.37099999999998</v>
      </c>
      <c r="AM190" s="157">
        <f t="shared" si="224"/>
        <v>2986.8060749999995</v>
      </c>
      <c r="AN190" s="158">
        <f t="shared" si="225"/>
        <v>2200</v>
      </c>
      <c r="AO190" s="159">
        <v>0.2</v>
      </c>
      <c r="AP190" s="160">
        <f t="shared" si="226"/>
        <v>79360526.735621989</v>
      </c>
      <c r="AQ190" s="161">
        <f t="shared" si="227"/>
        <v>22044.592523462255</v>
      </c>
      <c r="AR190" s="162">
        <f t="shared" si="228"/>
        <v>4408.9185046924513</v>
      </c>
      <c r="AS190" s="163">
        <f t="shared" si="229"/>
        <v>0.62912649895725614</v>
      </c>
      <c r="AT190" s="164">
        <f t="shared" si="230"/>
        <v>0.62912649895725614</v>
      </c>
      <c r="AU190" s="165"/>
      <c r="AV190" s="166"/>
      <c r="AW190" s="167"/>
      <c r="AX190" s="146"/>
      <c r="AY190" s="168"/>
    </row>
    <row r="191" spans="1:51" s="263" customFormat="1" ht="17.25" customHeight="1" x14ac:dyDescent="0.25">
      <c r="A191" s="173"/>
      <c r="B191" s="225"/>
      <c r="C191" s="258" t="s">
        <v>232</v>
      </c>
      <c r="D191" s="240">
        <f t="shared" ref="D191:AM191" si="231">SUM(D177:D190)</f>
        <v>0</v>
      </c>
      <c r="E191" s="240">
        <f t="shared" si="231"/>
        <v>6722314</v>
      </c>
      <c r="F191" s="240">
        <f t="shared" si="231"/>
        <v>6787654</v>
      </c>
      <c r="G191" s="240">
        <f t="shared" si="231"/>
        <v>6852999</v>
      </c>
      <c r="H191" s="240">
        <f t="shared" si="231"/>
        <v>6915950</v>
      </c>
      <c r="I191" s="240">
        <f t="shared" si="231"/>
        <v>7172831</v>
      </c>
      <c r="J191" s="240">
        <f t="shared" si="231"/>
        <v>7260588</v>
      </c>
      <c r="K191" s="240">
        <f t="shared" si="231"/>
        <v>7330788</v>
      </c>
      <c r="L191" s="240">
        <f t="shared" si="231"/>
        <v>7437414</v>
      </c>
      <c r="M191" s="240">
        <f t="shared" si="231"/>
        <v>7326388</v>
      </c>
      <c r="N191" s="240">
        <f t="shared" si="231"/>
        <v>7408405</v>
      </c>
      <c r="O191" s="240">
        <f t="shared" si="231"/>
        <v>7691007</v>
      </c>
      <c r="P191" s="240">
        <f t="shared" si="231"/>
        <v>0</v>
      </c>
      <c r="Q191" s="240">
        <f t="shared" si="231"/>
        <v>8762131</v>
      </c>
      <c r="R191" s="240">
        <f t="shared" si="231"/>
        <v>1243923.7700000003</v>
      </c>
      <c r="S191" s="240">
        <f t="shared" si="231"/>
        <v>3408.0103287671232</v>
      </c>
      <c r="T191" s="240">
        <f t="shared" si="231"/>
        <v>886426.12560000003</v>
      </c>
      <c r="U191" s="199">
        <f t="shared" si="231"/>
        <v>0</v>
      </c>
      <c r="V191" s="241"/>
      <c r="W191" s="242">
        <f t="shared" si="231"/>
        <v>0</v>
      </c>
      <c r="X191" s="242">
        <f>SUM(X177:X190)</f>
        <v>0</v>
      </c>
      <c r="Y191" s="242">
        <f>SUM(Y177:Y190)</f>
        <v>0</v>
      </c>
      <c r="Z191" s="199"/>
      <c r="AA191" s="199"/>
      <c r="AB191" s="243"/>
      <c r="AC191" s="240">
        <f>SUM(AC177:AC190)</f>
        <v>514127.152848</v>
      </c>
      <c r="AD191" s="244">
        <f>SUM(AD177:AD190)</f>
        <v>115235.396328</v>
      </c>
      <c r="AE191" s="244">
        <f>SUM(AE177:AE190)</f>
        <v>77783.892521400005</v>
      </c>
      <c r="AF191" s="244">
        <f>SUM(AF177:AF190)</f>
        <v>35457.045023999999</v>
      </c>
      <c r="AG191" s="244">
        <f>SUM(AG177:AG190)</f>
        <v>17728.522512</v>
      </c>
      <c r="AH191" s="244">
        <f t="shared" si="231"/>
        <v>17728.522512</v>
      </c>
      <c r="AI191" s="244">
        <f>SUM(AI177:AI190)</f>
        <v>8864.2612559999998</v>
      </c>
      <c r="AJ191" s="244">
        <f t="shared" si="231"/>
        <v>17728.522512</v>
      </c>
      <c r="AK191" s="244">
        <f t="shared" si="231"/>
        <v>17728.522512</v>
      </c>
      <c r="AL191" s="244">
        <f t="shared" si="231"/>
        <v>62049.828792000008</v>
      </c>
      <c r="AM191" s="245">
        <f t="shared" si="231"/>
        <v>272797.64015339996</v>
      </c>
      <c r="AN191" s="158"/>
      <c r="AO191" s="183"/>
      <c r="AP191" s="160">
        <f>SUM(AP177:AP190)</f>
        <v>7248332791.3441753</v>
      </c>
      <c r="AQ191" s="160">
        <f t="shared" ref="AQ191:AX191" si="232">SUM(AQ177:AQ190)</f>
        <v>2013425.9364474439</v>
      </c>
      <c r="AR191" s="160">
        <f t="shared" si="232"/>
        <v>402685.18728948873</v>
      </c>
      <c r="AS191" s="185">
        <f t="shared" si="232"/>
        <v>57.460785857518388</v>
      </c>
      <c r="AT191" s="186">
        <f t="shared" si="232"/>
        <v>57.460785857518388</v>
      </c>
      <c r="AU191" s="187"/>
      <c r="AV191" s="246">
        <f t="shared" si="232"/>
        <v>0</v>
      </c>
      <c r="AW191" s="246"/>
      <c r="AX191" s="185">
        <f t="shared" si="232"/>
        <v>0</v>
      </c>
      <c r="AY191" s="189"/>
    </row>
    <row r="192" spans="1:51" s="139" customFormat="1" ht="10.9" customHeight="1" x14ac:dyDescent="0.25">
      <c r="B192" s="266"/>
      <c r="C192" s="152"/>
      <c r="D192" s="247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248"/>
      <c r="Q192" s="249"/>
      <c r="R192" s="250"/>
      <c r="S192" s="250"/>
      <c r="T192" s="251"/>
      <c r="U192" s="199"/>
      <c r="V192" s="150"/>
      <c r="W192" s="249"/>
      <c r="X192" s="249"/>
      <c r="Y192" s="152"/>
      <c r="Z192" s="153"/>
      <c r="AA192" s="153"/>
      <c r="AB192" s="154"/>
      <c r="AC192" s="247"/>
      <c r="AD192" s="252"/>
      <c r="AE192" s="252"/>
      <c r="AF192" s="252"/>
      <c r="AG192" s="252"/>
      <c r="AH192" s="252"/>
      <c r="AI192" s="252"/>
      <c r="AJ192" s="252"/>
      <c r="AK192" s="252"/>
      <c r="AL192" s="252"/>
      <c r="AM192" s="214"/>
      <c r="AN192" s="203"/>
      <c r="AO192" s="204"/>
      <c r="AP192" s="203"/>
      <c r="AQ192" s="205"/>
      <c r="AR192" s="206"/>
      <c r="AS192" s="253"/>
      <c r="AT192" s="254"/>
      <c r="AU192" s="255"/>
      <c r="AV192" s="203"/>
      <c r="AW192" s="267"/>
      <c r="AX192" s="251"/>
      <c r="AY192" s="268"/>
    </row>
    <row r="193" spans="1:51" s="289" customFormat="1" ht="22.5" customHeight="1" x14ac:dyDescent="0.25">
      <c r="A193" s="269"/>
      <c r="B193" s="270"/>
      <c r="C193" s="271" t="s">
        <v>233</v>
      </c>
      <c r="D193" s="272"/>
      <c r="E193" s="273"/>
      <c r="F193" s="273"/>
      <c r="G193" s="273"/>
      <c r="H193" s="273"/>
      <c r="I193" s="273"/>
      <c r="J193" s="273"/>
      <c r="K193" s="273"/>
      <c r="L193" s="273"/>
      <c r="M193" s="273"/>
      <c r="N193" s="273"/>
      <c r="O193" s="273"/>
      <c r="P193" s="274"/>
      <c r="Q193" s="275">
        <f>Q36+Q72+Q94+Q109+Q119+Q133+Q146+Q164+Q174+Q191</f>
        <v>53794718</v>
      </c>
      <c r="R193" s="275">
        <f>R36+R72+R94+R109+R119+R133+R146+R164+R174+R191</f>
        <v>7195897.0320000006</v>
      </c>
      <c r="S193" s="275">
        <f>S36+S72+S94+S109+S119+S133+S146+S164+S174+S191</f>
        <v>19714.786389041099</v>
      </c>
      <c r="T193" s="275">
        <f>T36+T72+T94+T109+T119+T133+T146+T164+T174+T191</f>
        <v>5022359.4318000004</v>
      </c>
      <c r="U193" s="276"/>
      <c r="V193" s="277"/>
      <c r="W193" s="278"/>
      <c r="X193" s="278"/>
      <c r="Y193" s="279"/>
      <c r="Z193" s="280"/>
      <c r="AA193" s="280"/>
      <c r="AB193" s="281"/>
      <c r="AC193" s="282">
        <f t="shared" ref="AC193:AM193" si="233">AC36+AC72+AC94+AC109+AC119+AC133+AC146+AC164+AC174+AC191</f>
        <v>2912968.4704439999</v>
      </c>
      <c r="AD193" s="283">
        <f t="shared" si="233"/>
        <v>652906.726134</v>
      </c>
      <c r="AE193" s="283">
        <f t="shared" si="233"/>
        <v>440712.04014045</v>
      </c>
      <c r="AF193" s="283">
        <f t="shared" si="233"/>
        <v>200894.37727199998</v>
      </c>
      <c r="AG193" s="283">
        <f t="shared" si="233"/>
        <v>100447.18863599999</v>
      </c>
      <c r="AH193" s="283">
        <f t="shared" si="233"/>
        <v>100447.18863599999</v>
      </c>
      <c r="AI193" s="283">
        <f t="shared" si="233"/>
        <v>50223.594317999996</v>
      </c>
      <c r="AJ193" s="283">
        <f t="shared" si="233"/>
        <v>100447.18863599999</v>
      </c>
      <c r="AK193" s="283">
        <f t="shared" si="233"/>
        <v>100447.18863599999</v>
      </c>
      <c r="AL193" s="283">
        <f t="shared" si="233"/>
        <v>351565.16022600001</v>
      </c>
      <c r="AM193" s="275">
        <f t="shared" si="233"/>
        <v>1545631.1151364499</v>
      </c>
      <c r="AN193" s="284"/>
      <c r="AO193" s="285"/>
      <c r="AP193" s="283">
        <f t="shared" ref="AP193:AX193" si="234">AP36+AP72+AP94+AP109+AP119+AP133+AP146+AP164+AP174+AP191</f>
        <v>41067982438.798096</v>
      </c>
      <c r="AQ193" s="283">
        <f t="shared" si="234"/>
        <v>11407773.812287971</v>
      </c>
      <c r="AR193" s="283">
        <f t="shared" si="234"/>
        <v>2281554.7624575943</v>
      </c>
      <c r="AS193" s="286">
        <f t="shared" si="234"/>
        <v>325.56432112693977</v>
      </c>
      <c r="AT193" s="286">
        <f t="shared" si="234"/>
        <v>325.56432112693977</v>
      </c>
      <c r="AU193" s="287"/>
      <c r="AV193" s="286">
        <f t="shared" si="234"/>
        <v>0</v>
      </c>
      <c r="AW193" s="286"/>
      <c r="AX193" s="286">
        <f t="shared" si="234"/>
        <v>0</v>
      </c>
      <c r="AY193" s="288"/>
    </row>
    <row r="194" spans="1:51" s="139" customFormat="1" ht="10.9" customHeight="1" x14ac:dyDescent="0.25">
      <c r="B194" s="247"/>
      <c r="C194" s="152"/>
      <c r="D194" s="247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248"/>
      <c r="P194" s="248"/>
      <c r="Q194" s="249"/>
      <c r="R194" s="250"/>
      <c r="S194" s="250"/>
      <c r="T194" s="251"/>
      <c r="U194" s="199"/>
      <c r="V194" s="179"/>
      <c r="W194" s="249"/>
      <c r="X194" s="249"/>
      <c r="Y194" s="152"/>
      <c r="Z194" s="153"/>
      <c r="AA194" s="153"/>
      <c r="AB194" s="154"/>
      <c r="AC194" s="247"/>
      <c r="AD194" s="252"/>
      <c r="AE194" s="252"/>
      <c r="AF194" s="252"/>
      <c r="AG194" s="252"/>
      <c r="AH194" s="252"/>
      <c r="AI194" s="252"/>
      <c r="AJ194" s="252"/>
      <c r="AK194" s="252"/>
      <c r="AL194" s="252"/>
      <c r="AM194" s="214"/>
      <c r="AN194" s="203"/>
      <c r="AO194" s="204"/>
      <c r="AP194" s="203"/>
      <c r="AQ194" s="205"/>
      <c r="AR194" s="206"/>
      <c r="AS194" s="253"/>
      <c r="AT194" s="254"/>
      <c r="AU194" s="255"/>
      <c r="AV194" s="256"/>
      <c r="AW194" s="257"/>
      <c r="AX194" s="214"/>
      <c r="AY194" s="212"/>
    </row>
    <row r="195" spans="1:51" s="290" customFormat="1" ht="23.1" customHeight="1" x14ac:dyDescent="0.25">
      <c r="B195" s="291" t="s">
        <v>234</v>
      </c>
      <c r="C195" s="292"/>
      <c r="D195" s="293"/>
      <c r="E195" s="292"/>
      <c r="F195" s="292"/>
      <c r="G195" s="292"/>
      <c r="H195" s="292"/>
      <c r="I195" s="292"/>
      <c r="J195" s="292"/>
      <c r="K195" s="292"/>
      <c r="L195" s="292"/>
      <c r="M195" s="292"/>
      <c r="N195" s="292"/>
      <c r="O195" s="292"/>
      <c r="P195" s="292"/>
      <c r="Q195" s="292"/>
      <c r="R195" s="292"/>
      <c r="S195" s="294"/>
      <c r="T195" s="292"/>
      <c r="U195" s="292"/>
      <c r="V195" s="292"/>
      <c r="W195" s="292"/>
      <c r="X195" s="292"/>
      <c r="Y195" s="292"/>
      <c r="Z195" s="295"/>
      <c r="AA195" s="296"/>
      <c r="AB195" s="116"/>
      <c r="AC195" s="117"/>
      <c r="AD195" s="117"/>
      <c r="AE195" s="117"/>
      <c r="AF195" s="117"/>
      <c r="AG195" s="117"/>
      <c r="AH195" s="117"/>
      <c r="AI195" s="117"/>
      <c r="AJ195" s="117"/>
      <c r="AK195" s="117"/>
      <c r="AL195" s="117"/>
      <c r="AM195" s="117"/>
      <c r="AN195" s="297"/>
      <c r="AO195" s="292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</row>
    <row r="196" spans="1:51" s="139" customFormat="1" ht="15" customHeight="1" x14ac:dyDescent="0.25">
      <c r="A196" s="1"/>
      <c r="B196" s="120"/>
      <c r="C196" s="258" t="s">
        <v>235</v>
      </c>
      <c r="D196" s="122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213"/>
      <c r="Q196" s="76"/>
      <c r="R196" s="108"/>
      <c r="S196" s="108"/>
      <c r="T196" s="94"/>
      <c r="U196" s="199"/>
      <c r="V196" s="179"/>
      <c r="W196" s="180"/>
      <c r="X196" s="180"/>
      <c r="Y196" s="214"/>
      <c r="Z196" s="181"/>
      <c r="AA196" s="181"/>
      <c r="AB196" s="182"/>
      <c r="AC196" s="62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125"/>
      <c r="AN196" s="75"/>
      <c r="AO196" s="216"/>
      <c r="AP196" s="75"/>
      <c r="AQ196" s="51"/>
      <c r="AR196" s="259"/>
      <c r="AS196" s="218"/>
      <c r="AT196" s="219"/>
      <c r="AU196" s="220"/>
      <c r="AV196" s="135"/>
      <c r="AW196" s="136"/>
      <c r="AX196" s="137"/>
      <c r="AY196" s="138"/>
    </row>
    <row r="197" spans="1:51" ht="10.9" customHeight="1" x14ac:dyDescent="0.2">
      <c r="B197" s="140">
        <v>1</v>
      </c>
      <c r="C197" s="299" t="s">
        <v>236</v>
      </c>
      <c r="D197" s="300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>
        <v>496120</v>
      </c>
      <c r="O197" s="301">
        <v>501149</v>
      </c>
      <c r="P197" s="237"/>
      <c r="Q197" s="223">
        <f t="shared" ref="Q197:Q210" si="235">MAX(D197:P197)</f>
        <v>501149</v>
      </c>
      <c r="R197" s="147">
        <f>Q197*$R$9</f>
        <v>73167.754000000001</v>
      </c>
      <c r="S197" s="147">
        <f t="shared" ref="S197:S210" si="236">R197/$S$5</f>
        <v>200.45959999999999</v>
      </c>
      <c r="T197" s="148">
        <f>S197*$T$5*$T$9</f>
        <v>51217.427799999998</v>
      </c>
      <c r="U197" s="199"/>
      <c r="V197" s="150"/>
      <c r="W197" s="249"/>
      <c r="X197" s="249"/>
      <c r="Y197" s="152"/>
      <c r="Z197" s="153"/>
      <c r="AA197" s="153"/>
      <c r="AB197" s="154"/>
      <c r="AC197" s="155">
        <f t="shared" ref="AC197:AC210" si="237">T197*$AC$5</f>
        <v>29706.108123999995</v>
      </c>
      <c r="AD197" s="156">
        <f t="shared" ref="AD197:AD210" si="238">T197*$AD$5</f>
        <v>6658.2656139999999</v>
      </c>
      <c r="AE197" s="156">
        <f t="shared" ref="AE197:AE210" si="239">T197*$AE$5</f>
        <v>4494.3292894499991</v>
      </c>
      <c r="AF197" s="156">
        <f t="shared" ref="AF197:AF210" si="240">T197*$AF$5</f>
        <v>2048.6971119999998</v>
      </c>
      <c r="AG197" s="156">
        <f t="shared" ref="AG197:AG210" si="241">T197*$AG$5</f>
        <v>1024.3485559999999</v>
      </c>
      <c r="AH197" s="156">
        <f t="shared" ref="AH197:AH210" si="242">T197*$AH$5</f>
        <v>1024.3485559999999</v>
      </c>
      <c r="AI197" s="156">
        <f t="shared" ref="AI197:AI210" si="243">T197*$AI$5</f>
        <v>512.17427799999996</v>
      </c>
      <c r="AJ197" s="156">
        <f t="shared" ref="AJ197:AJ210" si="244">T197*$AJ$5</f>
        <v>1024.3485559999999</v>
      </c>
      <c r="AK197" s="156">
        <f t="shared" ref="AK197:AK210" si="245">T197*$AK$5</f>
        <v>1024.3485559999999</v>
      </c>
      <c r="AL197" s="156">
        <f t="shared" ref="AL197:AL210" si="246">T197*$AL$5</f>
        <v>3585.2199460000002</v>
      </c>
      <c r="AM197" s="157">
        <f t="shared" ref="AM197:AM210" si="247">SUM(AD197:AI197)</f>
        <v>15762.163405450001</v>
      </c>
      <c r="AN197" s="158">
        <f t="shared" ref="AN197:AN210" si="248">$AN$5</f>
        <v>2200</v>
      </c>
      <c r="AO197" s="159">
        <v>0.2</v>
      </c>
      <c r="AP197" s="160">
        <f t="shared" ref="AP197:AP210" si="249">(AC197+AM197)*AN197*$AP$5</f>
        <v>418806430.32690275</v>
      </c>
      <c r="AQ197" s="161">
        <f t="shared" ref="AQ197:AQ210" si="250">AP197*$AQ$5</f>
        <v>116335.12884206032</v>
      </c>
      <c r="AR197" s="162">
        <f t="shared" ref="AR197:AR210" si="251">AQ197*$AR$5</f>
        <v>23267.025768412066</v>
      </c>
      <c r="AS197" s="163">
        <f t="shared" ref="AS197:AS210" si="252">AR197/$AS$5</f>
        <v>3.3200664623875666</v>
      </c>
      <c r="AT197" s="164">
        <f t="shared" ref="AT197:AT210" si="253">AS197</f>
        <v>3.3200664623875666</v>
      </c>
      <c r="AU197" s="165"/>
      <c r="AV197" s="166"/>
      <c r="AW197" s="167"/>
      <c r="AX197" s="146"/>
      <c r="AY197" s="168"/>
    </row>
    <row r="198" spans="1:51" ht="10.9" customHeight="1" x14ac:dyDescent="0.2">
      <c r="B198" s="140">
        <v>2</v>
      </c>
      <c r="C198" s="299" t="s">
        <v>237</v>
      </c>
      <c r="D198" s="300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>
        <v>215277</v>
      </c>
      <c r="O198" s="301">
        <v>220067</v>
      </c>
      <c r="P198" s="237"/>
      <c r="Q198" s="223">
        <f t="shared" si="235"/>
        <v>220067</v>
      </c>
      <c r="R198" s="147">
        <f t="shared" ref="R198:R207" si="254">Q198*$R$10</f>
        <v>24207.37</v>
      </c>
      <c r="S198" s="147">
        <f t="shared" si="236"/>
        <v>66.321561643835608</v>
      </c>
      <c r="T198" s="148">
        <f t="shared" ref="T198:T207" si="255">S198*$T$5*$T$10</f>
        <v>14524.421999999997</v>
      </c>
      <c r="U198" s="199"/>
      <c r="V198" s="150"/>
      <c r="W198" s="249"/>
      <c r="X198" s="249"/>
      <c r="Y198" s="152"/>
      <c r="Z198" s="153"/>
      <c r="AA198" s="153"/>
      <c r="AB198" s="154"/>
      <c r="AC198" s="155">
        <f t="shared" si="237"/>
        <v>8424.1647599999978</v>
      </c>
      <c r="AD198" s="156">
        <f t="shared" si="238"/>
        <v>1888.1748599999996</v>
      </c>
      <c r="AE198" s="156">
        <f t="shared" si="239"/>
        <v>1274.5180304999997</v>
      </c>
      <c r="AF198" s="156">
        <f t="shared" si="240"/>
        <v>580.97687999999994</v>
      </c>
      <c r="AG198" s="156">
        <f t="shared" si="241"/>
        <v>290.48843999999997</v>
      </c>
      <c r="AH198" s="156">
        <f t="shared" si="242"/>
        <v>290.48843999999997</v>
      </c>
      <c r="AI198" s="156">
        <f t="shared" si="243"/>
        <v>145.24421999999998</v>
      </c>
      <c r="AJ198" s="156">
        <f t="shared" si="244"/>
        <v>290.48843999999997</v>
      </c>
      <c r="AK198" s="156">
        <f t="shared" si="245"/>
        <v>290.48843999999997</v>
      </c>
      <c r="AL198" s="156">
        <f t="shared" si="246"/>
        <v>1016.7095399999998</v>
      </c>
      <c r="AM198" s="157">
        <f t="shared" si="247"/>
        <v>4469.8908704999994</v>
      </c>
      <c r="AN198" s="158">
        <f t="shared" si="248"/>
        <v>2200</v>
      </c>
      <c r="AO198" s="159">
        <v>0.2</v>
      </c>
      <c r="AP198" s="160">
        <f t="shared" si="249"/>
        <v>118766630.65031025</v>
      </c>
      <c r="AQ198" s="161">
        <f t="shared" si="250"/>
        <v>32990.733375455748</v>
      </c>
      <c r="AR198" s="162">
        <f t="shared" si="251"/>
        <v>6598.1466750911495</v>
      </c>
      <c r="AS198" s="163">
        <f t="shared" si="252"/>
        <v>0.94151636345478729</v>
      </c>
      <c r="AT198" s="164">
        <f t="shared" si="253"/>
        <v>0.94151636345478729</v>
      </c>
      <c r="AU198" s="165"/>
      <c r="AV198" s="166"/>
      <c r="AW198" s="167"/>
      <c r="AX198" s="146"/>
      <c r="AY198" s="168"/>
    </row>
    <row r="199" spans="1:51" ht="10.9" customHeight="1" x14ac:dyDescent="0.2">
      <c r="B199" s="140">
        <v>3</v>
      </c>
      <c r="C199" s="299" t="s">
        <v>238</v>
      </c>
      <c r="D199" s="300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>
        <v>329649</v>
      </c>
      <c r="O199" s="301">
        <v>335452</v>
      </c>
      <c r="P199" s="237"/>
      <c r="Q199" s="223">
        <f t="shared" si="235"/>
        <v>335452</v>
      </c>
      <c r="R199" s="147">
        <f t="shared" si="254"/>
        <v>36899.72</v>
      </c>
      <c r="S199" s="147">
        <f t="shared" si="236"/>
        <v>101.09512328767124</v>
      </c>
      <c r="T199" s="148">
        <f t="shared" si="255"/>
        <v>22139.831999999999</v>
      </c>
      <c r="U199" s="199"/>
      <c r="V199" s="150"/>
      <c r="W199" s="249"/>
      <c r="X199" s="249"/>
      <c r="Y199" s="152"/>
      <c r="Z199" s="153"/>
      <c r="AA199" s="153"/>
      <c r="AB199" s="154"/>
      <c r="AC199" s="155">
        <f t="shared" si="237"/>
        <v>12841.102559999998</v>
      </c>
      <c r="AD199" s="156">
        <f t="shared" si="238"/>
        <v>2878.1781599999999</v>
      </c>
      <c r="AE199" s="156">
        <f t="shared" si="239"/>
        <v>1942.7702579999998</v>
      </c>
      <c r="AF199" s="156">
        <f t="shared" si="240"/>
        <v>885.59327999999994</v>
      </c>
      <c r="AG199" s="156">
        <f t="shared" si="241"/>
        <v>442.79663999999997</v>
      </c>
      <c r="AH199" s="156">
        <f t="shared" si="242"/>
        <v>442.79663999999997</v>
      </c>
      <c r="AI199" s="156">
        <f t="shared" si="243"/>
        <v>221.39831999999998</v>
      </c>
      <c r="AJ199" s="156">
        <f t="shared" si="244"/>
        <v>442.79663999999997</v>
      </c>
      <c r="AK199" s="156">
        <f t="shared" si="245"/>
        <v>442.79663999999997</v>
      </c>
      <c r="AL199" s="156">
        <f t="shared" si="246"/>
        <v>1549.7882400000001</v>
      </c>
      <c r="AM199" s="157">
        <f t="shared" si="247"/>
        <v>6813.5332979999994</v>
      </c>
      <c r="AN199" s="158">
        <f t="shared" si="248"/>
        <v>2200</v>
      </c>
      <c r="AO199" s="159">
        <v>0.2</v>
      </c>
      <c r="AP199" s="160">
        <f t="shared" si="249"/>
        <v>181038064.70260367</v>
      </c>
      <c r="AQ199" s="161">
        <f t="shared" si="250"/>
        <v>50288.355329346901</v>
      </c>
      <c r="AR199" s="162">
        <f t="shared" si="251"/>
        <v>10057.671065869381</v>
      </c>
      <c r="AS199" s="163">
        <f t="shared" si="252"/>
        <v>1.4351699580293067</v>
      </c>
      <c r="AT199" s="164">
        <f t="shared" si="253"/>
        <v>1.4351699580293067</v>
      </c>
      <c r="AU199" s="165"/>
      <c r="AV199" s="166"/>
      <c r="AW199" s="167"/>
      <c r="AX199" s="146"/>
      <c r="AY199" s="168"/>
    </row>
    <row r="200" spans="1:51" ht="10.9" customHeight="1" x14ac:dyDescent="0.2">
      <c r="B200" s="140">
        <v>4</v>
      </c>
      <c r="C200" s="299" t="s">
        <v>239</v>
      </c>
      <c r="D200" s="300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>
        <v>234021</v>
      </c>
      <c r="O200" s="301">
        <v>237722</v>
      </c>
      <c r="P200" s="237"/>
      <c r="Q200" s="223">
        <f t="shared" si="235"/>
        <v>237722</v>
      </c>
      <c r="R200" s="147">
        <f t="shared" si="254"/>
        <v>26149.420000000002</v>
      </c>
      <c r="S200" s="147">
        <f t="shared" si="236"/>
        <v>71.642246575342469</v>
      </c>
      <c r="T200" s="148">
        <f t="shared" si="255"/>
        <v>15689.652</v>
      </c>
      <c r="U200" s="199"/>
      <c r="V200" s="150"/>
      <c r="W200" s="249"/>
      <c r="X200" s="249"/>
      <c r="Y200" s="152"/>
      <c r="Z200" s="153"/>
      <c r="AA200" s="153"/>
      <c r="AB200" s="154"/>
      <c r="AC200" s="155">
        <f t="shared" si="237"/>
        <v>9099.9981599999992</v>
      </c>
      <c r="AD200" s="156">
        <f t="shared" si="238"/>
        <v>2039.6547600000001</v>
      </c>
      <c r="AE200" s="156">
        <f t="shared" si="239"/>
        <v>1376.766963</v>
      </c>
      <c r="AF200" s="156">
        <f t="shared" si="240"/>
        <v>627.58608000000004</v>
      </c>
      <c r="AG200" s="156">
        <f t="shared" si="241"/>
        <v>313.79304000000002</v>
      </c>
      <c r="AH200" s="156">
        <f t="shared" si="242"/>
        <v>313.79304000000002</v>
      </c>
      <c r="AI200" s="156">
        <f t="shared" si="243"/>
        <v>156.89652000000001</v>
      </c>
      <c r="AJ200" s="156">
        <f t="shared" si="244"/>
        <v>313.79304000000002</v>
      </c>
      <c r="AK200" s="156">
        <f t="shared" si="245"/>
        <v>313.79304000000002</v>
      </c>
      <c r="AL200" s="156">
        <f t="shared" si="246"/>
        <v>1098.2756400000001</v>
      </c>
      <c r="AM200" s="157">
        <f t="shared" si="247"/>
        <v>4828.4904030000016</v>
      </c>
      <c r="AN200" s="158">
        <f t="shared" si="248"/>
        <v>2200</v>
      </c>
      <c r="AO200" s="159">
        <v>0.2</v>
      </c>
      <c r="AP200" s="160">
        <f t="shared" si="249"/>
        <v>128294751.01425049</v>
      </c>
      <c r="AQ200" s="161">
        <f t="shared" si="250"/>
        <v>35637.43368828627</v>
      </c>
      <c r="AR200" s="162">
        <f t="shared" si="251"/>
        <v>7127.4867376572547</v>
      </c>
      <c r="AS200" s="163">
        <f t="shared" si="252"/>
        <v>1.017050048181686</v>
      </c>
      <c r="AT200" s="164">
        <f t="shared" si="253"/>
        <v>1.017050048181686</v>
      </c>
      <c r="AU200" s="165"/>
      <c r="AV200" s="166"/>
      <c r="AW200" s="167"/>
      <c r="AX200" s="146"/>
      <c r="AY200" s="168"/>
    </row>
    <row r="201" spans="1:51" ht="10.9" customHeight="1" x14ac:dyDescent="0.2">
      <c r="B201" s="140">
        <v>5</v>
      </c>
      <c r="C201" s="299" t="s">
        <v>240</v>
      </c>
      <c r="D201" s="300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>
        <v>408468</v>
      </c>
      <c r="O201" s="301">
        <v>415955</v>
      </c>
      <c r="P201" s="237"/>
      <c r="Q201" s="223">
        <f t="shared" si="235"/>
        <v>415955</v>
      </c>
      <c r="R201" s="147">
        <f t="shared" si="254"/>
        <v>45755.05</v>
      </c>
      <c r="S201" s="147">
        <f t="shared" si="236"/>
        <v>125.35630136986302</v>
      </c>
      <c r="T201" s="148">
        <f t="shared" si="255"/>
        <v>27453.030000000002</v>
      </c>
      <c r="U201" s="199"/>
      <c r="V201" s="150"/>
      <c r="W201" s="249"/>
      <c r="X201" s="249"/>
      <c r="Y201" s="152"/>
      <c r="Z201" s="153"/>
      <c r="AA201" s="153"/>
      <c r="AB201" s="154"/>
      <c r="AC201" s="155">
        <f t="shared" si="237"/>
        <v>15922.7574</v>
      </c>
      <c r="AD201" s="156">
        <f t="shared" si="238"/>
        <v>3568.8939000000005</v>
      </c>
      <c r="AE201" s="156">
        <f t="shared" si="239"/>
        <v>2409.0033825</v>
      </c>
      <c r="AF201" s="156">
        <f t="shared" si="240"/>
        <v>1098.1212</v>
      </c>
      <c r="AG201" s="156">
        <f t="shared" si="241"/>
        <v>549.06060000000002</v>
      </c>
      <c r="AH201" s="156">
        <f t="shared" si="242"/>
        <v>549.06060000000002</v>
      </c>
      <c r="AI201" s="156">
        <f t="shared" si="243"/>
        <v>274.53030000000001</v>
      </c>
      <c r="AJ201" s="156">
        <f t="shared" si="244"/>
        <v>549.06060000000002</v>
      </c>
      <c r="AK201" s="156">
        <f t="shared" si="245"/>
        <v>549.06060000000002</v>
      </c>
      <c r="AL201" s="156">
        <f t="shared" si="246"/>
        <v>1921.7121000000004</v>
      </c>
      <c r="AM201" s="157">
        <f t="shared" si="247"/>
        <v>8448.6699824999996</v>
      </c>
      <c r="AN201" s="158">
        <f t="shared" si="248"/>
        <v>2200</v>
      </c>
      <c r="AO201" s="159">
        <v>0.2</v>
      </c>
      <c r="AP201" s="160">
        <f t="shared" si="249"/>
        <v>224484242.76311219</v>
      </c>
      <c r="AQ201" s="161">
        <f t="shared" si="250"/>
        <v>62356.739089403221</v>
      </c>
      <c r="AR201" s="162">
        <f t="shared" si="251"/>
        <v>12471.347817880645</v>
      </c>
      <c r="AS201" s="163">
        <f t="shared" si="252"/>
        <v>1.7795873027797724</v>
      </c>
      <c r="AT201" s="164">
        <f t="shared" si="253"/>
        <v>1.7795873027797724</v>
      </c>
      <c r="AU201" s="165"/>
      <c r="AV201" s="166"/>
      <c r="AW201" s="167"/>
      <c r="AX201" s="146"/>
      <c r="AY201" s="168"/>
    </row>
    <row r="202" spans="1:51" ht="10.9" customHeight="1" x14ac:dyDescent="0.2">
      <c r="B202" s="140">
        <v>6</v>
      </c>
      <c r="C202" s="299" t="s">
        <v>241</v>
      </c>
      <c r="D202" s="300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>
        <v>427460</v>
      </c>
      <c r="O202" s="301">
        <v>437613</v>
      </c>
      <c r="P202" s="237"/>
      <c r="Q202" s="223">
        <f t="shared" si="235"/>
        <v>437613</v>
      </c>
      <c r="R202" s="147">
        <f t="shared" si="254"/>
        <v>48137.43</v>
      </c>
      <c r="S202" s="147">
        <f t="shared" si="236"/>
        <v>131.88336986301371</v>
      </c>
      <c r="T202" s="148">
        <f t="shared" si="255"/>
        <v>28882.458000000002</v>
      </c>
      <c r="U202" s="199"/>
      <c r="V202" s="150"/>
      <c r="W202" s="249"/>
      <c r="X202" s="249"/>
      <c r="Y202" s="152"/>
      <c r="Z202" s="153"/>
      <c r="AA202" s="153"/>
      <c r="AB202" s="154"/>
      <c r="AC202" s="155">
        <f t="shared" si="237"/>
        <v>16751.825639999999</v>
      </c>
      <c r="AD202" s="156">
        <f t="shared" si="238"/>
        <v>3754.7195400000005</v>
      </c>
      <c r="AE202" s="156">
        <f t="shared" si="239"/>
        <v>2534.4356895000001</v>
      </c>
      <c r="AF202" s="156">
        <f t="shared" si="240"/>
        <v>1155.2983200000001</v>
      </c>
      <c r="AG202" s="156">
        <f t="shared" si="241"/>
        <v>577.64916000000005</v>
      </c>
      <c r="AH202" s="156">
        <f t="shared" si="242"/>
        <v>577.64916000000005</v>
      </c>
      <c r="AI202" s="156">
        <f t="shared" si="243"/>
        <v>288.82458000000003</v>
      </c>
      <c r="AJ202" s="156">
        <f t="shared" si="244"/>
        <v>577.64916000000005</v>
      </c>
      <c r="AK202" s="156">
        <f t="shared" si="245"/>
        <v>577.64916000000005</v>
      </c>
      <c r="AL202" s="156">
        <f t="shared" si="246"/>
        <v>2021.7720600000005</v>
      </c>
      <c r="AM202" s="157">
        <f t="shared" si="247"/>
        <v>8888.5764495000003</v>
      </c>
      <c r="AN202" s="158">
        <f t="shared" si="248"/>
        <v>2200</v>
      </c>
      <c r="AO202" s="159">
        <v>0.2</v>
      </c>
      <c r="AP202" s="160">
        <f t="shared" si="249"/>
        <v>236172718.03030092</v>
      </c>
      <c r="AQ202" s="161">
        <f t="shared" si="250"/>
        <v>65603.538034477315</v>
      </c>
      <c r="AR202" s="162">
        <f t="shared" si="251"/>
        <v>13120.707606895463</v>
      </c>
      <c r="AS202" s="163">
        <f t="shared" si="252"/>
        <v>1.8722470900250374</v>
      </c>
      <c r="AT202" s="164">
        <f t="shared" si="253"/>
        <v>1.8722470900250374</v>
      </c>
      <c r="AU202" s="165"/>
      <c r="AV202" s="166"/>
      <c r="AW202" s="167"/>
      <c r="AX202" s="146"/>
      <c r="AY202" s="168"/>
    </row>
    <row r="203" spans="1:51" ht="10.9" customHeight="1" x14ac:dyDescent="0.2">
      <c r="B203" s="140">
        <v>7</v>
      </c>
      <c r="C203" s="299" t="s">
        <v>242</v>
      </c>
      <c r="D203" s="300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>
        <v>364759</v>
      </c>
      <c r="O203" s="301">
        <v>371322</v>
      </c>
      <c r="P203" s="237"/>
      <c r="Q203" s="223">
        <f t="shared" si="235"/>
        <v>371322</v>
      </c>
      <c r="R203" s="147">
        <f t="shared" si="254"/>
        <v>40845.42</v>
      </c>
      <c r="S203" s="147">
        <f t="shared" si="236"/>
        <v>111.9052602739726</v>
      </c>
      <c r="T203" s="148">
        <f t="shared" si="255"/>
        <v>24507.251999999997</v>
      </c>
      <c r="U203" s="199"/>
      <c r="V203" s="150"/>
      <c r="W203" s="249"/>
      <c r="X203" s="249"/>
      <c r="Y203" s="152"/>
      <c r="Z203" s="153"/>
      <c r="AA203" s="153"/>
      <c r="AB203" s="154"/>
      <c r="AC203" s="155">
        <f t="shared" si="237"/>
        <v>14214.206159999998</v>
      </c>
      <c r="AD203" s="156">
        <f t="shared" si="238"/>
        <v>3185.9427599999999</v>
      </c>
      <c r="AE203" s="156">
        <f t="shared" si="239"/>
        <v>2150.5113629999996</v>
      </c>
      <c r="AF203" s="156">
        <f t="shared" si="240"/>
        <v>980.29007999999988</v>
      </c>
      <c r="AG203" s="156">
        <f t="shared" si="241"/>
        <v>490.14503999999994</v>
      </c>
      <c r="AH203" s="156">
        <f t="shared" si="242"/>
        <v>490.14503999999994</v>
      </c>
      <c r="AI203" s="156">
        <f t="shared" si="243"/>
        <v>245.07251999999997</v>
      </c>
      <c r="AJ203" s="156">
        <f t="shared" si="244"/>
        <v>490.14503999999994</v>
      </c>
      <c r="AK203" s="156">
        <f t="shared" si="245"/>
        <v>490.14503999999994</v>
      </c>
      <c r="AL203" s="156">
        <f t="shared" si="246"/>
        <v>1715.50764</v>
      </c>
      <c r="AM203" s="157">
        <f t="shared" si="247"/>
        <v>7542.1068029999997</v>
      </c>
      <c r="AN203" s="158">
        <f t="shared" si="248"/>
        <v>2200</v>
      </c>
      <c r="AO203" s="159">
        <v>0.2</v>
      </c>
      <c r="AP203" s="160">
        <f t="shared" si="249"/>
        <v>200396528.44967446</v>
      </c>
      <c r="AQ203" s="161">
        <f t="shared" si="250"/>
        <v>55665.706800387983</v>
      </c>
      <c r="AR203" s="162">
        <f t="shared" si="251"/>
        <v>11133.141360077598</v>
      </c>
      <c r="AS203" s="163">
        <f t="shared" si="252"/>
        <v>1.5886331849425797</v>
      </c>
      <c r="AT203" s="164">
        <f t="shared" si="253"/>
        <v>1.5886331849425797</v>
      </c>
      <c r="AU203" s="165"/>
      <c r="AV203" s="166"/>
      <c r="AW203" s="167"/>
      <c r="AX203" s="146"/>
      <c r="AY203" s="168"/>
    </row>
    <row r="204" spans="1:51" ht="10.9" customHeight="1" x14ac:dyDescent="0.2">
      <c r="B204" s="140">
        <v>8</v>
      </c>
      <c r="C204" s="299" t="s">
        <v>243</v>
      </c>
      <c r="D204" s="300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>
        <v>222160</v>
      </c>
      <c r="O204" s="301">
        <v>227067</v>
      </c>
      <c r="P204" s="237"/>
      <c r="Q204" s="223">
        <f t="shared" si="235"/>
        <v>227067</v>
      </c>
      <c r="R204" s="147">
        <f t="shared" si="254"/>
        <v>24977.37</v>
      </c>
      <c r="S204" s="147">
        <f t="shared" si="236"/>
        <v>68.431150684931509</v>
      </c>
      <c r="T204" s="148">
        <f t="shared" si="255"/>
        <v>14986.422</v>
      </c>
      <c r="U204" s="199"/>
      <c r="V204" s="150"/>
      <c r="W204" s="249"/>
      <c r="X204" s="249"/>
      <c r="Y204" s="152"/>
      <c r="Z204" s="153"/>
      <c r="AA204" s="153"/>
      <c r="AB204" s="154"/>
      <c r="AC204" s="155">
        <f t="shared" si="237"/>
        <v>8692.1247599999988</v>
      </c>
      <c r="AD204" s="156">
        <f t="shared" si="238"/>
        <v>1948.23486</v>
      </c>
      <c r="AE204" s="156">
        <f t="shared" si="239"/>
        <v>1315.0585305</v>
      </c>
      <c r="AF204" s="156">
        <f t="shared" si="240"/>
        <v>599.45688000000007</v>
      </c>
      <c r="AG204" s="156">
        <f t="shared" si="241"/>
        <v>299.72844000000003</v>
      </c>
      <c r="AH204" s="156">
        <f t="shared" si="242"/>
        <v>299.72844000000003</v>
      </c>
      <c r="AI204" s="156">
        <f t="shared" si="243"/>
        <v>149.86422000000002</v>
      </c>
      <c r="AJ204" s="156">
        <f t="shared" si="244"/>
        <v>299.72844000000003</v>
      </c>
      <c r="AK204" s="156">
        <f t="shared" si="245"/>
        <v>299.72844000000003</v>
      </c>
      <c r="AL204" s="156">
        <f t="shared" si="246"/>
        <v>1049.0495400000002</v>
      </c>
      <c r="AM204" s="157">
        <f t="shared" si="247"/>
        <v>4612.0713705000007</v>
      </c>
      <c r="AN204" s="158">
        <f t="shared" si="248"/>
        <v>2200</v>
      </c>
      <c r="AO204" s="159">
        <v>0.2</v>
      </c>
      <c r="AP204" s="160">
        <f t="shared" si="249"/>
        <v>122544418.39019029</v>
      </c>
      <c r="AQ204" s="161">
        <f t="shared" si="250"/>
        <v>34040.118942706598</v>
      </c>
      <c r="AR204" s="162">
        <f t="shared" si="251"/>
        <v>6808.0237885413198</v>
      </c>
      <c r="AS204" s="163">
        <f t="shared" si="252"/>
        <v>0.97146458169824768</v>
      </c>
      <c r="AT204" s="164">
        <f t="shared" si="253"/>
        <v>0.97146458169824768</v>
      </c>
      <c r="AU204" s="165"/>
      <c r="AV204" s="166"/>
      <c r="AW204" s="167"/>
      <c r="AX204" s="146"/>
      <c r="AY204" s="168"/>
    </row>
    <row r="205" spans="1:51" ht="10.9" customHeight="1" x14ac:dyDescent="0.2">
      <c r="B205" s="140">
        <v>9</v>
      </c>
      <c r="C205" s="299" t="s">
        <v>244</v>
      </c>
      <c r="D205" s="300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>
        <v>181634</v>
      </c>
      <c r="O205" s="301">
        <v>184103</v>
      </c>
      <c r="P205" s="237"/>
      <c r="Q205" s="223">
        <f t="shared" si="235"/>
        <v>184103</v>
      </c>
      <c r="R205" s="147">
        <f t="shared" si="254"/>
        <v>20251.330000000002</v>
      </c>
      <c r="S205" s="147">
        <f t="shared" si="236"/>
        <v>55.483095890410965</v>
      </c>
      <c r="T205" s="148">
        <f t="shared" si="255"/>
        <v>12150.798000000001</v>
      </c>
      <c r="U205" s="199"/>
      <c r="V205" s="150"/>
      <c r="W205" s="249"/>
      <c r="X205" s="249"/>
      <c r="Y205" s="152"/>
      <c r="Z205" s="153"/>
      <c r="AA205" s="153"/>
      <c r="AB205" s="154"/>
      <c r="AC205" s="155">
        <f t="shared" si="237"/>
        <v>7047.4628400000001</v>
      </c>
      <c r="AD205" s="156">
        <f t="shared" si="238"/>
        <v>1579.6037400000002</v>
      </c>
      <c r="AE205" s="156">
        <f t="shared" si="239"/>
        <v>1066.2325245</v>
      </c>
      <c r="AF205" s="156">
        <f t="shared" si="240"/>
        <v>486.03192000000001</v>
      </c>
      <c r="AG205" s="156">
        <f t="shared" si="241"/>
        <v>243.01596000000001</v>
      </c>
      <c r="AH205" s="156">
        <f t="shared" si="242"/>
        <v>243.01596000000001</v>
      </c>
      <c r="AI205" s="156">
        <f t="shared" si="243"/>
        <v>121.50798</v>
      </c>
      <c r="AJ205" s="156">
        <f t="shared" si="244"/>
        <v>243.01596000000001</v>
      </c>
      <c r="AK205" s="156">
        <f t="shared" si="245"/>
        <v>243.01596000000001</v>
      </c>
      <c r="AL205" s="156">
        <f t="shared" si="246"/>
        <v>850.55586000000017</v>
      </c>
      <c r="AM205" s="157">
        <f t="shared" si="247"/>
        <v>3739.4080845000003</v>
      </c>
      <c r="AN205" s="158">
        <f t="shared" si="248"/>
        <v>2200</v>
      </c>
      <c r="AO205" s="159">
        <v>0.2</v>
      </c>
      <c r="AP205" s="160">
        <f t="shared" si="249"/>
        <v>99357436.610732511</v>
      </c>
      <c r="AQ205" s="161">
        <f t="shared" si="250"/>
        <v>27599.290155368733</v>
      </c>
      <c r="AR205" s="162">
        <f t="shared" si="251"/>
        <v>5519.858031073747</v>
      </c>
      <c r="AS205" s="163">
        <f t="shared" si="252"/>
        <v>0.78765097475367396</v>
      </c>
      <c r="AT205" s="164">
        <f t="shared" si="253"/>
        <v>0.78765097475367396</v>
      </c>
      <c r="AU205" s="165"/>
      <c r="AV205" s="166"/>
      <c r="AW205" s="167"/>
      <c r="AX205" s="146"/>
      <c r="AY205" s="168"/>
    </row>
    <row r="206" spans="1:51" ht="10.9" customHeight="1" x14ac:dyDescent="0.2">
      <c r="B206" s="140">
        <v>10</v>
      </c>
      <c r="C206" s="299" t="s">
        <v>245</v>
      </c>
      <c r="D206" s="300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>
        <v>178645</v>
      </c>
      <c r="O206" s="301">
        <v>182225</v>
      </c>
      <c r="P206" s="237"/>
      <c r="Q206" s="223">
        <f t="shared" si="235"/>
        <v>182225</v>
      </c>
      <c r="R206" s="147">
        <f t="shared" si="254"/>
        <v>20044.75</v>
      </c>
      <c r="S206" s="147">
        <f t="shared" si="236"/>
        <v>54.917123287671231</v>
      </c>
      <c r="T206" s="148">
        <f t="shared" si="255"/>
        <v>12026.85</v>
      </c>
      <c r="U206" s="199"/>
      <c r="V206" s="150"/>
      <c r="W206" s="249"/>
      <c r="X206" s="249"/>
      <c r="Y206" s="152"/>
      <c r="Z206" s="153"/>
      <c r="AA206" s="153"/>
      <c r="AB206" s="154"/>
      <c r="AC206" s="155">
        <f t="shared" si="237"/>
        <v>6975.5729999999994</v>
      </c>
      <c r="AD206" s="156">
        <f t="shared" si="238"/>
        <v>1563.4905000000001</v>
      </c>
      <c r="AE206" s="156">
        <f t="shared" si="239"/>
        <v>1055.3560875000001</v>
      </c>
      <c r="AF206" s="156">
        <f t="shared" si="240"/>
        <v>481.07400000000001</v>
      </c>
      <c r="AG206" s="156">
        <f t="shared" si="241"/>
        <v>240.53700000000001</v>
      </c>
      <c r="AH206" s="156">
        <f t="shared" si="242"/>
        <v>240.53700000000001</v>
      </c>
      <c r="AI206" s="156">
        <f t="shared" si="243"/>
        <v>120.2685</v>
      </c>
      <c r="AJ206" s="156">
        <f t="shared" si="244"/>
        <v>240.53700000000001</v>
      </c>
      <c r="AK206" s="156">
        <f t="shared" si="245"/>
        <v>240.53700000000001</v>
      </c>
      <c r="AL206" s="156">
        <f t="shared" si="246"/>
        <v>841.87950000000012</v>
      </c>
      <c r="AM206" s="157">
        <f t="shared" si="247"/>
        <v>3701.2630875</v>
      </c>
      <c r="AN206" s="158">
        <f t="shared" si="248"/>
        <v>2200</v>
      </c>
      <c r="AO206" s="159">
        <v>0.2</v>
      </c>
      <c r="AP206" s="160">
        <f t="shared" si="249"/>
        <v>98343910.128518984</v>
      </c>
      <c r="AQ206" s="161">
        <f t="shared" si="250"/>
        <v>27317.754998897719</v>
      </c>
      <c r="AR206" s="162">
        <f t="shared" si="251"/>
        <v>5463.5509997795443</v>
      </c>
      <c r="AS206" s="163">
        <f t="shared" si="252"/>
        <v>0.77961629563064272</v>
      </c>
      <c r="AT206" s="164">
        <f t="shared" si="253"/>
        <v>0.77961629563064272</v>
      </c>
      <c r="AU206" s="165"/>
      <c r="AV206" s="166"/>
      <c r="AW206" s="167"/>
      <c r="AX206" s="146"/>
      <c r="AY206" s="168"/>
    </row>
    <row r="207" spans="1:51" ht="10.9" customHeight="1" x14ac:dyDescent="0.2">
      <c r="B207" s="140">
        <v>11</v>
      </c>
      <c r="C207" s="299" t="s">
        <v>246</v>
      </c>
      <c r="D207" s="300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>
        <v>95594</v>
      </c>
      <c r="O207" s="301">
        <v>97643</v>
      </c>
      <c r="P207" s="237"/>
      <c r="Q207" s="223">
        <f t="shared" si="235"/>
        <v>97643</v>
      </c>
      <c r="R207" s="147">
        <f t="shared" si="254"/>
        <v>10740.73</v>
      </c>
      <c r="S207" s="147">
        <f t="shared" si="236"/>
        <v>29.426657534246573</v>
      </c>
      <c r="T207" s="148">
        <f t="shared" si="255"/>
        <v>6444.4379999999992</v>
      </c>
      <c r="U207" s="199"/>
      <c r="V207" s="150"/>
      <c r="W207" s="249"/>
      <c r="X207" s="249"/>
      <c r="Y207" s="152"/>
      <c r="Z207" s="153"/>
      <c r="AA207" s="153"/>
      <c r="AB207" s="154"/>
      <c r="AC207" s="155">
        <f t="shared" si="237"/>
        <v>3737.7740399999993</v>
      </c>
      <c r="AD207" s="156">
        <f t="shared" si="238"/>
        <v>837.77693999999997</v>
      </c>
      <c r="AE207" s="156">
        <f t="shared" si="239"/>
        <v>565.49943449999989</v>
      </c>
      <c r="AF207" s="156">
        <f t="shared" si="240"/>
        <v>257.77751999999998</v>
      </c>
      <c r="AG207" s="156">
        <f t="shared" si="241"/>
        <v>128.88875999999999</v>
      </c>
      <c r="AH207" s="156">
        <f t="shared" si="242"/>
        <v>128.88875999999999</v>
      </c>
      <c r="AI207" s="156">
        <f t="shared" si="243"/>
        <v>64.444379999999995</v>
      </c>
      <c r="AJ207" s="156">
        <f t="shared" si="244"/>
        <v>128.88875999999999</v>
      </c>
      <c r="AK207" s="156">
        <f t="shared" si="245"/>
        <v>128.88875999999999</v>
      </c>
      <c r="AL207" s="156">
        <f t="shared" si="246"/>
        <v>451.11066</v>
      </c>
      <c r="AM207" s="157">
        <f t="shared" si="247"/>
        <v>1983.2757944999998</v>
      </c>
      <c r="AN207" s="158">
        <f t="shared" si="248"/>
        <v>2200</v>
      </c>
      <c r="AO207" s="159">
        <v>0.2</v>
      </c>
      <c r="AP207" s="160">
        <f t="shared" si="249"/>
        <v>52696361.183586121</v>
      </c>
      <c r="AQ207" s="161">
        <f t="shared" si="250"/>
        <v>14637.879277581949</v>
      </c>
      <c r="AR207" s="162">
        <f t="shared" si="251"/>
        <v>2927.5758555163902</v>
      </c>
      <c r="AS207" s="163">
        <f t="shared" si="252"/>
        <v>0.41774769627802372</v>
      </c>
      <c r="AT207" s="164">
        <f t="shared" si="253"/>
        <v>0.41774769627802372</v>
      </c>
      <c r="AU207" s="165"/>
      <c r="AV207" s="166"/>
      <c r="AW207" s="167"/>
      <c r="AX207" s="146"/>
      <c r="AY207" s="168"/>
    </row>
    <row r="208" spans="1:51" ht="10.9" customHeight="1" x14ac:dyDescent="0.2">
      <c r="B208" s="140">
        <v>12</v>
      </c>
      <c r="C208" s="299" t="s">
        <v>247</v>
      </c>
      <c r="D208" s="300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>
        <v>500970</v>
      </c>
      <c r="O208" s="301">
        <v>510373</v>
      </c>
      <c r="P208" s="237"/>
      <c r="Q208" s="223">
        <f t="shared" si="235"/>
        <v>510373</v>
      </c>
      <c r="R208" s="147">
        <f>Q208*$R$9</f>
        <v>74514.457999999999</v>
      </c>
      <c r="S208" s="147">
        <f t="shared" si="236"/>
        <v>204.14920000000001</v>
      </c>
      <c r="T208" s="148">
        <f>S208*$T$5*$T$9</f>
        <v>52160.120599999995</v>
      </c>
      <c r="U208" s="199"/>
      <c r="V208" s="150"/>
      <c r="W208" s="249"/>
      <c r="X208" s="249"/>
      <c r="Y208" s="152"/>
      <c r="Z208" s="153"/>
      <c r="AA208" s="153"/>
      <c r="AB208" s="154"/>
      <c r="AC208" s="155">
        <f t="shared" si="237"/>
        <v>30252.869947999996</v>
      </c>
      <c r="AD208" s="156">
        <f t="shared" si="238"/>
        <v>6780.8156779999999</v>
      </c>
      <c r="AE208" s="156">
        <f t="shared" si="239"/>
        <v>4577.0505826499993</v>
      </c>
      <c r="AF208" s="156">
        <f t="shared" si="240"/>
        <v>2086.4048239999997</v>
      </c>
      <c r="AG208" s="156">
        <f t="shared" si="241"/>
        <v>1043.2024119999999</v>
      </c>
      <c r="AH208" s="156">
        <f t="shared" si="242"/>
        <v>1043.2024119999999</v>
      </c>
      <c r="AI208" s="156">
        <f t="shared" si="243"/>
        <v>521.60120599999993</v>
      </c>
      <c r="AJ208" s="156">
        <f t="shared" si="244"/>
        <v>1043.2024119999999</v>
      </c>
      <c r="AK208" s="156">
        <f t="shared" si="245"/>
        <v>1043.2024119999999</v>
      </c>
      <c r="AL208" s="156">
        <f t="shared" si="246"/>
        <v>3651.2084420000001</v>
      </c>
      <c r="AM208" s="157">
        <f t="shared" si="247"/>
        <v>16052.27711465</v>
      </c>
      <c r="AN208" s="158">
        <f t="shared" si="248"/>
        <v>2200</v>
      </c>
      <c r="AO208" s="159">
        <v>0.2</v>
      </c>
      <c r="AP208" s="160">
        <f t="shared" si="249"/>
        <v>426514857.38818657</v>
      </c>
      <c r="AQ208" s="161">
        <f t="shared" si="250"/>
        <v>118476.35875260421</v>
      </c>
      <c r="AR208" s="162">
        <f t="shared" si="251"/>
        <v>23695.271750520842</v>
      </c>
      <c r="AS208" s="163">
        <f t="shared" si="252"/>
        <v>3.3811746219350516</v>
      </c>
      <c r="AT208" s="164">
        <f t="shared" si="253"/>
        <v>3.3811746219350516</v>
      </c>
      <c r="AU208" s="165"/>
      <c r="AV208" s="166"/>
      <c r="AW208" s="167"/>
      <c r="AX208" s="146"/>
      <c r="AY208" s="168"/>
    </row>
    <row r="209" spans="1:51" ht="10.9" customHeight="1" x14ac:dyDescent="0.2">
      <c r="B209" s="140">
        <v>13</v>
      </c>
      <c r="C209" s="299" t="s">
        <v>248</v>
      </c>
      <c r="D209" s="300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>
        <v>554764</v>
      </c>
      <c r="O209" s="301">
        <v>565856</v>
      </c>
      <c r="P209" s="237"/>
      <c r="Q209" s="223">
        <f t="shared" si="235"/>
        <v>565856</v>
      </c>
      <c r="R209" s="147">
        <f>Q209*$R$9</f>
        <v>82614.975999999995</v>
      </c>
      <c r="S209" s="147">
        <f t="shared" si="236"/>
        <v>226.3424</v>
      </c>
      <c r="T209" s="148">
        <f>S209*$T$5*$T$9</f>
        <v>57830.483199999995</v>
      </c>
      <c r="U209" s="199"/>
      <c r="V209" s="150"/>
      <c r="W209" s="249"/>
      <c r="X209" s="249"/>
      <c r="Y209" s="152"/>
      <c r="Z209" s="153"/>
      <c r="AA209" s="153"/>
      <c r="AB209" s="154"/>
      <c r="AC209" s="155">
        <f t="shared" si="237"/>
        <v>33541.680255999992</v>
      </c>
      <c r="AD209" s="156">
        <f t="shared" si="238"/>
        <v>7517.9628159999993</v>
      </c>
      <c r="AE209" s="156">
        <f t="shared" si="239"/>
        <v>5074.6249007999995</v>
      </c>
      <c r="AF209" s="156">
        <f t="shared" si="240"/>
        <v>2313.2193279999997</v>
      </c>
      <c r="AG209" s="156">
        <f t="shared" si="241"/>
        <v>1156.6096639999998</v>
      </c>
      <c r="AH209" s="156">
        <f t="shared" si="242"/>
        <v>1156.6096639999998</v>
      </c>
      <c r="AI209" s="156">
        <f t="shared" si="243"/>
        <v>578.30483199999992</v>
      </c>
      <c r="AJ209" s="156">
        <f t="shared" si="244"/>
        <v>1156.6096639999998</v>
      </c>
      <c r="AK209" s="156">
        <f t="shared" si="245"/>
        <v>1156.6096639999998</v>
      </c>
      <c r="AL209" s="156">
        <f t="shared" si="246"/>
        <v>4048.133824</v>
      </c>
      <c r="AM209" s="157">
        <f t="shared" si="247"/>
        <v>17797.331204800001</v>
      </c>
      <c r="AN209" s="158">
        <f t="shared" si="248"/>
        <v>2200</v>
      </c>
      <c r="AO209" s="159">
        <v>0.2</v>
      </c>
      <c r="AP209" s="160">
        <f t="shared" si="249"/>
        <v>472881581.00497031</v>
      </c>
      <c r="AQ209" s="161">
        <f t="shared" si="250"/>
        <v>131356.00523208245</v>
      </c>
      <c r="AR209" s="162">
        <f t="shared" si="251"/>
        <v>26271.201046416492</v>
      </c>
      <c r="AS209" s="163">
        <f t="shared" si="252"/>
        <v>3.748744441554865</v>
      </c>
      <c r="AT209" s="164">
        <f t="shared" si="253"/>
        <v>3.748744441554865</v>
      </c>
      <c r="AU209" s="165"/>
      <c r="AV209" s="166"/>
      <c r="AW209" s="167"/>
      <c r="AX209" s="146"/>
      <c r="AY209" s="168"/>
    </row>
    <row r="210" spans="1:51" ht="10.9" customHeight="1" x14ac:dyDescent="0.2">
      <c r="B210" s="140">
        <v>14</v>
      </c>
      <c r="C210" s="299" t="s">
        <v>249</v>
      </c>
      <c r="D210" s="300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>
        <v>186462</v>
      </c>
      <c r="O210" s="301">
        <v>190801</v>
      </c>
      <c r="P210" s="237"/>
      <c r="Q210" s="223">
        <f t="shared" si="235"/>
        <v>190801</v>
      </c>
      <c r="R210" s="147">
        <f>Q210*$R$10</f>
        <v>20988.11</v>
      </c>
      <c r="S210" s="147">
        <f t="shared" si="236"/>
        <v>57.501671232876717</v>
      </c>
      <c r="T210" s="148">
        <f>S210*$T$5*$T$10</f>
        <v>12592.866</v>
      </c>
      <c r="U210" s="199"/>
      <c r="V210" s="150"/>
      <c r="W210" s="249"/>
      <c r="X210" s="249"/>
      <c r="Y210" s="152"/>
      <c r="Z210" s="153"/>
      <c r="AA210" s="153"/>
      <c r="AB210" s="154"/>
      <c r="AC210" s="155">
        <f t="shared" si="237"/>
        <v>7303.8622799999994</v>
      </c>
      <c r="AD210" s="156">
        <f t="shared" si="238"/>
        <v>1637.07258</v>
      </c>
      <c r="AE210" s="156">
        <f t="shared" si="239"/>
        <v>1105.0239915</v>
      </c>
      <c r="AF210" s="156">
        <f t="shared" si="240"/>
        <v>503.71464000000003</v>
      </c>
      <c r="AG210" s="156">
        <f t="shared" si="241"/>
        <v>251.85732000000002</v>
      </c>
      <c r="AH210" s="156">
        <f t="shared" si="242"/>
        <v>251.85732000000002</v>
      </c>
      <c r="AI210" s="156">
        <f t="shared" si="243"/>
        <v>125.92866000000001</v>
      </c>
      <c r="AJ210" s="156">
        <f t="shared" si="244"/>
        <v>251.85732000000002</v>
      </c>
      <c r="AK210" s="156">
        <f t="shared" si="245"/>
        <v>251.85732000000002</v>
      </c>
      <c r="AL210" s="156">
        <f t="shared" si="246"/>
        <v>881.50062000000003</v>
      </c>
      <c r="AM210" s="157">
        <f t="shared" si="247"/>
        <v>3875.4545115000005</v>
      </c>
      <c r="AN210" s="158">
        <f t="shared" si="248"/>
        <v>2200</v>
      </c>
      <c r="AO210" s="159">
        <v>0.2</v>
      </c>
      <c r="AP210" s="160">
        <f t="shared" si="249"/>
        <v>102972239.79383482</v>
      </c>
      <c r="AQ210" s="161">
        <f t="shared" si="250"/>
        <v>28603.402231003889</v>
      </c>
      <c r="AR210" s="162">
        <f t="shared" si="251"/>
        <v>5720.6804462007785</v>
      </c>
      <c r="AS210" s="163">
        <f t="shared" si="252"/>
        <v>0.8163071412957732</v>
      </c>
      <c r="AT210" s="164">
        <f t="shared" si="253"/>
        <v>0.8163071412957732</v>
      </c>
      <c r="AU210" s="165"/>
      <c r="AV210" s="166"/>
      <c r="AW210" s="167"/>
      <c r="AX210" s="146"/>
      <c r="AY210" s="168"/>
    </row>
    <row r="211" spans="1:51" s="263" customFormat="1" ht="16.7" customHeight="1" x14ac:dyDescent="0.25">
      <c r="A211" s="173"/>
      <c r="B211" s="225"/>
      <c r="C211" s="258" t="s">
        <v>250</v>
      </c>
      <c r="D211" s="240">
        <f>SUM(D197:D210)</f>
        <v>0</v>
      </c>
      <c r="E211" s="240">
        <f t="shared" ref="E211:AM211" si="256">SUM(E197:E210)</f>
        <v>0</v>
      </c>
      <c r="F211" s="240">
        <f t="shared" si="256"/>
        <v>0</v>
      </c>
      <c r="G211" s="240">
        <f t="shared" si="256"/>
        <v>0</v>
      </c>
      <c r="H211" s="240">
        <f t="shared" si="256"/>
        <v>0</v>
      </c>
      <c r="I211" s="240">
        <v>4052345</v>
      </c>
      <c r="J211" s="240">
        <f t="shared" si="256"/>
        <v>0</v>
      </c>
      <c r="K211" s="240">
        <f t="shared" si="256"/>
        <v>0</v>
      </c>
      <c r="L211" s="240">
        <f t="shared" si="256"/>
        <v>0</v>
      </c>
      <c r="M211" s="240">
        <f t="shared" si="256"/>
        <v>0</v>
      </c>
      <c r="N211" s="240">
        <f t="shared" si="256"/>
        <v>4395983</v>
      </c>
      <c r="O211" s="240">
        <f t="shared" si="256"/>
        <v>4477348</v>
      </c>
      <c r="P211" s="240">
        <f t="shared" si="256"/>
        <v>0</v>
      </c>
      <c r="Q211" s="240">
        <f t="shared" si="256"/>
        <v>4477348</v>
      </c>
      <c r="R211" s="240">
        <f t="shared" si="256"/>
        <v>549293.88799999992</v>
      </c>
      <c r="S211" s="240">
        <f t="shared" si="256"/>
        <v>1504.9147616438356</v>
      </c>
      <c r="T211" s="240">
        <f t="shared" si="256"/>
        <v>352606.05160000001</v>
      </c>
      <c r="U211" s="199">
        <f t="shared" si="256"/>
        <v>0</v>
      </c>
      <c r="V211" s="241"/>
      <c r="W211" s="242">
        <f t="shared" si="256"/>
        <v>0</v>
      </c>
      <c r="X211" s="242">
        <f>SUM(X197:X210)</f>
        <v>0</v>
      </c>
      <c r="Y211" s="242">
        <f>SUM(Y197:Y210)</f>
        <v>0</v>
      </c>
      <c r="Z211" s="199"/>
      <c r="AA211" s="199"/>
      <c r="AB211" s="243"/>
      <c r="AC211" s="240">
        <f>SUM(AC197:AC210)</f>
        <v>204511.50992799998</v>
      </c>
      <c r="AD211" s="244">
        <f>SUM(AD197:AD210)</f>
        <v>45838.786708</v>
      </c>
      <c r="AE211" s="244">
        <f>SUM(AE197:AE210)</f>
        <v>30941.181027899998</v>
      </c>
      <c r="AF211" s="244">
        <f>SUM(AF197:AF210)</f>
        <v>14104.242063999998</v>
      </c>
      <c r="AG211" s="244">
        <f>SUM(AG197:AG210)</f>
        <v>7052.1210319999991</v>
      </c>
      <c r="AH211" s="244">
        <f t="shared" si="256"/>
        <v>7052.1210319999991</v>
      </c>
      <c r="AI211" s="244">
        <f>SUM(AI197:AI210)</f>
        <v>3526.0605159999996</v>
      </c>
      <c r="AJ211" s="244">
        <f t="shared" si="256"/>
        <v>7052.1210319999991</v>
      </c>
      <c r="AK211" s="244">
        <f t="shared" si="256"/>
        <v>7052.1210319999991</v>
      </c>
      <c r="AL211" s="244">
        <f t="shared" si="256"/>
        <v>24682.423612000002</v>
      </c>
      <c r="AM211" s="245">
        <f t="shared" si="256"/>
        <v>108514.51237990001</v>
      </c>
      <c r="AN211" s="158"/>
      <c r="AO211" s="183"/>
      <c r="AP211" s="160">
        <f>SUM(AP197:AP210)</f>
        <v>2883270170.4371748</v>
      </c>
      <c r="AQ211" s="160">
        <f t="shared" ref="AQ211:AX211" si="257">SUM(AQ197:AQ210)</f>
        <v>800908.44474966335</v>
      </c>
      <c r="AR211" s="160">
        <f t="shared" si="257"/>
        <v>160181.68894993269</v>
      </c>
      <c r="AS211" s="185">
        <f t="shared" si="257"/>
        <v>22.856976162947017</v>
      </c>
      <c r="AT211" s="186">
        <f t="shared" si="257"/>
        <v>22.856976162947017</v>
      </c>
      <c r="AU211" s="187"/>
      <c r="AV211" s="246">
        <f t="shared" si="257"/>
        <v>0</v>
      </c>
      <c r="AW211" s="246"/>
      <c r="AX211" s="185">
        <f t="shared" si="257"/>
        <v>0</v>
      </c>
      <c r="AY211" s="189"/>
    </row>
    <row r="212" spans="1:51" s="139" customFormat="1" ht="10.9" customHeight="1" x14ac:dyDescent="0.25">
      <c r="B212" s="247"/>
      <c r="C212" s="152"/>
      <c r="D212" s="247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248"/>
      <c r="Q212" s="249"/>
      <c r="R212" s="250"/>
      <c r="S212" s="250"/>
      <c r="T212" s="251"/>
      <c r="U212" s="199"/>
      <c r="V212" s="179"/>
      <c r="W212" s="249"/>
      <c r="X212" s="249"/>
      <c r="Y212" s="152"/>
      <c r="Z212" s="153"/>
      <c r="AA212" s="153"/>
      <c r="AB212" s="154"/>
      <c r="AC212" s="247"/>
      <c r="AD212" s="252"/>
      <c r="AE212" s="252"/>
      <c r="AF212" s="252"/>
      <c r="AG212" s="252"/>
      <c r="AH212" s="252"/>
      <c r="AI212" s="252"/>
      <c r="AJ212" s="252"/>
      <c r="AK212" s="252"/>
      <c r="AL212" s="252"/>
      <c r="AM212" s="214"/>
      <c r="AN212" s="203"/>
      <c r="AO212" s="204"/>
      <c r="AP212" s="203"/>
      <c r="AQ212" s="205"/>
      <c r="AR212" s="206"/>
      <c r="AS212" s="253"/>
      <c r="AT212" s="254"/>
      <c r="AU212" s="255"/>
      <c r="AV212" s="256"/>
      <c r="AW212" s="257"/>
      <c r="AX212" s="214"/>
      <c r="AY212" s="212"/>
    </row>
    <row r="213" spans="1:51" s="139" customFormat="1" ht="15" customHeight="1" x14ac:dyDescent="0.25">
      <c r="A213" s="1"/>
      <c r="B213" s="120"/>
      <c r="C213" s="258" t="s">
        <v>251</v>
      </c>
      <c r="D213" s="122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213"/>
      <c r="Q213" s="76"/>
      <c r="R213" s="108"/>
      <c r="S213" s="108"/>
      <c r="T213" s="94"/>
      <c r="U213" s="199"/>
      <c r="V213" s="179"/>
      <c r="W213" s="180"/>
      <c r="X213" s="180"/>
      <c r="Y213" s="214"/>
      <c r="Z213" s="181"/>
      <c r="AA213" s="181"/>
      <c r="AB213" s="182"/>
      <c r="AC213" s="62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125"/>
      <c r="AN213" s="75"/>
      <c r="AO213" s="216"/>
      <c r="AP213" s="75"/>
      <c r="AQ213" s="51"/>
      <c r="AR213" s="259"/>
      <c r="AS213" s="218"/>
      <c r="AT213" s="219"/>
      <c r="AU213" s="220"/>
      <c r="AV213" s="135"/>
      <c r="AW213" s="136"/>
      <c r="AX213" s="137"/>
      <c r="AY213" s="138"/>
    </row>
    <row r="214" spans="1:51" ht="10.9" customHeight="1" x14ac:dyDescent="0.25">
      <c r="B214" s="140">
        <v>1</v>
      </c>
      <c r="C214" s="302" t="s">
        <v>252</v>
      </c>
      <c r="D214" s="235"/>
      <c r="E214" s="236"/>
      <c r="F214" s="236"/>
      <c r="G214" s="236"/>
      <c r="H214" s="236"/>
      <c r="I214" s="236"/>
      <c r="J214" s="236"/>
      <c r="K214" s="236">
        <f>($L$228/$K$228)*L214</f>
        <v>255277.16611382645</v>
      </c>
      <c r="L214" s="236">
        <f>($M$228/$L$228)*M214</f>
        <v>245070.28296532368</v>
      </c>
      <c r="M214" s="236">
        <f>($N$228/$M$228)*N214</f>
        <v>239364.57441166212</v>
      </c>
      <c r="N214" s="236">
        <f>($N$228/$O$228)*O214</f>
        <v>236290.17100483048</v>
      </c>
      <c r="O214" s="236">
        <v>239753</v>
      </c>
      <c r="P214" s="237"/>
      <c r="Q214" s="223">
        <f t="shared" ref="Q214:Q228" si="258">MAX(D214:P214)</f>
        <v>255277.16611382645</v>
      </c>
      <c r="R214" s="147">
        <f t="shared" ref="R214:R227" si="259">Q214*$R$10</f>
        <v>28080.48827252091</v>
      </c>
      <c r="S214" s="147">
        <f t="shared" ref="S214:S227" si="260">R214/$S$5</f>
        <v>76.932844582249075</v>
      </c>
      <c r="T214" s="148">
        <f t="shared" ref="T214:T227" si="261">S214*$T$5*$T$10</f>
        <v>16848.292963512547</v>
      </c>
      <c r="U214" s="199"/>
      <c r="V214" s="150"/>
      <c r="W214" s="249"/>
      <c r="X214" s="249"/>
      <c r="Y214" s="152"/>
      <c r="Z214" s="153"/>
      <c r="AA214" s="153"/>
      <c r="AB214" s="154"/>
      <c r="AC214" s="155">
        <f t="shared" ref="AC214:AC227" si="262">T214*$AC$5</f>
        <v>9772.0099188372769</v>
      </c>
      <c r="AD214" s="156">
        <f t="shared" ref="AD214:AD227" si="263">T214*$AD$5</f>
        <v>2190.2780852566311</v>
      </c>
      <c r="AE214" s="156">
        <f t="shared" ref="AE214:AE227" si="264">T214*$AE$5</f>
        <v>1478.4377075482259</v>
      </c>
      <c r="AF214" s="156">
        <f t="shared" ref="AF214:AF227" si="265">T214*$AF$5</f>
        <v>673.93171854050195</v>
      </c>
      <c r="AG214" s="156">
        <f t="shared" ref="AG214:AG227" si="266">T214*$AG$5</f>
        <v>336.96585927025097</v>
      </c>
      <c r="AH214" s="156">
        <f t="shared" ref="AH214:AH227" si="267">T214*$AH$5</f>
        <v>336.96585927025097</v>
      </c>
      <c r="AI214" s="156">
        <f t="shared" ref="AI214:AI227" si="268">T214*$AI$5</f>
        <v>168.48292963512549</v>
      </c>
      <c r="AJ214" s="156">
        <f t="shared" ref="AJ214:AJ227" si="269">T214*$AJ$5</f>
        <v>336.96585927025097</v>
      </c>
      <c r="AK214" s="156">
        <f t="shared" ref="AK214:AK227" si="270">T214*$AK$5</f>
        <v>336.96585927025097</v>
      </c>
      <c r="AL214" s="156">
        <f t="shared" ref="AL214:AL227" si="271">T214*$AL$5</f>
        <v>1179.3805074458785</v>
      </c>
      <c r="AM214" s="157">
        <f t="shared" ref="AM214:AM227" si="272">SUM(AD214:AI214)</f>
        <v>5185.0621595209859</v>
      </c>
      <c r="AN214" s="158">
        <f t="shared" ref="AN214:AN227" si="273">$AN$5</f>
        <v>2200</v>
      </c>
      <c r="AO214" s="159">
        <v>0.2</v>
      </c>
      <c r="AP214" s="160">
        <f t="shared" ref="AP214:AP227" si="274">(AC214+AM214)*AN214*$AP$5</f>
        <v>137768992.63087481</v>
      </c>
      <c r="AQ214" s="161">
        <f t="shared" ref="AQ214:AQ227" si="275">AP214*$AQ$5</f>
        <v>38269.167681220613</v>
      </c>
      <c r="AR214" s="162">
        <f t="shared" ref="AR214:AR227" si="276">AQ214*$AR$5</f>
        <v>7653.833536244123</v>
      </c>
      <c r="AS214" s="163">
        <f t="shared" ref="AS214:AS227" si="277">AR214/$AS$5</f>
        <v>1.092156611906981</v>
      </c>
      <c r="AT214" s="164">
        <f t="shared" ref="AT214:AT227" si="278">AS214</f>
        <v>1.092156611906981</v>
      </c>
      <c r="AU214" s="165"/>
      <c r="AV214" s="166"/>
      <c r="AW214" s="167"/>
      <c r="AX214" s="146"/>
      <c r="AY214" s="168"/>
    </row>
    <row r="215" spans="1:51" ht="10.9" customHeight="1" x14ac:dyDescent="0.25">
      <c r="B215" s="140">
        <v>2</v>
      </c>
      <c r="C215" s="302" t="s">
        <v>253</v>
      </c>
      <c r="D215" s="235"/>
      <c r="E215" s="236"/>
      <c r="F215" s="236"/>
      <c r="G215" s="236"/>
      <c r="H215" s="236"/>
      <c r="I215" s="236"/>
      <c r="J215" s="236"/>
      <c r="K215" s="236">
        <f t="shared" ref="K215:K227" si="279">($L$228/$K$228)*L215</f>
        <v>405083.32563446194</v>
      </c>
      <c r="L215" s="236">
        <f t="shared" ref="L215:L227" si="280">($M$228/$L$228)*M215</f>
        <v>388886.66287335061</v>
      </c>
      <c r="M215" s="236">
        <f t="shared" ref="M215:M227" si="281">($N$228/$M$228)*N215</f>
        <v>379832.63179331413</v>
      </c>
      <c r="N215" s="236">
        <f t="shared" ref="N215:N227" si="282">($N$228/$O$228)*O215</f>
        <v>374954.05383297289</v>
      </c>
      <c r="O215" s="236">
        <v>380449</v>
      </c>
      <c r="P215" s="237"/>
      <c r="Q215" s="223">
        <f t="shared" si="258"/>
        <v>405083.32563446194</v>
      </c>
      <c r="R215" s="147">
        <f t="shared" si="259"/>
        <v>44559.165819790811</v>
      </c>
      <c r="S215" s="147">
        <f t="shared" si="260"/>
        <v>122.07990635559126</v>
      </c>
      <c r="T215" s="148">
        <f t="shared" si="261"/>
        <v>26735.499491874485</v>
      </c>
      <c r="U215" s="199"/>
      <c r="V215" s="150"/>
      <c r="W215" s="249"/>
      <c r="X215" s="249"/>
      <c r="Y215" s="152"/>
      <c r="Z215" s="153"/>
      <c r="AA215" s="153"/>
      <c r="AB215" s="154"/>
      <c r="AC215" s="155">
        <f t="shared" si="262"/>
        <v>15506.589705287201</v>
      </c>
      <c r="AD215" s="156">
        <f t="shared" si="263"/>
        <v>3475.6149339436834</v>
      </c>
      <c r="AE215" s="156">
        <f t="shared" si="264"/>
        <v>2346.0400804119859</v>
      </c>
      <c r="AF215" s="156">
        <f t="shared" si="265"/>
        <v>1069.4199796749795</v>
      </c>
      <c r="AG215" s="156">
        <f t="shared" si="266"/>
        <v>534.70998983748973</v>
      </c>
      <c r="AH215" s="156">
        <f t="shared" si="267"/>
        <v>534.70998983748973</v>
      </c>
      <c r="AI215" s="156">
        <f t="shared" si="268"/>
        <v>267.35499491874486</v>
      </c>
      <c r="AJ215" s="156">
        <f t="shared" si="269"/>
        <v>534.70998983748973</v>
      </c>
      <c r="AK215" s="156">
        <f t="shared" si="270"/>
        <v>534.70998983748973</v>
      </c>
      <c r="AL215" s="156">
        <f t="shared" si="271"/>
        <v>1871.4849644312142</v>
      </c>
      <c r="AM215" s="157">
        <f t="shared" si="272"/>
        <v>8227.849968624374</v>
      </c>
      <c r="AN215" s="158">
        <f t="shared" si="273"/>
        <v>2200</v>
      </c>
      <c r="AO215" s="159">
        <v>0.2</v>
      </c>
      <c r="AP215" s="160">
        <f t="shared" si="274"/>
        <v>218616974.45881256</v>
      </c>
      <c r="AQ215" s="161">
        <f t="shared" si="275"/>
        <v>60726.942207825145</v>
      </c>
      <c r="AR215" s="162">
        <f t="shared" si="276"/>
        <v>12145.38844156503</v>
      </c>
      <c r="AS215" s="163">
        <f t="shared" si="277"/>
        <v>1.7330748346982063</v>
      </c>
      <c r="AT215" s="164">
        <f t="shared" si="278"/>
        <v>1.7330748346982063</v>
      </c>
      <c r="AU215" s="165"/>
      <c r="AV215" s="166"/>
      <c r="AW215" s="167"/>
      <c r="AX215" s="146"/>
      <c r="AY215" s="168"/>
    </row>
    <row r="216" spans="1:51" ht="10.9" customHeight="1" x14ac:dyDescent="0.25">
      <c r="B216" s="140">
        <v>3</v>
      </c>
      <c r="C216" s="302" t="s">
        <v>254</v>
      </c>
      <c r="D216" s="235"/>
      <c r="E216" s="236"/>
      <c r="F216" s="236"/>
      <c r="G216" s="236"/>
      <c r="H216" s="236"/>
      <c r="I216" s="236"/>
      <c r="J216" s="236"/>
      <c r="K216" s="236">
        <f t="shared" si="279"/>
        <v>356870.35078617989</v>
      </c>
      <c r="L216" s="236">
        <f t="shared" si="280"/>
        <v>342601.41312484769</v>
      </c>
      <c r="M216" s="236">
        <f t="shared" si="281"/>
        <v>334624.99187250203</v>
      </c>
      <c r="N216" s="236">
        <f t="shared" si="282"/>
        <v>330327.06174832862</v>
      </c>
      <c r="O216" s="236">
        <v>335168</v>
      </c>
      <c r="P216" s="237"/>
      <c r="Q216" s="223">
        <f t="shared" si="258"/>
        <v>356870.35078617989</v>
      </c>
      <c r="R216" s="147">
        <f t="shared" si="259"/>
        <v>39255.738586479791</v>
      </c>
      <c r="S216" s="147">
        <f t="shared" si="260"/>
        <v>107.54996873008162</v>
      </c>
      <c r="T216" s="148">
        <f t="shared" si="261"/>
        <v>23553.443151887874</v>
      </c>
      <c r="U216" s="199"/>
      <c r="V216" s="150"/>
      <c r="W216" s="249"/>
      <c r="X216" s="249"/>
      <c r="Y216" s="152"/>
      <c r="Z216" s="153"/>
      <c r="AA216" s="153"/>
      <c r="AB216" s="154"/>
      <c r="AC216" s="155">
        <f t="shared" si="262"/>
        <v>13660.997028094966</v>
      </c>
      <c r="AD216" s="156">
        <f t="shared" si="263"/>
        <v>3061.9476097454235</v>
      </c>
      <c r="AE216" s="156">
        <f t="shared" si="264"/>
        <v>2066.8146365781608</v>
      </c>
      <c r="AF216" s="156">
        <f t="shared" si="265"/>
        <v>942.13772607551493</v>
      </c>
      <c r="AG216" s="156">
        <f t="shared" si="266"/>
        <v>471.06886303775747</v>
      </c>
      <c r="AH216" s="156">
        <f t="shared" si="267"/>
        <v>471.06886303775747</v>
      </c>
      <c r="AI216" s="156">
        <f t="shared" si="268"/>
        <v>235.53443151887873</v>
      </c>
      <c r="AJ216" s="156">
        <f t="shared" si="269"/>
        <v>471.06886303775747</v>
      </c>
      <c r="AK216" s="156">
        <f t="shared" si="270"/>
        <v>471.06886303775747</v>
      </c>
      <c r="AL216" s="156">
        <f t="shared" si="271"/>
        <v>1648.7410206321513</v>
      </c>
      <c r="AM216" s="157">
        <f t="shared" si="272"/>
        <v>7248.5721299934921</v>
      </c>
      <c r="AN216" s="158">
        <f t="shared" si="273"/>
        <v>2200</v>
      </c>
      <c r="AO216" s="159">
        <v>0.2</v>
      </c>
      <c r="AP216" s="160">
        <f t="shared" si="274"/>
        <v>192597205.13238648</v>
      </c>
      <c r="AQ216" s="161">
        <f t="shared" si="275"/>
        <v>53499.22792782302</v>
      </c>
      <c r="AR216" s="162">
        <f t="shared" si="276"/>
        <v>10699.845585564604</v>
      </c>
      <c r="AS216" s="163">
        <f t="shared" si="277"/>
        <v>1.5268044499949494</v>
      </c>
      <c r="AT216" s="164">
        <f t="shared" si="278"/>
        <v>1.5268044499949494</v>
      </c>
      <c r="AU216" s="165"/>
      <c r="AV216" s="166"/>
      <c r="AW216" s="167"/>
      <c r="AX216" s="146"/>
      <c r="AY216" s="168"/>
    </row>
    <row r="217" spans="1:51" ht="10.9" customHeight="1" x14ac:dyDescent="0.25">
      <c r="B217" s="140">
        <v>4</v>
      </c>
      <c r="C217" s="302" t="s">
        <v>255</v>
      </c>
      <c r="D217" s="235"/>
      <c r="E217" s="236"/>
      <c r="F217" s="236"/>
      <c r="G217" s="236"/>
      <c r="H217" s="236"/>
      <c r="I217" s="236"/>
      <c r="J217" s="236"/>
      <c r="K217" s="236">
        <f t="shared" si="279"/>
        <v>134378.98713979678</v>
      </c>
      <c r="L217" s="236">
        <f t="shared" si="280"/>
        <v>129006.04039242306</v>
      </c>
      <c r="M217" s="236">
        <f t="shared" si="281"/>
        <v>126002.53111649341</v>
      </c>
      <c r="N217" s="236">
        <f t="shared" si="282"/>
        <v>124384.15207320302</v>
      </c>
      <c r="O217" s="236">
        <v>126207</v>
      </c>
      <c r="P217" s="237"/>
      <c r="Q217" s="223">
        <f t="shared" si="258"/>
        <v>134378.98713979678</v>
      </c>
      <c r="R217" s="147">
        <f t="shared" si="259"/>
        <v>14781.688585377646</v>
      </c>
      <c r="S217" s="147">
        <f t="shared" si="260"/>
        <v>40.497776946240123</v>
      </c>
      <c r="T217" s="148">
        <f t="shared" si="261"/>
        <v>8869.0131512265853</v>
      </c>
      <c r="U217" s="199"/>
      <c r="V217" s="150"/>
      <c r="W217" s="249"/>
      <c r="X217" s="249"/>
      <c r="Y217" s="152"/>
      <c r="Z217" s="153"/>
      <c r="AA217" s="153"/>
      <c r="AB217" s="154"/>
      <c r="AC217" s="155">
        <f t="shared" si="262"/>
        <v>5144.027627711419</v>
      </c>
      <c r="AD217" s="156">
        <f t="shared" si="263"/>
        <v>1152.9717096594561</v>
      </c>
      <c r="AE217" s="156">
        <f t="shared" si="264"/>
        <v>778.25590402013279</v>
      </c>
      <c r="AF217" s="156">
        <f t="shared" si="265"/>
        <v>354.7605260490634</v>
      </c>
      <c r="AG217" s="156">
        <f t="shared" si="266"/>
        <v>177.3802630245317</v>
      </c>
      <c r="AH217" s="156">
        <f t="shared" si="267"/>
        <v>177.3802630245317</v>
      </c>
      <c r="AI217" s="156">
        <f t="shared" si="268"/>
        <v>88.69013151226585</v>
      </c>
      <c r="AJ217" s="156">
        <f t="shared" si="269"/>
        <v>177.3802630245317</v>
      </c>
      <c r="AK217" s="156">
        <f t="shared" si="270"/>
        <v>177.3802630245317</v>
      </c>
      <c r="AL217" s="156">
        <f t="shared" si="271"/>
        <v>620.83092058586101</v>
      </c>
      <c r="AM217" s="157">
        <f t="shared" si="272"/>
        <v>2729.4387972899822</v>
      </c>
      <c r="AN217" s="158">
        <f t="shared" si="273"/>
        <v>2200</v>
      </c>
      <c r="AO217" s="159">
        <v>0.2</v>
      </c>
      <c r="AP217" s="160">
        <f t="shared" si="274"/>
        <v>72522184.302030906</v>
      </c>
      <c r="AQ217" s="161">
        <f t="shared" si="275"/>
        <v>20145.052806612679</v>
      </c>
      <c r="AR217" s="162">
        <f t="shared" si="276"/>
        <v>4029.010561322536</v>
      </c>
      <c r="AS217" s="163">
        <f t="shared" si="277"/>
        <v>0.57491589059967696</v>
      </c>
      <c r="AT217" s="164">
        <f t="shared" si="278"/>
        <v>0.57491589059967696</v>
      </c>
      <c r="AU217" s="165"/>
      <c r="AV217" s="166"/>
      <c r="AW217" s="167"/>
      <c r="AX217" s="146"/>
      <c r="AY217" s="168"/>
    </row>
    <row r="218" spans="1:51" ht="10.9" customHeight="1" x14ac:dyDescent="0.25">
      <c r="B218" s="140">
        <v>5</v>
      </c>
      <c r="C218" s="302" t="s">
        <v>256</v>
      </c>
      <c r="D218" s="235"/>
      <c r="E218" s="236"/>
      <c r="F218" s="236"/>
      <c r="G218" s="236"/>
      <c r="H218" s="236"/>
      <c r="I218" s="236"/>
      <c r="J218" s="236"/>
      <c r="K218" s="236">
        <f t="shared" si="279"/>
        <v>131613.8296635708</v>
      </c>
      <c r="L218" s="236">
        <f t="shared" si="280"/>
        <v>126351.44368305574</v>
      </c>
      <c r="M218" s="236">
        <f t="shared" si="281"/>
        <v>123409.73853518229</v>
      </c>
      <c r="N218" s="236">
        <f t="shared" si="282"/>
        <v>121824.66137194153</v>
      </c>
      <c r="O218" s="236">
        <v>123610</v>
      </c>
      <c r="P218" s="237"/>
      <c r="Q218" s="223">
        <f t="shared" si="258"/>
        <v>131613.8296635708</v>
      </c>
      <c r="R218" s="147">
        <f t="shared" si="259"/>
        <v>14477.521262992788</v>
      </c>
      <c r="S218" s="147">
        <f t="shared" si="260"/>
        <v>39.664441816418595</v>
      </c>
      <c r="T218" s="148">
        <f t="shared" si="261"/>
        <v>8686.5127577956719</v>
      </c>
      <c r="U218" s="199"/>
      <c r="V218" s="150"/>
      <c r="W218" s="249"/>
      <c r="X218" s="249"/>
      <c r="Y218" s="152"/>
      <c r="Z218" s="153"/>
      <c r="AA218" s="153"/>
      <c r="AB218" s="154"/>
      <c r="AC218" s="155">
        <f t="shared" si="262"/>
        <v>5038.177399521489</v>
      </c>
      <c r="AD218" s="156">
        <f t="shared" si="263"/>
        <v>1129.2466585134373</v>
      </c>
      <c r="AE218" s="156">
        <f t="shared" si="264"/>
        <v>762.24149449657011</v>
      </c>
      <c r="AF218" s="156">
        <f t="shared" si="265"/>
        <v>347.46051031182691</v>
      </c>
      <c r="AG218" s="156">
        <f t="shared" si="266"/>
        <v>173.73025515591345</v>
      </c>
      <c r="AH218" s="156">
        <f t="shared" si="267"/>
        <v>173.73025515591345</v>
      </c>
      <c r="AI218" s="156">
        <f t="shared" si="268"/>
        <v>86.865127577956727</v>
      </c>
      <c r="AJ218" s="156">
        <f t="shared" si="269"/>
        <v>173.73025515591345</v>
      </c>
      <c r="AK218" s="156">
        <f t="shared" si="270"/>
        <v>173.73025515591345</v>
      </c>
      <c r="AL218" s="156">
        <f t="shared" si="271"/>
        <v>608.05589304569708</v>
      </c>
      <c r="AM218" s="157">
        <f t="shared" si="272"/>
        <v>2673.2743012116175</v>
      </c>
      <c r="AN218" s="158">
        <f t="shared" si="273"/>
        <v>2200</v>
      </c>
      <c r="AO218" s="159">
        <v>0.2</v>
      </c>
      <c r="AP218" s="160">
        <f t="shared" si="274"/>
        <v>71029873.157384619</v>
      </c>
      <c r="AQ218" s="161">
        <f t="shared" si="275"/>
        <v>19730.521899937354</v>
      </c>
      <c r="AR218" s="162">
        <f t="shared" si="276"/>
        <v>3946.104379987471</v>
      </c>
      <c r="AS218" s="163">
        <f t="shared" si="277"/>
        <v>0.56308567066031268</v>
      </c>
      <c r="AT218" s="164">
        <f t="shared" si="278"/>
        <v>0.56308567066031268</v>
      </c>
      <c r="AU218" s="165"/>
      <c r="AV218" s="166"/>
      <c r="AW218" s="167"/>
      <c r="AX218" s="146"/>
      <c r="AY218" s="168"/>
    </row>
    <row r="219" spans="1:51" ht="10.9" customHeight="1" x14ac:dyDescent="0.25">
      <c r="B219" s="140">
        <v>6</v>
      </c>
      <c r="C219" s="302" t="s">
        <v>257</v>
      </c>
      <c r="D219" s="235"/>
      <c r="E219" s="236"/>
      <c r="F219" s="236"/>
      <c r="G219" s="236"/>
      <c r="H219" s="236"/>
      <c r="I219" s="236"/>
      <c r="J219" s="236"/>
      <c r="K219" s="236">
        <f t="shared" si="279"/>
        <v>48665.493880779606</v>
      </c>
      <c r="L219" s="236">
        <f t="shared" si="280"/>
        <v>46719.67547106016</v>
      </c>
      <c r="M219" s="236">
        <f t="shared" si="281"/>
        <v>45631.951375204611</v>
      </c>
      <c r="N219" s="236">
        <f t="shared" si="282"/>
        <v>45045.853674184611</v>
      </c>
      <c r="O219" s="236">
        <v>45706</v>
      </c>
      <c r="P219" s="237"/>
      <c r="Q219" s="223">
        <f t="shared" si="258"/>
        <v>48665.493880779606</v>
      </c>
      <c r="R219" s="147">
        <f t="shared" si="259"/>
        <v>5353.2043268857569</v>
      </c>
      <c r="S219" s="147">
        <f t="shared" si="260"/>
        <v>14.66631322434454</v>
      </c>
      <c r="T219" s="148">
        <f t="shared" si="261"/>
        <v>3211.9225961314542</v>
      </c>
      <c r="U219" s="199"/>
      <c r="V219" s="150"/>
      <c r="W219" s="249"/>
      <c r="X219" s="249"/>
      <c r="Y219" s="152"/>
      <c r="Z219" s="153"/>
      <c r="AA219" s="153"/>
      <c r="AB219" s="154"/>
      <c r="AC219" s="155">
        <f t="shared" si="262"/>
        <v>1862.9151057562433</v>
      </c>
      <c r="AD219" s="156">
        <f t="shared" si="263"/>
        <v>417.54993749708905</v>
      </c>
      <c r="AE219" s="156">
        <f t="shared" si="264"/>
        <v>281.84620781053508</v>
      </c>
      <c r="AF219" s="156">
        <f t="shared" si="265"/>
        <v>128.47690384525816</v>
      </c>
      <c r="AG219" s="156">
        <f t="shared" si="266"/>
        <v>64.238451922629082</v>
      </c>
      <c r="AH219" s="156">
        <f t="shared" si="267"/>
        <v>64.238451922629082</v>
      </c>
      <c r="AI219" s="156">
        <f t="shared" si="268"/>
        <v>32.119225961314541</v>
      </c>
      <c r="AJ219" s="156">
        <f t="shared" si="269"/>
        <v>64.238451922629082</v>
      </c>
      <c r="AK219" s="156">
        <f t="shared" si="270"/>
        <v>64.238451922629082</v>
      </c>
      <c r="AL219" s="156">
        <f t="shared" si="271"/>
        <v>224.8345817292018</v>
      </c>
      <c r="AM219" s="157">
        <f t="shared" si="272"/>
        <v>988.46917895945501</v>
      </c>
      <c r="AN219" s="158">
        <f t="shared" si="273"/>
        <v>2200</v>
      </c>
      <c r="AO219" s="159">
        <v>0.2</v>
      </c>
      <c r="AP219" s="160">
        <f t="shared" si="274"/>
        <v>26263986.591144912</v>
      </c>
      <c r="AQ219" s="161">
        <f t="shared" si="275"/>
        <v>7295.5524145177333</v>
      </c>
      <c r="AR219" s="162">
        <f t="shared" si="276"/>
        <v>1459.1104829035467</v>
      </c>
      <c r="AS219" s="163">
        <f t="shared" si="277"/>
        <v>0.2082064045239079</v>
      </c>
      <c r="AT219" s="164">
        <f t="shared" si="278"/>
        <v>0.2082064045239079</v>
      </c>
      <c r="AU219" s="165"/>
      <c r="AV219" s="166"/>
      <c r="AW219" s="167"/>
      <c r="AX219" s="146"/>
      <c r="AY219" s="168"/>
    </row>
    <row r="220" spans="1:51" ht="10.9" customHeight="1" x14ac:dyDescent="0.25">
      <c r="B220" s="140">
        <v>7</v>
      </c>
      <c r="C220" s="302" t="s">
        <v>258</v>
      </c>
      <c r="D220" s="235"/>
      <c r="E220" s="236"/>
      <c r="F220" s="236"/>
      <c r="G220" s="236"/>
      <c r="H220" s="236"/>
      <c r="I220" s="236"/>
      <c r="J220" s="236"/>
      <c r="K220" s="236">
        <f t="shared" si="279"/>
        <v>68418.748212294566</v>
      </c>
      <c r="L220" s="236">
        <f t="shared" si="280"/>
        <v>65683.124894311099</v>
      </c>
      <c r="M220" s="236">
        <f t="shared" si="281"/>
        <v>64153.89514435517</v>
      </c>
      <c r="N220" s="236">
        <f t="shared" si="282"/>
        <v>63329.901225129186</v>
      </c>
      <c r="O220" s="236">
        <v>64258</v>
      </c>
      <c r="P220" s="237"/>
      <c r="Q220" s="223">
        <f t="shared" si="258"/>
        <v>68418.748212294566</v>
      </c>
      <c r="R220" s="147">
        <f t="shared" si="259"/>
        <v>7526.0623033524025</v>
      </c>
      <c r="S220" s="147">
        <f t="shared" si="260"/>
        <v>20.619348776307952</v>
      </c>
      <c r="T220" s="148">
        <f t="shared" si="261"/>
        <v>4515.6373820114413</v>
      </c>
      <c r="U220" s="199"/>
      <c r="V220" s="150"/>
      <c r="W220" s="249"/>
      <c r="X220" s="249"/>
      <c r="Y220" s="152"/>
      <c r="Z220" s="153"/>
      <c r="AA220" s="153"/>
      <c r="AB220" s="154"/>
      <c r="AC220" s="155">
        <f t="shared" si="262"/>
        <v>2619.0696815666356</v>
      </c>
      <c r="AD220" s="156">
        <f t="shared" si="263"/>
        <v>587.03285966148735</v>
      </c>
      <c r="AE220" s="156">
        <f t="shared" si="264"/>
        <v>396.24718027150396</v>
      </c>
      <c r="AF220" s="156">
        <f t="shared" si="265"/>
        <v>180.62549528045767</v>
      </c>
      <c r="AG220" s="156">
        <f t="shared" si="266"/>
        <v>90.312747640228835</v>
      </c>
      <c r="AH220" s="156">
        <f t="shared" si="267"/>
        <v>90.312747640228835</v>
      </c>
      <c r="AI220" s="156">
        <f t="shared" si="268"/>
        <v>45.156373820114418</v>
      </c>
      <c r="AJ220" s="156">
        <f t="shared" si="269"/>
        <v>90.312747640228835</v>
      </c>
      <c r="AK220" s="156">
        <f t="shared" si="270"/>
        <v>90.312747640228835</v>
      </c>
      <c r="AL220" s="156">
        <f t="shared" si="271"/>
        <v>316.09461674080092</v>
      </c>
      <c r="AM220" s="157">
        <f t="shared" si="272"/>
        <v>1389.6874043140208</v>
      </c>
      <c r="AN220" s="158">
        <f t="shared" si="273"/>
        <v>2200</v>
      </c>
      <c r="AO220" s="159">
        <v>0.2</v>
      </c>
      <c r="AP220" s="160">
        <f t="shared" si="274"/>
        <v>36924501.167763293</v>
      </c>
      <c r="AQ220" s="161">
        <f t="shared" si="275"/>
        <v>10256.806700478719</v>
      </c>
      <c r="AR220" s="162">
        <f t="shared" si="276"/>
        <v>2051.3613400957438</v>
      </c>
      <c r="AS220" s="163">
        <f t="shared" si="277"/>
        <v>0.29271708620087666</v>
      </c>
      <c r="AT220" s="164">
        <f t="shared" si="278"/>
        <v>0.29271708620087666</v>
      </c>
      <c r="AU220" s="165"/>
      <c r="AV220" s="166"/>
      <c r="AW220" s="167"/>
      <c r="AX220" s="146"/>
      <c r="AY220" s="168"/>
    </row>
    <row r="221" spans="1:51" ht="10.9" customHeight="1" x14ac:dyDescent="0.25">
      <c r="B221" s="140">
        <v>8</v>
      </c>
      <c r="C221" s="302" t="s">
        <v>259</v>
      </c>
      <c r="D221" s="235"/>
      <c r="E221" s="236"/>
      <c r="F221" s="236"/>
      <c r="G221" s="236"/>
      <c r="H221" s="236"/>
      <c r="I221" s="236"/>
      <c r="J221" s="236"/>
      <c r="K221" s="236">
        <f t="shared" si="279"/>
        <v>151487.40082019687</v>
      </c>
      <c r="L221" s="236">
        <f t="shared" si="280"/>
        <v>145430.39923959837</v>
      </c>
      <c r="M221" s="236">
        <f t="shared" si="281"/>
        <v>142044.49923220661</v>
      </c>
      <c r="N221" s="236">
        <f t="shared" si="282"/>
        <v>140220.07682786975</v>
      </c>
      <c r="O221" s="236">
        <v>142275</v>
      </c>
      <c r="P221" s="237"/>
      <c r="Q221" s="223">
        <f t="shared" si="258"/>
        <v>151487.40082019687</v>
      </c>
      <c r="R221" s="147">
        <f t="shared" si="259"/>
        <v>16663.614090221654</v>
      </c>
      <c r="S221" s="147">
        <f t="shared" si="260"/>
        <v>45.65373723348398</v>
      </c>
      <c r="T221" s="148">
        <f t="shared" si="261"/>
        <v>9998.1684541329923</v>
      </c>
      <c r="U221" s="199"/>
      <c r="V221" s="150"/>
      <c r="W221" s="249"/>
      <c r="X221" s="249"/>
      <c r="Y221" s="152"/>
      <c r="Z221" s="153"/>
      <c r="AA221" s="153"/>
      <c r="AB221" s="154"/>
      <c r="AC221" s="155">
        <f t="shared" si="262"/>
        <v>5798.937703397135</v>
      </c>
      <c r="AD221" s="156">
        <f t="shared" si="263"/>
        <v>1299.7618990372891</v>
      </c>
      <c r="AE221" s="156">
        <f t="shared" si="264"/>
        <v>877.33928185016998</v>
      </c>
      <c r="AF221" s="156">
        <f t="shared" si="265"/>
        <v>399.9267381653197</v>
      </c>
      <c r="AG221" s="156">
        <f t="shared" si="266"/>
        <v>199.96336908265985</v>
      </c>
      <c r="AH221" s="156">
        <f t="shared" si="267"/>
        <v>199.96336908265985</v>
      </c>
      <c r="AI221" s="156">
        <f t="shared" si="268"/>
        <v>99.981684541329926</v>
      </c>
      <c r="AJ221" s="156">
        <f t="shared" si="269"/>
        <v>199.96336908265985</v>
      </c>
      <c r="AK221" s="156">
        <f t="shared" si="270"/>
        <v>199.96336908265985</v>
      </c>
      <c r="AL221" s="156">
        <f t="shared" si="271"/>
        <v>699.87179178930955</v>
      </c>
      <c r="AM221" s="157">
        <f t="shared" si="272"/>
        <v>3076.9363417594286</v>
      </c>
      <c r="AN221" s="158">
        <f t="shared" si="273"/>
        <v>2200</v>
      </c>
      <c r="AO221" s="159">
        <v>0.2</v>
      </c>
      <c r="AP221" s="160">
        <f t="shared" si="274"/>
        <v>81755320.794975296</v>
      </c>
      <c r="AQ221" s="161">
        <f t="shared" si="275"/>
        <v>22709.813148722489</v>
      </c>
      <c r="AR221" s="162">
        <f t="shared" si="276"/>
        <v>4541.9626297444984</v>
      </c>
      <c r="AS221" s="163">
        <f t="shared" si="277"/>
        <v>0.64811110584253684</v>
      </c>
      <c r="AT221" s="164">
        <f t="shared" si="278"/>
        <v>0.64811110584253684</v>
      </c>
      <c r="AU221" s="165"/>
      <c r="AV221" s="166"/>
      <c r="AW221" s="167"/>
      <c r="AX221" s="146"/>
      <c r="AY221" s="168"/>
    </row>
    <row r="222" spans="1:51" ht="10.9" customHeight="1" x14ac:dyDescent="0.25">
      <c r="B222" s="140">
        <v>9</v>
      </c>
      <c r="C222" s="302" t="s">
        <v>260</v>
      </c>
      <c r="D222" s="235"/>
      <c r="E222" s="236"/>
      <c r="F222" s="236"/>
      <c r="G222" s="236"/>
      <c r="H222" s="236"/>
      <c r="I222" s="236"/>
      <c r="J222" s="236"/>
      <c r="K222" s="236">
        <f t="shared" si="279"/>
        <v>158532.85596851699</v>
      </c>
      <c r="L222" s="236">
        <f t="shared" si="280"/>
        <v>152194.15219527172</v>
      </c>
      <c r="M222" s="236">
        <f t="shared" si="281"/>
        <v>148650.77898212412</v>
      </c>
      <c r="N222" s="236">
        <f t="shared" si="282"/>
        <v>146741.50538784175</v>
      </c>
      <c r="O222" s="236">
        <v>148892</v>
      </c>
      <c r="P222" s="237"/>
      <c r="Q222" s="223">
        <f t="shared" si="258"/>
        <v>158532.85596851699</v>
      </c>
      <c r="R222" s="147">
        <f t="shared" si="259"/>
        <v>17438.614156536871</v>
      </c>
      <c r="S222" s="147">
        <f t="shared" si="260"/>
        <v>47.777025086402382</v>
      </c>
      <c r="T222" s="148">
        <f t="shared" si="261"/>
        <v>10463.168493922121</v>
      </c>
      <c r="U222" s="199"/>
      <c r="V222" s="150"/>
      <c r="W222" s="249"/>
      <c r="X222" s="249"/>
      <c r="Y222" s="152"/>
      <c r="Z222" s="153"/>
      <c r="AA222" s="153"/>
      <c r="AB222" s="154"/>
      <c r="AC222" s="155">
        <f t="shared" si="262"/>
        <v>6068.6377264748298</v>
      </c>
      <c r="AD222" s="156">
        <f t="shared" si="263"/>
        <v>1360.2119042098759</v>
      </c>
      <c r="AE222" s="156">
        <f t="shared" si="264"/>
        <v>918.14303534166606</v>
      </c>
      <c r="AF222" s="156">
        <f t="shared" si="265"/>
        <v>418.52673975688487</v>
      </c>
      <c r="AG222" s="156">
        <f t="shared" si="266"/>
        <v>209.26336987844243</v>
      </c>
      <c r="AH222" s="156">
        <f t="shared" si="267"/>
        <v>209.26336987844243</v>
      </c>
      <c r="AI222" s="156">
        <f t="shared" si="268"/>
        <v>104.63168493922122</v>
      </c>
      <c r="AJ222" s="156">
        <f t="shared" si="269"/>
        <v>209.26336987844243</v>
      </c>
      <c r="AK222" s="156">
        <f t="shared" si="270"/>
        <v>209.26336987844243</v>
      </c>
      <c r="AL222" s="156">
        <f t="shared" si="271"/>
        <v>732.42179457454858</v>
      </c>
      <c r="AM222" s="157">
        <f t="shared" si="272"/>
        <v>3220.0401040045331</v>
      </c>
      <c r="AN222" s="158">
        <f t="shared" si="273"/>
        <v>2200</v>
      </c>
      <c r="AO222" s="159">
        <v>0.2</v>
      </c>
      <c r="AP222" s="160">
        <f t="shared" si="274"/>
        <v>85557639.949432179</v>
      </c>
      <c r="AQ222" s="161">
        <f t="shared" si="275"/>
        <v>23766.012998345381</v>
      </c>
      <c r="AR222" s="162">
        <f t="shared" si="276"/>
        <v>4753.2025996690763</v>
      </c>
      <c r="AS222" s="163">
        <f t="shared" si="277"/>
        <v>0.67825379561487964</v>
      </c>
      <c r="AT222" s="164">
        <f t="shared" si="278"/>
        <v>0.67825379561487964</v>
      </c>
      <c r="AU222" s="165"/>
      <c r="AV222" s="166"/>
      <c r="AW222" s="167"/>
      <c r="AX222" s="146"/>
      <c r="AY222" s="168"/>
    </row>
    <row r="223" spans="1:51" ht="10.9" customHeight="1" x14ac:dyDescent="0.25">
      <c r="B223" s="140">
        <v>10</v>
      </c>
      <c r="C223" s="302" t="s">
        <v>261</v>
      </c>
      <c r="D223" s="235"/>
      <c r="E223" s="236"/>
      <c r="F223" s="236"/>
      <c r="G223" s="236"/>
      <c r="H223" s="236"/>
      <c r="I223" s="236"/>
      <c r="J223" s="236"/>
      <c r="K223" s="236">
        <f t="shared" si="279"/>
        <v>129983.69639591505</v>
      </c>
      <c r="L223" s="236">
        <f t="shared" si="280"/>
        <v>124786.488903679</v>
      </c>
      <c r="M223" s="236">
        <f t="shared" si="281"/>
        <v>121881.21891947673</v>
      </c>
      <c r="N223" s="236">
        <f t="shared" si="282"/>
        <v>120315.77409291522</v>
      </c>
      <c r="O223" s="236">
        <v>122079</v>
      </c>
      <c r="P223" s="237"/>
      <c r="Q223" s="223">
        <f t="shared" si="258"/>
        <v>129983.69639591505</v>
      </c>
      <c r="R223" s="147">
        <f t="shared" si="259"/>
        <v>14298.206603550656</v>
      </c>
      <c r="S223" s="147">
        <f t="shared" si="260"/>
        <v>39.173168776851114</v>
      </c>
      <c r="T223" s="148">
        <f t="shared" si="261"/>
        <v>8578.9239621303932</v>
      </c>
      <c r="U223" s="199"/>
      <c r="V223" s="150"/>
      <c r="W223" s="249"/>
      <c r="X223" s="249"/>
      <c r="Y223" s="152"/>
      <c r="Z223" s="153"/>
      <c r="AA223" s="153"/>
      <c r="AB223" s="154"/>
      <c r="AC223" s="155">
        <f t="shared" si="262"/>
        <v>4975.7758980356275</v>
      </c>
      <c r="AD223" s="156">
        <f t="shared" si="263"/>
        <v>1115.2601150769513</v>
      </c>
      <c r="AE223" s="156">
        <f t="shared" si="264"/>
        <v>752.800577676942</v>
      </c>
      <c r="AF223" s="156">
        <f t="shared" si="265"/>
        <v>343.15695848521574</v>
      </c>
      <c r="AG223" s="156">
        <f t="shared" si="266"/>
        <v>171.57847924260787</v>
      </c>
      <c r="AH223" s="156">
        <f t="shared" si="267"/>
        <v>171.57847924260787</v>
      </c>
      <c r="AI223" s="156">
        <f t="shared" si="268"/>
        <v>85.789239621303935</v>
      </c>
      <c r="AJ223" s="156">
        <f t="shared" si="269"/>
        <v>171.57847924260787</v>
      </c>
      <c r="AK223" s="156">
        <f t="shared" si="270"/>
        <v>171.57847924260787</v>
      </c>
      <c r="AL223" s="156">
        <f t="shared" si="271"/>
        <v>600.52467734912761</v>
      </c>
      <c r="AM223" s="157">
        <f t="shared" si="272"/>
        <v>2640.1638493456289</v>
      </c>
      <c r="AN223" s="158">
        <f t="shared" si="273"/>
        <v>2200</v>
      </c>
      <c r="AO223" s="159">
        <v>0.2</v>
      </c>
      <c r="AP223" s="160">
        <f t="shared" si="274"/>
        <v>70150116.375538856</v>
      </c>
      <c r="AQ223" s="161">
        <f t="shared" si="275"/>
        <v>19486.144996541156</v>
      </c>
      <c r="AR223" s="162">
        <f t="shared" si="276"/>
        <v>3897.2289993082313</v>
      </c>
      <c r="AS223" s="163">
        <f t="shared" si="277"/>
        <v>0.55611144396521561</v>
      </c>
      <c r="AT223" s="164">
        <f t="shared" si="278"/>
        <v>0.55611144396521561</v>
      </c>
      <c r="AU223" s="165"/>
      <c r="AV223" s="166"/>
      <c r="AW223" s="167"/>
      <c r="AX223" s="146"/>
      <c r="AY223" s="168"/>
    </row>
    <row r="224" spans="1:51" ht="10.9" customHeight="1" x14ac:dyDescent="0.25">
      <c r="B224" s="140">
        <v>11</v>
      </c>
      <c r="C224" s="302" t="s">
        <v>262</v>
      </c>
      <c r="D224" s="235"/>
      <c r="E224" s="236"/>
      <c r="F224" s="236"/>
      <c r="G224" s="236"/>
      <c r="H224" s="236"/>
      <c r="I224" s="236"/>
      <c r="J224" s="236"/>
      <c r="K224" s="236">
        <f t="shared" si="279"/>
        <v>102870.88546999346</v>
      </c>
      <c r="L224" s="236">
        <f t="shared" si="280"/>
        <v>98757.743964391469</v>
      </c>
      <c r="M224" s="236">
        <f t="shared" si="281"/>
        <v>96458.473332065652</v>
      </c>
      <c r="N224" s="236">
        <f t="shared" si="282"/>
        <v>95219.558761023625</v>
      </c>
      <c r="O224" s="236">
        <v>96615</v>
      </c>
      <c r="P224" s="237"/>
      <c r="Q224" s="223">
        <f t="shared" si="258"/>
        <v>102870.88546999346</v>
      </c>
      <c r="R224" s="147">
        <f t="shared" si="259"/>
        <v>11315.797401699281</v>
      </c>
      <c r="S224" s="147">
        <f t="shared" si="260"/>
        <v>31.002184662189812</v>
      </c>
      <c r="T224" s="148">
        <f t="shared" si="261"/>
        <v>6789.4784410195689</v>
      </c>
      <c r="U224" s="199"/>
      <c r="V224" s="150"/>
      <c r="W224" s="249"/>
      <c r="X224" s="249"/>
      <c r="Y224" s="152"/>
      <c r="Z224" s="153"/>
      <c r="AA224" s="153"/>
      <c r="AB224" s="154"/>
      <c r="AC224" s="155">
        <f t="shared" si="262"/>
        <v>3937.8974957913497</v>
      </c>
      <c r="AD224" s="156">
        <f t="shared" si="263"/>
        <v>882.63219733254402</v>
      </c>
      <c r="AE224" s="156">
        <f t="shared" si="264"/>
        <v>595.77673319946712</v>
      </c>
      <c r="AF224" s="156">
        <f t="shared" si="265"/>
        <v>271.57913764078273</v>
      </c>
      <c r="AG224" s="156">
        <f t="shared" si="266"/>
        <v>135.78956882039137</v>
      </c>
      <c r="AH224" s="156">
        <f t="shared" si="267"/>
        <v>135.78956882039137</v>
      </c>
      <c r="AI224" s="156">
        <f t="shared" si="268"/>
        <v>67.894784410195683</v>
      </c>
      <c r="AJ224" s="156">
        <f t="shared" si="269"/>
        <v>135.78956882039137</v>
      </c>
      <c r="AK224" s="156">
        <f t="shared" si="270"/>
        <v>135.78956882039137</v>
      </c>
      <c r="AL224" s="156">
        <f t="shared" si="271"/>
        <v>475.26349087136987</v>
      </c>
      <c r="AM224" s="157">
        <f t="shared" si="272"/>
        <v>2089.4619902237728</v>
      </c>
      <c r="AN224" s="158">
        <f t="shared" si="273"/>
        <v>2200</v>
      </c>
      <c r="AO224" s="159">
        <v>0.2</v>
      </c>
      <c r="AP224" s="160">
        <f t="shared" si="274"/>
        <v>55517767.131305851</v>
      </c>
      <c r="AQ224" s="161">
        <f t="shared" si="275"/>
        <v>15421.603214646449</v>
      </c>
      <c r="AR224" s="162">
        <f t="shared" si="276"/>
        <v>3084.32064292929</v>
      </c>
      <c r="AS224" s="163">
        <f t="shared" si="277"/>
        <v>0.44011424699333473</v>
      </c>
      <c r="AT224" s="164">
        <f t="shared" si="278"/>
        <v>0.44011424699333473</v>
      </c>
      <c r="AU224" s="165"/>
      <c r="AV224" s="166"/>
      <c r="AW224" s="167"/>
      <c r="AX224" s="146"/>
      <c r="AY224" s="168"/>
    </row>
    <row r="225" spans="1:51" ht="10.9" customHeight="1" x14ac:dyDescent="0.25">
      <c r="B225" s="140">
        <v>12</v>
      </c>
      <c r="C225" s="302" t="s">
        <v>263</v>
      </c>
      <c r="D225" s="235"/>
      <c r="E225" s="236"/>
      <c r="F225" s="236"/>
      <c r="G225" s="236"/>
      <c r="H225" s="236"/>
      <c r="I225" s="236"/>
      <c r="J225" s="236"/>
      <c r="K225" s="236">
        <f t="shared" si="279"/>
        <v>105413.51005729713</v>
      </c>
      <c r="L225" s="236">
        <f t="shared" si="280"/>
        <v>101198.70543607771</v>
      </c>
      <c r="M225" s="236">
        <f t="shared" si="281"/>
        <v>98842.604515804953</v>
      </c>
      <c r="N225" s="236">
        <f t="shared" si="282"/>
        <v>97573.068115899412</v>
      </c>
      <c r="O225" s="236">
        <v>99003</v>
      </c>
      <c r="P225" s="237"/>
      <c r="Q225" s="223">
        <f t="shared" si="258"/>
        <v>105413.51005729713</v>
      </c>
      <c r="R225" s="147">
        <f t="shared" si="259"/>
        <v>11595.486106302684</v>
      </c>
      <c r="S225" s="147">
        <f t="shared" si="260"/>
        <v>31.768455085760777</v>
      </c>
      <c r="T225" s="148">
        <f t="shared" si="261"/>
        <v>6957.2916637816097</v>
      </c>
      <c r="U225" s="199"/>
      <c r="V225" s="150"/>
      <c r="W225" s="249"/>
      <c r="X225" s="249"/>
      <c r="Y225" s="152"/>
      <c r="Z225" s="153"/>
      <c r="AA225" s="153"/>
      <c r="AB225" s="154"/>
      <c r="AC225" s="155">
        <f t="shared" si="262"/>
        <v>4035.2291649933331</v>
      </c>
      <c r="AD225" s="156">
        <f t="shared" si="263"/>
        <v>904.44791629160932</v>
      </c>
      <c r="AE225" s="156">
        <f t="shared" si="264"/>
        <v>610.50234349683626</v>
      </c>
      <c r="AF225" s="156">
        <f t="shared" si="265"/>
        <v>278.29166655126437</v>
      </c>
      <c r="AG225" s="156">
        <f t="shared" si="266"/>
        <v>139.14583327563219</v>
      </c>
      <c r="AH225" s="156">
        <f t="shared" si="267"/>
        <v>139.14583327563219</v>
      </c>
      <c r="AI225" s="156">
        <f t="shared" si="268"/>
        <v>69.572916637816093</v>
      </c>
      <c r="AJ225" s="156">
        <f t="shared" si="269"/>
        <v>139.14583327563219</v>
      </c>
      <c r="AK225" s="156">
        <f t="shared" si="270"/>
        <v>139.14583327563219</v>
      </c>
      <c r="AL225" s="156">
        <f t="shared" si="271"/>
        <v>487.0104164647127</v>
      </c>
      <c r="AM225" s="157">
        <f t="shared" si="272"/>
        <v>2141.1065095287904</v>
      </c>
      <c r="AN225" s="158">
        <f t="shared" si="273"/>
        <v>2200</v>
      </c>
      <c r="AO225" s="159">
        <v>0.2</v>
      </c>
      <c r="AP225" s="160">
        <f t="shared" si="274"/>
        <v>56889980.844596297</v>
      </c>
      <c r="AQ225" s="161">
        <f t="shared" si="275"/>
        <v>15802.773721054102</v>
      </c>
      <c r="AR225" s="162">
        <f t="shared" si="276"/>
        <v>3160.5547442108204</v>
      </c>
      <c r="AS225" s="163">
        <f t="shared" si="277"/>
        <v>0.45099240071501434</v>
      </c>
      <c r="AT225" s="164">
        <f t="shared" si="278"/>
        <v>0.45099240071501434</v>
      </c>
      <c r="AU225" s="165"/>
      <c r="AV225" s="166"/>
      <c r="AW225" s="167"/>
      <c r="AX225" s="146"/>
      <c r="AY225" s="168"/>
    </row>
    <row r="226" spans="1:51" ht="10.9" customHeight="1" x14ac:dyDescent="0.25">
      <c r="B226" s="140">
        <v>13</v>
      </c>
      <c r="C226" s="302" t="s">
        <v>264</v>
      </c>
      <c r="D226" s="235"/>
      <c r="E226" s="236"/>
      <c r="F226" s="236"/>
      <c r="G226" s="236"/>
      <c r="H226" s="236"/>
      <c r="I226" s="236"/>
      <c r="J226" s="236"/>
      <c r="K226" s="236">
        <f t="shared" si="279"/>
        <v>102727.14413025895</v>
      </c>
      <c r="L226" s="236">
        <f t="shared" si="280"/>
        <v>98619.749911343883</v>
      </c>
      <c r="M226" s="236">
        <f t="shared" si="281"/>
        <v>96323.692046552751</v>
      </c>
      <c r="N226" s="236">
        <f t="shared" si="282"/>
        <v>95086.508609052005</v>
      </c>
      <c r="O226" s="236">
        <v>96480</v>
      </c>
      <c r="P226" s="237"/>
      <c r="Q226" s="223">
        <f t="shared" si="258"/>
        <v>102727.14413025895</v>
      </c>
      <c r="R226" s="147">
        <f t="shared" si="259"/>
        <v>11299.985854328484</v>
      </c>
      <c r="S226" s="147">
        <f t="shared" si="260"/>
        <v>30.958865354324615</v>
      </c>
      <c r="T226" s="148">
        <f t="shared" si="261"/>
        <v>6779.9915125970901</v>
      </c>
      <c r="U226" s="199"/>
      <c r="V226" s="150"/>
      <c r="W226" s="249"/>
      <c r="X226" s="249"/>
      <c r="Y226" s="152"/>
      <c r="Z226" s="153"/>
      <c r="AA226" s="153"/>
      <c r="AB226" s="154"/>
      <c r="AC226" s="155">
        <f t="shared" si="262"/>
        <v>3932.395077306312</v>
      </c>
      <c r="AD226" s="156">
        <f t="shared" si="263"/>
        <v>881.39889663762176</v>
      </c>
      <c r="AE226" s="156">
        <f t="shared" si="264"/>
        <v>594.94425523039467</v>
      </c>
      <c r="AF226" s="156">
        <f t="shared" si="265"/>
        <v>271.19966050388359</v>
      </c>
      <c r="AG226" s="156">
        <f t="shared" si="266"/>
        <v>135.5998302519418</v>
      </c>
      <c r="AH226" s="156">
        <f t="shared" si="267"/>
        <v>135.5998302519418</v>
      </c>
      <c r="AI226" s="156">
        <f t="shared" si="268"/>
        <v>67.799915125970898</v>
      </c>
      <c r="AJ226" s="156">
        <f t="shared" si="269"/>
        <v>135.5998302519418</v>
      </c>
      <c r="AK226" s="156">
        <f t="shared" si="270"/>
        <v>135.5998302519418</v>
      </c>
      <c r="AL226" s="156">
        <f t="shared" si="271"/>
        <v>474.59940588179637</v>
      </c>
      <c r="AM226" s="157">
        <f t="shared" si="272"/>
        <v>2086.5423880017543</v>
      </c>
      <c r="AN226" s="158">
        <f t="shared" si="273"/>
        <v>2200</v>
      </c>
      <c r="AO226" s="159">
        <v>0.2</v>
      </c>
      <c r="AP226" s="160">
        <f t="shared" si="274"/>
        <v>55440192.235453986</v>
      </c>
      <c r="AQ226" s="161">
        <f t="shared" si="275"/>
        <v>15400.05463074149</v>
      </c>
      <c r="AR226" s="162">
        <f t="shared" si="276"/>
        <v>3080.010926148298</v>
      </c>
      <c r="AS226" s="163">
        <f t="shared" si="277"/>
        <v>0.43949927599148086</v>
      </c>
      <c r="AT226" s="164">
        <f t="shared" si="278"/>
        <v>0.43949927599148086</v>
      </c>
      <c r="AU226" s="165"/>
      <c r="AV226" s="166"/>
      <c r="AW226" s="167"/>
      <c r="AX226" s="146"/>
      <c r="AY226" s="168"/>
    </row>
    <row r="227" spans="1:51" ht="10.9" customHeight="1" x14ac:dyDescent="0.25">
      <c r="B227" s="140">
        <v>14</v>
      </c>
      <c r="C227" s="302" t="s">
        <v>265</v>
      </c>
      <c r="D227" s="235"/>
      <c r="E227" s="236"/>
      <c r="F227" s="236"/>
      <c r="G227" s="236"/>
      <c r="H227" s="236"/>
      <c r="I227" s="236"/>
      <c r="J227" s="236"/>
      <c r="K227" s="236">
        <f t="shared" si="279"/>
        <v>238507.34314480098</v>
      </c>
      <c r="L227" s="236">
        <f t="shared" si="280"/>
        <v>228970.97677643827</v>
      </c>
      <c r="M227" s="236">
        <f t="shared" si="281"/>
        <v>223640.09110182378</v>
      </c>
      <c r="N227" s="236">
        <f t="shared" si="282"/>
        <v>220767.65327480802</v>
      </c>
      <c r="O227" s="236">
        <v>224003</v>
      </c>
      <c r="P227" s="237"/>
      <c r="Q227" s="223">
        <f t="shared" si="258"/>
        <v>238507.34314480098</v>
      </c>
      <c r="R227" s="147">
        <f t="shared" si="259"/>
        <v>26235.807745928108</v>
      </c>
      <c r="S227" s="147">
        <f t="shared" si="260"/>
        <v>71.878925331309887</v>
      </c>
      <c r="T227" s="148">
        <f t="shared" si="261"/>
        <v>15741.484647556865</v>
      </c>
      <c r="U227" s="199"/>
      <c r="V227" s="150"/>
      <c r="W227" s="249"/>
      <c r="X227" s="249"/>
      <c r="Y227" s="152"/>
      <c r="Z227" s="153"/>
      <c r="AA227" s="153"/>
      <c r="AB227" s="154"/>
      <c r="AC227" s="155">
        <f t="shared" si="262"/>
        <v>9130.0610955829816</v>
      </c>
      <c r="AD227" s="156">
        <f t="shared" si="263"/>
        <v>2046.3930041823926</v>
      </c>
      <c r="AE227" s="156">
        <f t="shared" si="264"/>
        <v>1381.3152778231147</v>
      </c>
      <c r="AF227" s="156">
        <f t="shared" si="265"/>
        <v>629.65938590227461</v>
      </c>
      <c r="AG227" s="156">
        <f t="shared" si="266"/>
        <v>314.8296929511373</v>
      </c>
      <c r="AH227" s="156">
        <f t="shared" si="267"/>
        <v>314.8296929511373</v>
      </c>
      <c r="AI227" s="156">
        <f t="shared" si="268"/>
        <v>157.41484647556865</v>
      </c>
      <c r="AJ227" s="156">
        <f t="shared" si="269"/>
        <v>314.8296929511373</v>
      </c>
      <c r="AK227" s="156">
        <f t="shared" si="270"/>
        <v>314.8296929511373</v>
      </c>
      <c r="AL227" s="156">
        <f t="shared" si="271"/>
        <v>1101.9039253289807</v>
      </c>
      <c r="AM227" s="157">
        <f t="shared" si="272"/>
        <v>4844.4419002856257</v>
      </c>
      <c r="AN227" s="158">
        <f t="shared" si="273"/>
        <v>2200</v>
      </c>
      <c r="AO227" s="159">
        <v>0.2</v>
      </c>
      <c r="AP227" s="160">
        <f t="shared" si="274"/>
        <v>128718588.11482589</v>
      </c>
      <c r="AQ227" s="161">
        <f t="shared" si="275"/>
        <v>35755.166225642482</v>
      </c>
      <c r="AR227" s="162">
        <f t="shared" si="276"/>
        <v>7151.0332451284967</v>
      </c>
      <c r="AS227" s="163">
        <f t="shared" si="277"/>
        <v>1.0204099950240435</v>
      </c>
      <c r="AT227" s="164">
        <f t="shared" si="278"/>
        <v>1.0204099950240435</v>
      </c>
      <c r="AU227" s="165"/>
      <c r="AV227" s="166"/>
      <c r="AW227" s="167"/>
      <c r="AX227" s="146"/>
      <c r="AY227" s="168"/>
    </row>
    <row r="228" spans="1:51" s="263" customFormat="1" ht="17.25" customHeight="1" x14ac:dyDescent="0.25">
      <c r="A228" s="173"/>
      <c r="B228" s="225"/>
      <c r="C228" s="258" t="s">
        <v>266</v>
      </c>
      <c r="D228" s="240">
        <f t="shared" ref="D228:I228" si="283">SUM(D214:D227)</f>
        <v>0</v>
      </c>
      <c r="E228" s="240">
        <f t="shared" si="283"/>
        <v>0</v>
      </c>
      <c r="F228" s="240">
        <f t="shared" si="283"/>
        <v>0</v>
      </c>
      <c r="G228" s="240">
        <f t="shared" si="283"/>
        <v>0</v>
      </c>
      <c r="H228" s="240">
        <f t="shared" si="283"/>
        <v>0</v>
      </c>
      <c r="I228" s="240">
        <f t="shared" si="283"/>
        <v>0</v>
      </c>
      <c r="J228" s="240">
        <v>2004110</v>
      </c>
      <c r="K228" s="244">
        <v>2047550</v>
      </c>
      <c r="L228" s="244">
        <v>2132828</v>
      </c>
      <c r="M228" s="244">
        <v>2183668</v>
      </c>
      <c r="N228" s="244">
        <v>2212080</v>
      </c>
      <c r="O228" s="244">
        <f>SUM(O214:O227)</f>
        <v>2244498</v>
      </c>
      <c r="P228" s="303"/>
      <c r="Q228" s="304">
        <f t="shared" si="258"/>
        <v>2244498</v>
      </c>
      <c r="R228" s="304">
        <f>MAX(E228:Q228)</f>
        <v>2244498</v>
      </c>
      <c r="S228" s="304">
        <f>MAX(F228:R228)</f>
        <v>2244498</v>
      </c>
      <c r="T228" s="304">
        <f>MAX(G228:S228)</f>
        <v>2244498</v>
      </c>
      <c r="U228" s="199"/>
      <c r="V228" s="179"/>
      <c r="W228" s="180"/>
      <c r="X228" s="180"/>
      <c r="Y228" s="227"/>
      <c r="Z228" s="181"/>
      <c r="AA228" s="181"/>
      <c r="AB228" s="182"/>
      <c r="AC228" s="240">
        <f>SUM(AC214:AC227)</f>
        <v>91482.720628356779</v>
      </c>
      <c r="AD228" s="244">
        <f t="shared" ref="AD228:AM228" si="284">SUM(AD214:AD227)</f>
        <v>20504.747727045491</v>
      </c>
      <c r="AE228" s="244">
        <f t="shared" si="284"/>
        <v>13840.704715755706</v>
      </c>
      <c r="AF228" s="244">
        <f t="shared" si="284"/>
        <v>6309.1531467832283</v>
      </c>
      <c r="AG228" s="244">
        <f t="shared" si="284"/>
        <v>3154.5765733916141</v>
      </c>
      <c r="AH228" s="244">
        <f t="shared" si="284"/>
        <v>3154.5765733916141</v>
      </c>
      <c r="AI228" s="244">
        <f t="shared" si="284"/>
        <v>1577.2882866958071</v>
      </c>
      <c r="AJ228" s="244">
        <f t="shared" si="284"/>
        <v>3154.5765733916141</v>
      </c>
      <c r="AK228" s="244">
        <f t="shared" si="284"/>
        <v>3154.5765733916141</v>
      </c>
      <c r="AL228" s="244">
        <f t="shared" si="284"/>
        <v>11041.018006870652</v>
      </c>
      <c r="AM228" s="245">
        <f t="shared" si="284"/>
        <v>48541.04702306346</v>
      </c>
      <c r="AN228" s="261"/>
      <c r="AO228" s="262"/>
      <c r="AP228" s="184">
        <f>SUM(AP214:AP227)</f>
        <v>1289753322.8865259</v>
      </c>
      <c r="AQ228" s="184">
        <f t="shared" ref="AQ228:AX228" si="285">SUM(AQ214:AQ227)</f>
        <v>358264.84057410882</v>
      </c>
      <c r="AR228" s="184">
        <f t="shared" si="285"/>
        <v>71652.968114821764</v>
      </c>
      <c r="AS228" s="185">
        <f t="shared" si="285"/>
        <v>10.224453212731415</v>
      </c>
      <c r="AT228" s="186">
        <f t="shared" si="285"/>
        <v>10.224453212731415</v>
      </c>
      <c r="AU228" s="187"/>
      <c r="AV228" s="246">
        <f t="shared" si="285"/>
        <v>0</v>
      </c>
      <c r="AW228" s="246"/>
      <c r="AX228" s="185">
        <f t="shared" si="285"/>
        <v>0</v>
      </c>
      <c r="AY228" s="189"/>
    </row>
    <row r="229" spans="1:51" s="139" customFormat="1" ht="10.9" customHeight="1" x14ac:dyDescent="0.25">
      <c r="B229" s="247"/>
      <c r="C229" s="152"/>
      <c r="D229" s="247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248"/>
      <c r="Q229" s="249"/>
      <c r="R229" s="250"/>
      <c r="S229" s="250"/>
      <c r="T229" s="251"/>
      <c r="U229" s="199"/>
      <c r="V229" s="179"/>
      <c r="W229" s="249"/>
      <c r="X229" s="249"/>
      <c r="Y229" s="152"/>
      <c r="Z229" s="153"/>
      <c r="AA229" s="153"/>
      <c r="AB229" s="154"/>
      <c r="AC229" s="247"/>
      <c r="AD229" s="252"/>
      <c r="AE229" s="252"/>
      <c r="AF229" s="252"/>
      <c r="AG229" s="252"/>
      <c r="AH229" s="252"/>
      <c r="AI229" s="252"/>
      <c r="AJ229" s="252"/>
      <c r="AK229" s="252"/>
      <c r="AL229" s="252"/>
      <c r="AM229" s="214"/>
      <c r="AN229" s="203"/>
      <c r="AO229" s="204"/>
      <c r="AP229" s="203"/>
      <c r="AQ229" s="205"/>
      <c r="AR229" s="206"/>
      <c r="AS229" s="253"/>
      <c r="AT229" s="254"/>
      <c r="AU229" s="255"/>
      <c r="AV229" s="256"/>
      <c r="AW229" s="257"/>
      <c r="AX229" s="214"/>
      <c r="AY229" s="212"/>
    </row>
    <row r="230" spans="1:51" s="139" customFormat="1" ht="15" customHeight="1" x14ac:dyDescent="0.25">
      <c r="A230" s="1"/>
      <c r="B230" s="120"/>
      <c r="C230" s="258" t="s">
        <v>267</v>
      </c>
      <c r="D230" s="122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213"/>
      <c r="Q230" s="76"/>
      <c r="R230" s="108"/>
      <c r="S230" s="108"/>
      <c r="T230" s="94"/>
      <c r="U230" s="199"/>
      <c r="V230" s="179"/>
      <c r="W230" s="180"/>
      <c r="X230" s="180"/>
      <c r="Y230" s="214"/>
      <c r="Z230" s="181"/>
      <c r="AA230" s="181"/>
      <c r="AB230" s="182"/>
      <c r="AC230" s="62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125"/>
      <c r="AN230" s="75"/>
      <c r="AO230" s="216"/>
      <c r="AP230" s="75"/>
      <c r="AQ230" s="51"/>
      <c r="AR230" s="259"/>
      <c r="AS230" s="218"/>
      <c r="AT230" s="219"/>
      <c r="AU230" s="220"/>
      <c r="AV230" s="135"/>
      <c r="AW230" s="136"/>
      <c r="AX230" s="137"/>
      <c r="AY230" s="138"/>
    </row>
    <row r="231" spans="1:51" ht="10.9" customHeight="1" x14ac:dyDescent="0.25">
      <c r="B231" s="140">
        <v>1</v>
      </c>
      <c r="C231" s="302" t="s">
        <v>268</v>
      </c>
      <c r="D231" s="235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>
        <v>230316</v>
      </c>
      <c r="O231" s="236"/>
      <c r="P231" s="237"/>
      <c r="Q231" s="223">
        <f t="shared" ref="Q231:Q242" si="286">MAX(D231:P231)</f>
        <v>230316</v>
      </c>
      <c r="R231" s="147">
        <f t="shared" ref="R231:R239" si="287">Q231*$R$10</f>
        <v>25334.76</v>
      </c>
      <c r="S231" s="147">
        <f t="shared" ref="S231:S242" si="288">R231/$S$5</f>
        <v>69.410301369863006</v>
      </c>
      <c r="T231" s="148">
        <f t="shared" ref="T231:T239" si="289">S231*$T$5*$T$10</f>
        <v>15200.855999999998</v>
      </c>
      <c r="U231" s="199"/>
      <c r="V231" s="150"/>
      <c r="W231" s="249"/>
      <c r="X231" s="249"/>
      <c r="Y231" s="152"/>
      <c r="Z231" s="153"/>
      <c r="AA231" s="153"/>
      <c r="AB231" s="154"/>
      <c r="AC231" s="155">
        <f t="shared" ref="AC231:AC242" si="290">T231*$AC$5</f>
        <v>8816.496479999998</v>
      </c>
      <c r="AD231" s="156">
        <f t="shared" ref="AD231:AD242" si="291">T231*$AD$5</f>
        <v>1976.1112799999999</v>
      </c>
      <c r="AE231" s="156">
        <f t="shared" ref="AE231:AE242" si="292">T231*$AE$5</f>
        <v>1333.8751139999997</v>
      </c>
      <c r="AF231" s="156">
        <f t="shared" ref="AF231:AF242" si="293">T231*$AF$5</f>
        <v>608.03423999999995</v>
      </c>
      <c r="AG231" s="156">
        <f t="shared" ref="AG231:AG242" si="294">T231*$AG$5</f>
        <v>304.01711999999998</v>
      </c>
      <c r="AH231" s="156">
        <f t="shared" ref="AH231:AH242" si="295">T231*$AH$5</f>
        <v>304.01711999999998</v>
      </c>
      <c r="AI231" s="156">
        <f t="shared" ref="AI231:AI242" si="296">T231*$AI$5</f>
        <v>152.00855999999999</v>
      </c>
      <c r="AJ231" s="156">
        <f t="shared" ref="AJ231:AJ242" si="297">T231*$AJ$5</f>
        <v>304.01711999999998</v>
      </c>
      <c r="AK231" s="156">
        <f t="shared" ref="AK231:AK242" si="298">T231*$AK$5</f>
        <v>304.01711999999998</v>
      </c>
      <c r="AL231" s="156">
        <f t="shared" ref="AL231:AL242" si="299">T231*$AL$5</f>
        <v>1064.0599199999999</v>
      </c>
      <c r="AM231" s="157">
        <f t="shared" ref="AM231:AM242" si="300">SUM(AD231:AI231)</f>
        <v>4678.0634339999997</v>
      </c>
      <c r="AN231" s="158">
        <f t="shared" ref="AN231:AN242" si="301">$AN$5</f>
        <v>2200</v>
      </c>
      <c r="AO231" s="159">
        <v>0.2</v>
      </c>
      <c r="AP231" s="160">
        <f t="shared" ref="AP231:AP242" si="302">(AC231+AM231)*AN231*$AP$5</f>
        <v>124297851.58545741</v>
      </c>
      <c r="AQ231" s="161">
        <f t="shared" ref="AQ231:AQ242" si="303">AP231*$AQ$5</f>
        <v>34527.183758134874</v>
      </c>
      <c r="AR231" s="162">
        <f t="shared" ref="AR231:AR242" si="304">AQ231*$AR$5</f>
        <v>6905.4367516269749</v>
      </c>
      <c r="AS231" s="163">
        <f t="shared" ref="AS231:AS242" si="305">AR231/$AS$5</f>
        <v>0.98536483328010482</v>
      </c>
      <c r="AT231" s="164">
        <f t="shared" ref="AT231:AT242" si="306">AS231</f>
        <v>0.98536483328010482</v>
      </c>
      <c r="AU231" s="165"/>
      <c r="AV231" s="166"/>
      <c r="AW231" s="167"/>
      <c r="AX231" s="146"/>
      <c r="AY231" s="168"/>
    </row>
    <row r="232" spans="1:51" ht="10.9" customHeight="1" x14ac:dyDescent="0.25">
      <c r="B232" s="140">
        <v>2</v>
      </c>
      <c r="C232" s="302" t="s">
        <v>269</v>
      </c>
      <c r="D232" s="235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>
        <v>165091</v>
      </c>
      <c r="O232" s="236"/>
      <c r="P232" s="237"/>
      <c r="Q232" s="223">
        <f t="shared" si="286"/>
        <v>165091</v>
      </c>
      <c r="R232" s="147">
        <f t="shared" si="287"/>
        <v>18160.009999999998</v>
      </c>
      <c r="S232" s="147">
        <f t="shared" si="288"/>
        <v>49.753452054794515</v>
      </c>
      <c r="T232" s="148">
        <f t="shared" si="289"/>
        <v>10896.005999999999</v>
      </c>
      <c r="U232" s="199"/>
      <c r="V232" s="150"/>
      <c r="W232" s="249"/>
      <c r="X232" s="249"/>
      <c r="Y232" s="152"/>
      <c r="Z232" s="153"/>
      <c r="AA232" s="153"/>
      <c r="AB232" s="154"/>
      <c r="AC232" s="155">
        <f t="shared" si="290"/>
        <v>6319.6834799999988</v>
      </c>
      <c r="AD232" s="156">
        <f t="shared" si="291"/>
        <v>1416.4807799999999</v>
      </c>
      <c r="AE232" s="156">
        <f t="shared" si="292"/>
        <v>956.12452649999989</v>
      </c>
      <c r="AF232" s="156">
        <f t="shared" si="293"/>
        <v>435.84023999999999</v>
      </c>
      <c r="AG232" s="156">
        <f t="shared" si="294"/>
        <v>217.92012</v>
      </c>
      <c r="AH232" s="156">
        <f t="shared" si="295"/>
        <v>217.92012</v>
      </c>
      <c r="AI232" s="156">
        <f t="shared" si="296"/>
        <v>108.96006</v>
      </c>
      <c r="AJ232" s="156">
        <f t="shared" si="297"/>
        <v>217.92012</v>
      </c>
      <c r="AK232" s="156">
        <f t="shared" si="298"/>
        <v>217.92012</v>
      </c>
      <c r="AL232" s="156">
        <f t="shared" si="299"/>
        <v>762.72041999999999</v>
      </c>
      <c r="AM232" s="157">
        <f t="shared" si="300"/>
        <v>3353.2458464999995</v>
      </c>
      <c r="AN232" s="158">
        <f t="shared" si="301"/>
        <v>2200</v>
      </c>
      <c r="AO232" s="159">
        <v>0.2</v>
      </c>
      <c r="AP232" s="160">
        <f t="shared" si="302"/>
        <v>89096965.109218419</v>
      </c>
      <c r="AQ232" s="161">
        <f t="shared" si="303"/>
        <v>24749.158954715451</v>
      </c>
      <c r="AR232" s="162">
        <f t="shared" si="304"/>
        <v>4949.8317909430907</v>
      </c>
      <c r="AS232" s="163">
        <f t="shared" si="305"/>
        <v>0.70631161400443643</v>
      </c>
      <c r="AT232" s="164">
        <f t="shared" si="306"/>
        <v>0.70631161400443643</v>
      </c>
      <c r="AU232" s="165"/>
      <c r="AV232" s="166"/>
      <c r="AW232" s="167"/>
      <c r="AX232" s="146"/>
      <c r="AY232" s="168"/>
    </row>
    <row r="233" spans="1:51" ht="10.9" customHeight="1" x14ac:dyDescent="0.25">
      <c r="B233" s="140">
        <v>3</v>
      </c>
      <c r="C233" s="302" t="s">
        <v>270</v>
      </c>
      <c r="D233" s="235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>
        <v>255637</v>
      </c>
      <c r="O233" s="236"/>
      <c r="P233" s="237"/>
      <c r="Q233" s="223">
        <f t="shared" si="286"/>
        <v>255637</v>
      </c>
      <c r="R233" s="147">
        <f t="shared" si="287"/>
        <v>28120.07</v>
      </c>
      <c r="S233" s="147">
        <f t="shared" si="288"/>
        <v>77.04128767123288</v>
      </c>
      <c r="T233" s="148">
        <f t="shared" si="289"/>
        <v>16872.041999999998</v>
      </c>
      <c r="U233" s="199"/>
      <c r="V233" s="150"/>
      <c r="W233" s="249"/>
      <c r="X233" s="249"/>
      <c r="Y233" s="152"/>
      <c r="Z233" s="153"/>
      <c r="AA233" s="153"/>
      <c r="AB233" s="154"/>
      <c r="AC233" s="155">
        <f t="shared" si="290"/>
        <v>9785.7843599999978</v>
      </c>
      <c r="AD233" s="156">
        <f t="shared" si="291"/>
        <v>2193.36546</v>
      </c>
      <c r="AE233" s="156">
        <f t="shared" si="292"/>
        <v>1480.5216854999996</v>
      </c>
      <c r="AF233" s="156">
        <f t="shared" si="293"/>
        <v>674.88167999999996</v>
      </c>
      <c r="AG233" s="156">
        <f t="shared" si="294"/>
        <v>337.44083999999998</v>
      </c>
      <c r="AH233" s="156">
        <f t="shared" si="295"/>
        <v>337.44083999999998</v>
      </c>
      <c r="AI233" s="156">
        <f t="shared" si="296"/>
        <v>168.72041999999999</v>
      </c>
      <c r="AJ233" s="156">
        <f t="shared" si="297"/>
        <v>337.44083999999998</v>
      </c>
      <c r="AK233" s="156">
        <f t="shared" si="298"/>
        <v>337.44083999999998</v>
      </c>
      <c r="AL233" s="156">
        <f t="shared" si="299"/>
        <v>1181.04294</v>
      </c>
      <c r="AM233" s="157">
        <f t="shared" si="300"/>
        <v>5192.3709254999994</v>
      </c>
      <c r="AN233" s="158">
        <f t="shared" si="301"/>
        <v>2200</v>
      </c>
      <c r="AO233" s="159">
        <v>0.2</v>
      </c>
      <c r="AP233" s="160">
        <f t="shared" si="302"/>
        <v>137963189.20852906</v>
      </c>
      <c r="AQ233" s="161">
        <f t="shared" si="303"/>
        <v>38323.111179328938</v>
      </c>
      <c r="AR233" s="162">
        <f t="shared" si="304"/>
        <v>7664.6222358657878</v>
      </c>
      <c r="AS233" s="163">
        <f t="shared" si="305"/>
        <v>1.0936960953004835</v>
      </c>
      <c r="AT233" s="164">
        <f t="shared" si="306"/>
        <v>1.0936960953004835</v>
      </c>
      <c r="AU233" s="165"/>
      <c r="AV233" s="166"/>
      <c r="AW233" s="167"/>
      <c r="AX233" s="146"/>
      <c r="AY233" s="168"/>
    </row>
    <row r="234" spans="1:51" ht="10.9" customHeight="1" x14ac:dyDescent="0.25">
      <c r="B234" s="140">
        <v>4</v>
      </c>
      <c r="C234" s="302" t="s">
        <v>271</v>
      </c>
      <c r="D234" s="235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>
        <v>179079</v>
      </c>
      <c r="O234" s="236"/>
      <c r="P234" s="237"/>
      <c r="Q234" s="223">
        <f t="shared" si="286"/>
        <v>179079</v>
      </c>
      <c r="R234" s="147">
        <f t="shared" si="287"/>
        <v>19698.689999999999</v>
      </c>
      <c r="S234" s="147">
        <f t="shared" si="288"/>
        <v>53.969013698630135</v>
      </c>
      <c r="T234" s="148">
        <f t="shared" si="289"/>
        <v>11819.213999999998</v>
      </c>
      <c r="U234" s="199"/>
      <c r="V234" s="150"/>
      <c r="W234" s="249"/>
      <c r="X234" s="249"/>
      <c r="Y234" s="152"/>
      <c r="Z234" s="153"/>
      <c r="AA234" s="153"/>
      <c r="AB234" s="154"/>
      <c r="AC234" s="155">
        <f t="shared" si="290"/>
        <v>6855.1441199999981</v>
      </c>
      <c r="AD234" s="156">
        <f t="shared" si="291"/>
        <v>1536.4978199999998</v>
      </c>
      <c r="AE234" s="156">
        <f t="shared" si="292"/>
        <v>1037.1360284999998</v>
      </c>
      <c r="AF234" s="156">
        <f t="shared" si="293"/>
        <v>472.76855999999992</v>
      </c>
      <c r="AG234" s="156">
        <f t="shared" si="294"/>
        <v>236.38427999999996</v>
      </c>
      <c r="AH234" s="156">
        <f t="shared" si="295"/>
        <v>236.38427999999996</v>
      </c>
      <c r="AI234" s="156">
        <f t="shared" si="296"/>
        <v>118.19213999999998</v>
      </c>
      <c r="AJ234" s="156">
        <f t="shared" si="297"/>
        <v>236.38427999999996</v>
      </c>
      <c r="AK234" s="156">
        <f t="shared" si="298"/>
        <v>236.38427999999996</v>
      </c>
      <c r="AL234" s="156">
        <f t="shared" si="299"/>
        <v>827.34497999999996</v>
      </c>
      <c r="AM234" s="157">
        <f t="shared" si="300"/>
        <v>3637.3631084999993</v>
      </c>
      <c r="AN234" s="158">
        <f t="shared" si="301"/>
        <v>2200</v>
      </c>
      <c r="AO234" s="159">
        <v>0.2</v>
      </c>
      <c r="AP234" s="160">
        <f t="shared" si="302"/>
        <v>96646064.381424323</v>
      </c>
      <c r="AQ234" s="161">
        <f t="shared" si="303"/>
        <v>26846.131142530408</v>
      </c>
      <c r="AR234" s="162">
        <f t="shared" si="304"/>
        <v>5369.2262285060824</v>
      </c>
      <c r="AS234" s="163">
        <f t="shared" si="305"/>
        <v>0.76615671068865332</v>
      </c>
      <c r="AT234" s="164">
        <f t="shared" si="306"/>
        <v>0.76615671068865332</v>
      </c>
      <c r="AU234" s="165"/>
      <c r="AV234" s="166"/>
      <c r="AW234" s="167"/>
      <c r="AX234" s="146"/>
      <c r="AY234" s="168"/>
    </row>
    <row r="235" spans="1:51" ht="10.9" customHeight="1" x14ac:dyDescent="0.25">
      <c r="B235" s="140">
        <v>5</v>
      </c>
      <c r="C235" s="302" t="s">
        <v>272</v>
      </c>
      <c r="D235" s="235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>
        <v>62580</v>
      </c>
      <c r="O235" s="236"/>
      <c r="P235" s="237"/>
      <c r="Q235" s="223">
        <f t="shared" si="286"/>
        <v>62580</v>
      </c>
      <c r="R235" s="147">
        <f t="shared" si="287"/>
        <v>6883.8</v>
      </c>
      <c r="S235" s="147">
        <f t="shared" si="288"/>
        <v>18.859726027397262</v>
      </c>
      <c r="T235" s="148">
        <f t="shared" si="289"/>
        <v>4130.28</v>
      </c>
      <c r="U235" s="199"/>
      <c r="V235" s="150"/>
      <c r="W235" s="249"/>
      <c r="X235" s="249"/>
      <c r="Y235" s="152"/>
      <c r="Z235" s="153"/>
      <c r="AA235" s="153"/>
      <c r="AB235" s="154"/>
      <c r="AC235" s="155">
        <f t="shared" si="290"/>
        <v>2395.5623999999998</v>
      </c>
      <c r="AD235" s="156">
        <f t="shared" si="291"/>
        <v>536.93639999999994</v>
      </c>
      <c r="AE235" s="156">
        <f t="shared" si="292"/>
        <v>362.43206999999995</v>
      </c>
      <c r="AF235" s="156">
        <f t="shared" si="293"/>
        <v>165.21119999999999</v>
      </c>
      <c r="AG235" s="156">
        <f t="shared" si="294"/>
        <v>82.605599999999995</v>
      </c>
      <c r="AH235" s="156">
        <f t="shared" si="295"/>
        <v>82.605599999999995</v>
      </c>
      <c r="AI235" s="156">
        <f t="shared" si="296"/>
        <v>41.302799999999998</v>
      </c>
      <c r="AJ235" s="156">
        <f t="shared" si="297"/>
        <v>82.605599999999995</v>
      </c>
      <c r="AK235" s="156">
        <f t="shared" si="298"/>
        <v>82.605599999999995</v>
      </c>
      <c r="AL235" s="156">
        <f t="shared" si="299"/>
        <v>289.11959999999999</v>
      </c>
      <c r="AM235" s="157">
        <f t="shared" si="300"/>
        <v>1271.09367</v>
      </c>
      <c r="AN235" s="158">
        <f t="shared" si="301"/>
        <v>2200</v>
      </c>
      <c r="AO235" s="159">
        <v>0.2</v>
      </c>
      <c r="AP235" s="160">
        <f t="shared" si="302"/>
        <v>33773422.394527197</v>
      </c>
      <c r="AQ235" s="161">
        <f t="shared" si="303"/>
        <v>9381.5069712224958</v>
      </c>
      <c r="AR235" s="162">
        <f t="shared" si="304"/>
        <v>1876.3013942444993</v>
      </c>
      <c r="AS235" s="163">
        <f t="shared" si="305"/>
        <v>0.26773707109653244</v>
      </c>
      <c r="AT235" s="164">
        <f t="shared" si="306"/>
        <v>0.26773707109653244</v>
      </c>
      <c r="AU235" s="165"/>
      <c r="AV235" s="166"/>
      <c r="AW235" s="167"/>
      <c r="AX235" s="146"/>
      <c r="AY235" s="168"/>
    </row>
    <row r="236" spans="1:51" ht="10.9" customHeight="1" x14ac:dyDescent="0.25">
      <c r="B236" s="140">
        <v>6</v>
      </c>
      <c r="C236" s="302" t="s">
        <v>273</v>
      </c>
      <c r="D236" s="235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>
        <v>112663</v>
      </c>
      <c r="O236" s="236"/>
      <c r="P236" s="237"/>
      <c r="Q236" s="223">
        <f t="shared" si="286"/>
        <v>112663</v>
      </c>
      <c r="R236" s="147">
        <f t="shared" si="287"/>
        <v>12392.93</v>
      </c>
      <c r="S236" s="147">
        <f t="shared" si="288"/>
        <v>33.953232876712327</v>
      </c>
      <c r="T236" s="148">
        <f t="shared" si="289"/>
        <v>7435.7579999999998</v>
      </c>
      <c r="U236" s="199"/>
      <c r="V236" s="150"/>
      <c r="W236" s="249"/>
      <c r="X236" s="249"/>
      <c r="Y236" s="152"/>
      <c r="Z236" s="153"/>
      <c r="AA236" s="153"/>
      <c r="AB236" s="154"/>
      <c r="AC236" s="155">
        <f t="shared" si="290"/>
        <v>4312.7396399999998</v>
      </c>
      <c r="AD236" s="156">
        <f t="shared" si="291"/>
        <v>966.64854000000003</v>
      </c>
      <c r="AE236" s="156">
        <f t="shared" si="292"/>
        <v>652.48776449999991</v>
      </c>
      <c r="AF236" s="156">
        <f t="shared" si="293"/>
        <v>297.43031999999999</v>
      </c>
      <c r="AG236" s="156">
        <f t="shared" si="294"/>
        <v>148.71516</v>
      </c>
      <c r="AH236" s="156">
        <f t="shared" si="295"/>
        <v>148.71516</v>
      </c>
      <c r="AI236" s="156">
        <f t="shared" si="296"/>
        <v>74.357579999999999</v>
      </c>
      <c r="AJ236" s="156">
        <f t="shared" si="297"/>
        <v>148.71516</v>
      </c>
      <c r="AK236" s="156">
        <f t="shared" si="298"/>
        <v>148.71516</v>
      </c>
      <c r="AL236" s="156">
        <f t="shared" si="299"/>
        <v>520.50306</v>
      </c>
      <c r="AM236" s="157">
        <f t="shared" si="300"/>
        <v>2288.3545245</v>
      </c>
      <c r="AN236" s="158">
        <f t="shared" si="301"/>
        <v>2200</v>
      </c>
      <c r="AO236" s="159">
        <v>0.2</v>
      </c>
      <c r="AP236" s="160">
        <f t="shared" si="302"/>
        <v>60802414.305442922</v>
      </c>
      <c r="AQ236" s="161">
        <f t="shared" si="303"/>
        <v>16889.560880454461</v>
      </c>
      <c r="AR236" s="162">
        <f t="shared" si="304"/>
        <v>3377.9121760908924</v>
      </c>
      <c r="AS236" s="163">
        <f t="shared" si="305"/>
        <v>0.482008015994705</v>
      </c>
      <c r="AT236" s="164">
        <f t="shared" si="306"/>
        <v>0.482008015994705</v>
      </c>
      <c r="AU236" s="165"/>
      <c r="AV236" s="166"/>
      <c r="AW236" s="167"/>
      <c r="AX236" s="146"/>
      <c r="AY236" s="168"/>
    </row>
    <row r="237" spans="1:51" ht="10.9" customHeight="1" x14ac:dyDescent="0.25">
      <c r="B237" s="140">
        <v>7</v>
      </c>
      <c r="C237" s="302" t="s">
        <v>274</v>
      </c>
      <c r="D237" s="235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>
        <v>140841</v>
      </c>
      <c r="O237" s="236"/>
      <c r="P237" s="237"/>
      <c r="Q237" s="223">
        <f t="shared" si="286"/>
        <v>140841</v>
      </c>
      <c r="R237" s="147">
        <f t="shared" si="287"/>
        <v>15492.51</v>
      </c>
      <c r="S237" s="147">
        <f t="shared" si="288"/>
        <v>42.445232876712332</v>
      </c>
      <c r="T237" s="148">
        <f t="shared" si="289"/>
        <v>9295.5060000000012</v>
      </c>
      <c r="U237" s="199"/>
      <c r="V237" s="150"/>
      <c r="W237" s="249"/>
      <c r="X237" s="249"/>
      <c r="Y237" s="152"/>
      <c r="Z237" s="153"/>
      <c r="AA237" s="153"/>
      <c r="AB237" s="154"/>
      <c r="AC237" s="155">
        <f t="shared" si="290"/>
        <v>5391.3934800000006</v>
      </c>
      <c r="AD237" s="156">
        <f t="shared" si="291"/>
        <v>1208.4157800000003</v>
      </c>
      <c r="AE237" s="156">
        <f t="shared" si="292"/>
        <v>815.68065150000007</v>
      </c>
      <c r="AF237" s="156">
        <f t="shared" si="293"/>
        <v>371.82024000000007</v>
      </c>
      <c r="AG237" s="156">
        <f t="shared" si="294"/>
        <v>185.91012000000003</v>
      </c>
      <c r="AH237" s="156">
        <f t="shared" si="295"/>
        <v>185.91012000000003</v>
      </c>
      <c r="AI237" s="156">
        <f t="shared" si="296"/>
        <v>92.955060000000017</v>
      </c>
      <c r="AJ237" s="156">
        <f t="shared" si="297"/>
        <v>185.91012000000003</v>
      </c>
      <c r="AK237" s="156">
        <f t="shared" si="298"/>
        <v>185.91012000000003</v>
      </c>
      <c r="AL237" s="156">
        <f t="shared" si="299"/>
        <v>650.68542000000014</v>
      </c>
      <c r="AM237" s="157">
        <f t="shared" si="300"/>
        <v>2860.6919715000008</v>
      </c>
      <c r="AN237" s="158">
        <f t="shared" si="301"/>
        <v>2200</v>
      </c>
      <c r="AO237" s="159">
        <v>0.2</v>
      </c>
      <c r="AP237" s="160">
        <f t="shared" si="302"/>
        <v>76009629.010348439</v>
      </c>
      <c r="AQ237" s="161">
        <f t="shared" si="303"/>
        <v>21113.787525310767</v>
      </c>
      <c r="AR237" s="162">
        <f t="shared" si="304"/>
        <v>4222.7575050621535</v>
      </c>
      <c r="AS237" s="163">
        <f t="shared" si="305"/>
        <v>0.60256242937530735</v>
      </c>
      <c r="AT237" s="164">
        <f t="shared" si="306"/>
        <v>0.60256242937530735</v>
      </c>
      <c r="AU237" s="165"/>
      <c r="AV237" s="166"/>
      <c r="AW237" s="167"/>
      <c r="AX237" s="146"/>
      <c r="AY237" s="168"/>
    </row>
    <row r="238" spans="1:51" ht="10.9" customHeight="1" x14ac:dyDescent="0.25">
      <c r="B238" s="140">
        <v>8</v>
      </c>
      <c r="C238" s="302" t="s">
        <v>275</v>
      </c>
      <c r="D238" s="235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>
        <v>142922</v>
      </c>
      <c r="O238" s="236"/>
      <c r="P238" s="237"/>
      <c r="Q238" s="223">
        <f t="shared" si="286"/>
        <v>142922</v>
      </c>
      <c r="R238" s="147">
        <f t="shared" si="287"/>
        <v>15721.42</v>
      </c>
      <c r="S238" s="147">
        <f t="shared" si="288"/>
        <v>43.072383561643839</v>
      </c>
      <c r="T238" s="148">
        <f t="shared" si="289"/>
        <v>9432.8520000000008</v>
      </c>
      <c r="U238" s="199"/>
      <c r="V238" s="150"/>
      <c r="W238" s="249"/>
      <c r="X238" s="249"/>
      <c r="Y238" s="152"/>
      <c r="Z238" s="153"/>
      <c r="AA238" s="153"/>
      <c r="AB238" s="154"/>
      <c r="AC238" s="155">
        <f t="shared" si="290"/>
        <v>5471.0541599999997</v>
      </c>
      <c r="AD238" s="156">
        <f t="shared" si="291"/>
        <v>1226.2707600000001</v>
      </c>
      <c r="AE238" s="156">
        <f t="shared" si="292"/>
        <v>827.73276299999998</v>
      </c>
      <c r="AF238" s="156">
        <f t="shared" si="293"/>
        <v>377.31408000000005</v>
      </c>
      <c r="AG238" s="156">
        <f t="shared" si="294"/>
        <v>188.65704000000002</v>
      </c>
      <c r="AH238" s="156">
        <f t="shared" si="295"/>
        <v>188.65704000000002</v>
      </c>
      <c r="AI238" s="156">
        <f t="shared" si="296"/>
        <v>94.328520000000012</v>
      </c>
      <c r="AJ238" s="156">
        <f t="shared" si="297"/>
        <v>188.65704000000002</v>
      </c>
      <c r="AK238" s="156">
        <f t="shared" si="298"/>
        <v>188.65704000000002</v>
      </c>
      <c r="AL238" s="156">
        <f t="shared" si="299"/>
        <v>660.29964000000007</v>
      </c>
      <c r="AM238" s="157">
        <f t="shared" si="300"/>
        <v>2902.9602030000005</v>
      </c>
      <c r="AN238" s="158">
        <f t="shared" si="301"/>
        <v>2200</v>
      </c>
      <c r="AO238" s="159">
        <v>0.2</v>
      </c>
      <c r="AP238" s="160">
        <f t="shared" si="302"/>
        <v>77132711.337018475</v>
      </c>
      <c r="AQ238" s="161">
        <f t="shared" si="303"/>
        <v>21425.75486323205</v>
      </c>
      <c r="AR238" s="162">
        <f t="shared" si="304"/>
        <v>4285.1509726464101</v>
      </c>
      <c r="AS238" s="163">
        <f t="shared" si="305"/>
        <v>0.6114656068273987</v>
      </c>
      <c r="AT238" s="164">
        <f t="shared" si="306"/>
        <v>0.6114656068273987</v>
      </c>
      <c r="AU238" s="165"/>
      <c r="AV238" s="166"/>
      <c r="AW238" s="167"/>
      <c r="AX238" s="146"/>
      <c r="AY238" s="168"/>
    </row>
    <row r="239" spans="1:51" ht="10.9" customHeight="1" x14ac:dyDescent="0.25">
      <c r="B239" s="140">
        <v>9</v>
      </c>
      <c r="C239" s="302" t="s">
        <v>276</v>
      </c>
      <c r="D239" s="235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>
        <v>15202</v>
      </c>
      <c r="O239" s="236"/>
      <c r="P239" s="237"/>
      <c r="Q239" s="223">
        <f t="shared" si="286"/>
        <v>15202</v>
      </c>
      <c r="R239" s="147">
        <f t="shared" si="287"/>
        <v>1672.22</v>
      </c>
      <c r="S239" s="147">
        <f t="shared" si="288"/>
        <v>4.5814246575342468</v>
      </c>
      <c r="T239" s="148">
        <f t="shared" si="289"/>
        <v>1003.332</v>
      </c>
      <c r="U239" s="199"/>
      <c r="V239" s="150"/>
      <c r="W239" s="249"/>
      <c r="X239" s="249"/>
      <c r="Y239" s="152"/>
      <c r="Z239" s="153"/>
      <c r="AA239" s="153"/>
      <c r="AB239" s="154"/>
      <c r="AC239" s="155">
        <f t="shared" si="290"/>
        <v>581.93255999999997</v>
      </c>
      <c r="AD239" s="156">
        <f t="shared" si="291"/>
        <v>130.43316000000002</v>
      </c>
      <c r="AE239" s="156">
        <f t="shared" si="292"/>
        <v>88.042383000000001</v>
      </c>
      <c r="AF239" s="156">
        <f t="shared" si="293"/>
        <v>40.133279999999999</v>
      </c>
      <c r="AG239" s="156">
        <f t="shared" si="294"/>
        <v>20.06664</v>
      </c>
      <c r="AH239" s="156">
        <f t="shared" si="295"/>
        <v>20.06664</v>
      </c>
      <c r="AI239" s="156">
        <f t="shared" si="296"/>
        <v>10.03332</v>
      </c>
      <c r="AJ239" s="156">
        <f t="shared" si="297"/>
        <v>20.06664</v>
      </c>
      <c r="AK239" s="156">
        <f t="shared" si="298"/>
        <v>20.06664</v>
      </c>
      <c r="AL239" s="156">
        <f t="shared" si="299"/>
        <v>70.233240000000009</v>
      </c>
      <c r="AM239" s="157">
        <f t="shared" si="300"/>
        <v>308.77542300000005</v>
      </c>
      <c r="AN239" s="158">
        <f t="shared" si="301"/>
        <v>2200</v>
      </c>
      <c r="AO239" s="159">
        <v>0.2</v>
      </c>
      <c r="AP239" s="160">
        <f t="shared" si="302"/>
        <v>8204275.60309368</v>
      </c>
      <c r="AQ239" s="161">
        <f t="shared" si="303"/>
        <v>2278.9656276210358</v>
      </c>
      <c r="AR239" s="162">
        <f t="shared" si="304"/>
        <v>455.7931255242072</v>
      </c>
      <c r="AS239" s="163">
        <f t="shared" si="305"/>
        <v>6.5038973391011307E-2</v>
      </c>
      <c r="AT239" s="164">
        <f t="shared" si="306"/>
        <v>6.5038973391011307E-2</v>
      </c>
      <c r="AU239" s="165"/>
      <c r="AV239" s="166"/>
      <c r="AW239" s="167"/>
      <c r="AX239" s="146"/>
      <c r="AY239" s="168"/>
    </row>
    <row r="240" spans="1:51" ht="10.9" customHeight="1" x14ac:dyDescent="0.25">
      <c r="B240" s="140">
        <v>10</v>
      </c>
      <c r="C240" s="302" t="s">
        <v>277</v>
      </c>
      <c r="D240" s="235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>
        <v>557579</v>
      </c>
      <c r="O240" s="236"/>
      <c r="P240" s="237"/>
      <c r="Q240" s="223">
        <f t="shared" si="286"/>
        <v>557579</v>
      </c>
      <c r="R240" s="147">
        <f>Q240*$R$9</f>
        <v>81406.534</v>
      </c>
      <c r="S240" s="147">
        <f t="shared" si="288"/>
        <v>223.0316</v>
      </c>
      <c r="T240" s="148">
        <f>S240*$T$5*$T$9</f>
        <v>56984.573799999998</v>
      </c>
      <c r="U240" s="199"/>
      <c r="V240" s="150"/>
      <c r="W240" s="249"/>
      <c r="X240" s="249"/>
      <c r="Y240" s="152"/>
      <c r="Z240" s="153"/>
      <c r="AA240" s="153"/>
      <c r="AB240" s="154"/>
      <c r="AC240" s="155">
        <f t="shared" si="290"/>
        <v>33051.052803999999</v>
      </c>
      <c r="AD240" s="156">
        <f t="shared" si="291"/>
        <v>7407.9945939999998</v>
      </c>
      <c r="AE240" s="156">
        <f t="shared" si="292"/>
        <v>5000.3963509499999</v>
      </c>
      <c r="AF240" s="156">
        <f t="shared" si="293"/>
        <v>2279.3829519999999</v>
      </c>
      <c r="AG240" s="156">
        <f t="shared" si="294"/>
        <v>1139.691476</v>
      </c>
      <c r="AH240" s="156">
        <f t="shared" si="295"/>
        <v>1139.691476</v>
      </c>
      <c r="AI240" s="156">
        <f t="shared" si="296"/>
        <v>569.84573799999998</v>
      </c>
      <c r="AJ240" s="156">
        <f t="shared" si="297"/>
        <v>1139.691476</v>
      </c>
      <c r="AK240" s="156">
        <f t="shared" si="298"/>
        <v>1139.691476</v>
      </c>
      <c r="AL240" s="156">
        <f t="shared" si="299"/>
        <v>3988.9201660000003</v>
      </c>
      <c r="AM240" s="157">
        <f t="shared" si="300"/>
        <v>17537.002586949999</v>
      </c>
      <c r="AN240" s="158">
        <f t="shared" si="301"/>
        <v>2200</v>
      </c>
      <c r="AO240" s="159">
        <v>0.2</v>
      </c>
      <c r="AP240" s="160">
        <f t="shared" si="302"/>
        <v>465964554.68382478</v>
      </c>
      <c r="AQ240" s="161">
        <f t="shared" si="303"/>
        <v>129434.60887805255</v>
      </c>
      <c r="AR240" s="162">
        <f t="shared" si="304"/>
        <v>25886.92177561051</v>
      </c>
      <c r="AS240" s="163">
        <f t="shared" si="305"/>
        <v>3.693910070720678</v>
      </c>
      <c r="AT240" s="164">
        <f t="shared" si="306"/>
        <v>3.693910070720678</v>
      </c>
      <c r="AU240" s="165"/>
      <c r="AV240" s="166"/>
      <c r="AW240" s="167"/>
      <c r="AX240" s="146"/>
      <c r="AY240" s="168"/>
    </row>
    <row r="241" spans="1:51" ht="10.9" customHeight="1" x14ac:dyDescent="0.25">
      <c r="B241" s="140">
        <v>11</v>
      </c>
      <c r="C241" s="302" t="s">
        <v>278</v>
      </c>
      <c r="D241" s="235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>
        <v>727500</v>
      </c>
      <c r="O241" s="236"/>
      <c r="P241" s="237"/>
      <c r="Q241" s="223">
        <f t="shared" si="286"/>
        <v>727500</v>
      </c>
      <c r="R241" s="147">
        <f>Q241*$R$9</f>
        <v>106215</v>
      </c>
      <c r="S241" s="147">
        <f t="shared" si="288"/>
        <v>291</v>
      </c>
      <c r="T241" s="148">
        <f>S241*$T$5*$T$9</f>
        <v>74350.5</v>
      </c>
      <c r="U241" s="199"/>
      <c r="V241" s="150"/>
      <c r="W241" s="249"/>
      <c r="X241" s="249"/>
      <c r="Y241" s="152"/>
      <c r="Z241" s="153"/>
      <c r="AA241" s="153"/>
      <c r="AB241" s="154"/>
      <c r="AC241" s="155">
        <f t="shared" si="290"/>
        <v>43123.289999999994</v>
      </c>
      <c r="AD241" s="156">
        <f t="shared" si="291"/>
        <v>9665.5650000000005</v>
      </c>
      <c r="AE241" s="156">
        <f t="shared" si="292"/>
        <v>6524.2563749999999</v>
      </c>
      <c r="AF241" s="156">
        <f t="shared" si="293"/>
        <v>2974.02</v>
      </c>
      <c r="AG241" s="156">
        <f t="shared" si="294"/>
        <v>1487.01</v>
      </c>
      <c r="AH241" s="156">
        <f t="shared" si="295"/>
        <v>1487.01</v>
      </c>
      <c r="AI241" s="156">
        <f t="shared" si="296"/>
        <v>743.505</v>
      </c>
      <c r="AJ241" s="156">
        <f t="shared" si="297"/>
        <v>1487.01</v>
      </c>
      <c r="AK241" s="156">
        <f t="shared" si="298"/>
        <v>1487.01</v>
      </c>
      <c r="AL241" s="156">
        <f t="shared" si="299"/>
        <v>5204.5350000000008</v>
      </c>
      <c r="AM241" s="157">
        <f t="shared" si="300"/>
        <v>22881.366374999998</v>
      </c>
      <c r="AN241" s="158">
        <f t="shared" si="301"/>
        <v>2200</v>
      </c>
      <c r="AO241" s="159">
        <v>0.2</v>
      </c>
      <c r="AP241" s="160">
        <f t="shared" si="302"/>
        <v>607966249.68386984</v>
      </c>
      <c r="AQ241" s="161">
        <f t="shared" si="303"/>
        <v>168879.52731143605</v>
      </c>
      <c r="AR241" s="162">
        <f t="shared" si="304"/>
        <v>33775.905462287214</v>
      </c>
      <c r="AS241" s="163">
        <f t="shared" si="305"/>
        <v>4.8196212132259149</v>
      </c>
      <c r="AT241" s="164">
        <f t="shared" si="306"/>
        <v>4.8196212132259149</v>
      </c>
      <c r="AU241" s="165"/>
      <c r="AV241" s="166"/>
      <c r="AW241" s="167"/>
      <c r="AX241" s="146"/>
      <c r="AY241" s="168"/>
    </row>
    <row r="242" spans="1:51" ht="10.9" customHeight="1" x14ac:dyDescent="0.25">
      <c r="B242" s="140">
        <v>12</v>
      </c>
      <c r="C242" s="305" t="s">
        <v>279</v>
      </c>
      <c r="D242" s="235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>
        <v>143683</v>
      </c>
      <c r="O242" s="236"/>
      <c r="P242" s="237"/>
      <c r="Q242" s="223">
        <f t="shared" si="286"/>
        <v>143683</v>
      </c>
      <c r="R242" s="147">
        <f>Q242*$R$10</f>
        <v>15805.13</v>
      </c>
      <c r="S242" s="147">
        <f t="shared" si="288"/>
        <v>43.301726027397258</v>
      </c>
      <c r="T242" s="148">
        <f>S242*$T$5*$T$10</f>
        <v>9483.0779999999995</v>
      </c>
      <c r="U242" s="199"/>
      <c r="V242" s="150"/>
      <c r="W242" s="249"/>
      <c r="X242" s="249"/>
      <c r="Y242" s="152"/>
      <c r="Z242" s="153"/>
      <c r="AA242" s="153"/>
      <c r="AB242" s="154"/>
      <c r="AC242" s="155">
        <f t="shared" si="290"/>
        <v>5500.1852399999998</v>
      </c>
      <c r="AD242" s="156">
        <f t="shared" si="291"/>
        <v>1232.8001400000001</v>
      </c>
      <c r="AE242" s="156">
        <f t="shared" si="292"/>
        <v>832.14009449999992</v>
      </c>
      <c r="AF242" s="156">
        <f t="shared" si="293"/>
        <v>379.32311999999996</v>
      </c>
      <c r="AG242" s="156">
        <f t="shared" si="294"/>
        <v>189.66155999999998</v>
      </c>
      <c r="AH242" s="156">
        <f t="shared" si="295"/>
        <v>189.66155999999998</v>
      </c>
      <c r="AI242" s="156">
        <f t="shared" si="296"/>
        <v>94.83077999999999</v>
      </c>
      <c r="AJ242" s="156">
        <f t="shared" si="297"/>
        <v>189.66155999999998</v>
      </c>
      <c r="AK242" s="156">
        <f t="shared" si="298"/>
        <v>189.66155999999998</v>
      </c>
      <c r="AL242" s="156">
        <f t="shared" si="299"/>
        <v>663.81546000000003</v>
      </c>
      <c r="AM242" s="157">
        <f t="shared" si="300"/>
        <v>2918.4172544999997</v>
      </c>
      <c r="AN242" s="158">
        <f t="shared" si="301"/>
        <v>2200</v>
      </c>
      <c r="AO242" s="159">
        <v>0.2</v>
      </c>
      <c r="AP242" s="160">
        <f t="shared" si="302"/>
        <v>77543410.832739696</v>
      </c>
      <c r="AQ242" s="161">
        <f t="shared" si="303"/>
        <v>21539.8380656146</v>
      </c>
      <c r="AR242" s="162">
        <f t="shared" si="304"/>
        <v>4307.9676131229198</v>
      </c>
      <c r="AS242" s="163">
        <f t="shared" si="305"/>
        <v>0.61472140598215175</v>
      </c>
      <c r="AT242" s="164">
        <f t="shared" si="306"/>
        <v>0.61472140598215175</v>
      </c>
      <c r="AU242" s="165"/>
      <c r="AV242" s="166"/>
      <c r="AW242" s="167"/>
      <c r="AX242" s="167"/>
      <c r="AY242" s="168"/>
    </row>
    <row r="243" spans="1:51" s="263" customFormat="1" ht="17.25" customHeight="1" x14ac:dyDescent="0.25">
      <c r="A243" s="173"/>
      <c r="B243" s="225"/>
      <c r="C243" s="258" t="s">
        <v>280</v>
      </c>
      <c r="D243" s="240">
        <f>SUM(D231:D242)</f>
        <v>0</v>
      </c>
      <c r="E243" s="240">
        <f t="shared" ref="E243:AM243" si="307">SUM(E231:E242)</f>
        <v>0</v>
      </c>
      <c r="F243" s="240">
        <f t="shared" si="307"/>
        <v>0</v>
      </c>
      <c r="G243" s="240">
        <f t="shared" si="307"/>
        <v>0</v>
      </c>
      <c r="H243" s="240">
        <f t="shared" si="307"/>
        <v>0</v>
      </c>
      <c r="I243" s="240">
        <f t="shared" si="307"/>
        <v>0</v>
      </c>
      <c r="J243" s="240">
        <f t="shared" si="307"/>
        <v>0</v>
      </c>
      <c r="K243" s="240">
        <f t="shared" si="307"/>
        <v>0</v>
      </c>
      <c r="L243" s="240">
        <f t="shared" si="307"/>
        <v>0</v>
      </c>
      <c r="M243" s="240">
        <f t="shared" si="307"/>
        <v>0</v>
      </c>
      <c r="N243" s="240">
        <f>SUM(N231:N242)</f>
        <v>2733093</v>
      </c>
      <c r="O243" s="240">
        <f t="shared" si="307"/>
        <v>0</v>
      </c>
      <c r="P243" s="240">
        <f t="shared" si="307"/>
        <v>0</v>
      </c>
      <c r="Q243" s="240">
        <f t="shared" si="307"/>
        <v>2733093</v>
      </c>
      <c r="R243" s="240">
        <f t="shared" si="307"/>
        <v>346903.07400000002</v>
      </c>
      <c r="S243" s="240">
        <f t="shared" si="307"/>
        <v>950.4193808219178</v>
      </c>
      <c r="T243" s="240">
        <f t="shared" si="307"/>
        <v>226903.99779999998</v>
      </c>
      <c r="U243" s="199">
        <f t="shared" si="307"/>
        <v>0</v>
      </c>
      <c r="V243" s="241"/>
      <c r="W243" s="242">
        <f t="shared" si="307"/>
        <v>0</v>
      </c>
      <c r="X243" s="242">
        <f>SUM(X231:X242)</f>
        <v>0</v>
      </c>
      <c r="Y243" s="242">
        <f>SUM(Y231:Y242)</f>
        <v>0</v>
      </c>
      <c r="Z243" s="199"/>
      <c r="AA243" s="199"/>
      <c r="AB243" s="243"/>
      <c r="AC243" s="240">
        <f t="shared" si="307"/>
        <v>131604.31872399998</v>
      </c>
      <c r="AD243" s="244">
        <f>SUM(AD231:AD242)</f>
        <v>29497.519714000002</v>
      </c>
      <c r="AE243" s="244">
        <f>SUM(AE231:AE242)</f>
        <v>19910.825806949997</v>
      </c>
      <c r="AF243" s="244">
        <f>SUM(AF231:AF242)</f>
        <v>9076.1599119999992</v>
      </c>
      <c r="AG243" s="244">
        <f>SUM(AG231:AG242)</f>
        <v>4538.0799559999996</v>
      </c>
      <c r="AH243" s="244">
        <f t="shared" si="307"/>
        <v>4538.0799559999996</v>
      </c>
      <c r="AI243" s="244">
        <f>SUM(AI231:AI242)</f>
        <v>2269.0399779999998</v>
      </c>
      <c r="AJ243" s="244">
        <f t="shared" si="307"/>
        <v>4538.0799559999996</v>
      </c>
      <c r="AK243" s="244">
        <f t="shared" si="307"/>
        <v>4538.0799559999996</v>
      </c>
      <c r="AL243" s="244">
        <f t="shared" si="307"/>
        <v>15883.279845999999</v>
      </c>
      <c r="AM243" s="245">
        <f t="shared" si="307"/>
        <v>69829.705322950002</v>
      </c>
      <c r="AN243" s="158"/>
      <c r="AO243" s="183"/>
      <c r="AP243" s="160">
        <f>SUM(AP231:AP242)</f>
        <v>1855400738.135494</v>
      </c>
      <c r="AQ243" s="160">
        <f t="shared" ref="AQ243:AX243" si="308">SUM(AQ231:AQ242)</f>
        <v>515389.13515765371</v>
      </c>
      <c r="AR243" s="160">
        <f t="shared" si="308"/>
        <v>103077.82703153076</v>
      </c>
      <c r="AS243" s="185">
        <f t="shared" si="308"/>
        <v>14.708594039887378</v>
      </c>
      <c r="AT243" s="186">
        <f t="shared" si="308"/>
        <v>14.708594039887378</v>
      </c>
      <c r="AU243" s="187"/>
      <c r="AV243" s="246">
        <f t="shared" si="308"/>
        <v>0</v>
      </c>
      <c r="AW243" s="246"/>
      <c r="AX243" s="185">
        <f t="shared" si="308"/>
        <v>0</v>
      </c>
      <c r="AY243" s="189"/>
    </row>
    <row r="244" spans="1:51" s="139" customFormat="1" ht="10.9" customHeight="1" x14ac:dyDescent="0.25">
      <c r="B244" s="247"/>
      <c r="C244" s="152"/>
      <c r="D244" s="247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248"/>
      <c r="Q244" s="249"/>
      <c r="R244" s="250"/>
      <c r="S244" s="250"/>
      <c r="T244" s="251"/>
      <c r="U244" s="199"/>
      <c r="V244" s="179"/>
      <c r="W244" s="249"/>
      <c r="X244" s="249"/>
      <c r="Y244" s="152"/>
      <c r="Z244" s="153"/>
      <c r="AA244" s="153"/>
      <c r="AB244" s="154"/>
      <c r="AC244" s="247"/>
      <c r="AD244" s="252"/>
      <c r="AE244" s="252"/>
      <c r="AF244" s="252"/>
      <c r="AG244" s="252"/>
      <c r="AH244" s="252"/>
      <c r="AI244" s="252"/>
      <c r="AJ244" s="252"/>
      <c r="AK244" s="252"/>
      <c r="AL244" s="252"/>
      <c r="AM244" s="214"/>
      <c r="AN244" s="203"/>
      <c r="AO244" s="204"/>
      <c r="AP244" s="203"/>
      <c r="AQ244" s="205"/>
      <c r="AR244" s="206"/>
      <c r="AS244" s="253"/>
      <c r="AT244" s="254"/>
      <c r="AU244" s="255"/>
      <c r="AV244" s="256"/>
      <c r="AW244" s="257"/>
      <c r="AX244" s="214"/>
      <c r="AY244" s="212"/>
    </row>
    <row r="245" spans="1:51" s="139" customFormat="1" ht="15" customHeight="1" x14ac:dyDescent="0.25">
      <c r="A245" s="1"/>
      <c r="B245" s="120"/>
      <c r="C245" s="258" t="s">
        <v>281</v>
      </c>
      <c r="D245" s="122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213"/>
      <c r="Q245" s="76"/>
      <c r="R245" s="108"/>
      <c r="S245" s="108"/>
      <c r="T245" s="94"/>
      <c r="U245" s="199"/>
      <c r="V245" s="179"/>
      <c r="W245" s="180"/>
      <c r="X245" s="180"/>
      <c r="Y245" s="214"/>
      <c r="Z245" s="181"/>
      <c r="AA245" s="181"/>
      <c r="AB245" s="182"/>
      <c r="AC245" s="62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125"/>
      <c r="AN245" s="75"/>
      <c r="AO245" s="216"/>
      <c r="AP245" s="75"/>
      <c r="AQ245" s="51"/>
      <c r="AR245" s="259"/>
      <c r="AS245" s="218"/>
      <c r="AT245" s="219"/>
      <c r="AU245" s="220"/>
      <c r="AV245" s="135"/>
      <c r="AW245" s="136"/>
      <c r="AX245" s="137"/>
      <c r="AY245" s="138"/>
    </row>
    <row r="246" spans="1:51" ht="10.9" customHeight="1" x14ac:dyDescent="0.2">
      <c r="B246" s="140">
        <v>1</v>
      </c>
      <c r="C246" s="302" t="s">
        <v>282</v>
      </c>
      <c r="D246" s="235"/>
      <c r="E246" s="236"/>
      <c r="F246" s="236"/>
      <c r="G246" s="236"/>
      <c r="H246" s="236"/>
      <c r="I246" s="236"/>
      <c r="J246" s="306">
        <v>260640</v>
      </c>
      <c r="K246" s="306">
        <v>265629</v>
      </c>
      <c r="L246" s="306">
        <v>270091</v>
      </c>
      <c r="M246" s="306">
        <v>274526</v>
      </c>
      <c r="N246" s="306">
        <v>296333</v>
      </c>
      <c r="O246" s="306">
        <v>303430</v>
      </c>
      <c r="P246" s="307"/>
      <c r="Q246" s="223">
        <f t="shared" ref="Q246:Q258" si="309">MAX(D246:P246)</f>
        <v>303430</v>
      </c>
      <c r="R246" s="147">
        <f>Q246*$R$10</f>
        <v>33377.300000000003</v>
      </c>
      <c r="S246" s="147">
        <f t="shared" ref="S246:S258" si="310">R246/$S$5</f>
        <v>91.444657534246588</v>
      </c>
      <c r="T246" s="148">
        <f>S246*$T$5*$T$10</f>
        <v>20026.38</v>
      </c>
      <c r="U246" s="199"/>
      <c r="V246" s="150"/>
      <c r="W246" s="249"/>
      <c r="X246" s="249"/>
      <c r="Y246" s="152"/>
      <c r="Z246" s="153"/>
      <c r="AA246" s="153"/>
      <c r="AB246" s="154"/>
      <c r="AC246" s="155">
        <f t="shared" ref="AC246:AC258" si="311">T246*$AC$5</f>
        <v>11615.3004</v>
      </c>
      <c r="AD246" s="156">
        <f t="shared" ref="AD246:AD258" si="312">T246*$AD$5</f>
        <v>2603.4294000000004</v>
      </c>
      <c r="AE246" s="156">
        <f t="shared" ref="AE246:AE258" si="313">T246*$AE$5</f>
        <v>1757.3148449999999</v>
      </c>
      <c r="AF246" s="156">
        <f t="shared" ref="AF246:AF258" si="314">T246*$AF$5</f>
        <v>801.05520000000001</v>
      </c>
      <c r="AG246" s="156">
        <f t="shared" ref="AG246:AG258" si="315">T246*$AG$5</f>
        <v>400.52760000000001</v>
      </c>
      <c r="AH246" s="156">
        <f t="shared" ref="AH246:AH258" si="316">T246*$AH$5</f>
        <v>400.52760000000001</v>
      </c>
      <c r="AI246" s="156">
        <f t="shared" ref="AI246:AI258" si="317">T246*$AI$5</f>
        <v>200.2638</v>
      </c>
      <c r="AJ246" s="156">
        <f t="shared" ref="AJ246:AJ258" si="318">T246*$AJ$5</f>
        <v>400.52760000000001</v>
      </c>
      <c r="AK246" s="156">
        <f t="shared" ref="AK246:AK258" si="319">T246*$AK$5</f>
        <v>400.52760000000001</v>
      </c>
      <c r="AL246" s="156">
        <f t="shared" ref="AL246:AL258" si="320">T246*$AL$5</f>
        <v>1401.8466000000003</v>
      </c>
      <c r="AM246" s="157">
        <f>SUM(AD246:AI246)</f>
        <v>6163.1184450000001</v>
      </c>
      <c r="AN246" s="158">
        <f t="shared" ref="AN246:AN258" si="321">$AN$5</f>
        <v>2200</v>
      </c>
      <c r="AO246" s="159">
        <v>0.2</v>
      </c>
      <c r="AP246" s="160">
        <f t="shared" ref="AP246:AP258" si="322">(AC246+AM246)*AN246*$AP$5</f>
        <v>163756304.84454119</v>
      </c>
      <c r="AQ246" s="161">
        <f t="shared" ref="AQ246:AQ258" si="323">AP246*$AQ$5</f>
        <v>45487.866095845995</v>
      </c>
      <c r="AR246" s="162">
        <f t="shared" ref="AR246:AR258" si="324">AQ246*$AR$5</f>
        <v>9097.5732191691986</v>
      </c>
      <c r="AS246" s="163">
        <f t="shared" ref="AS246:AS258" si="325">AR246/$AS$5</f>
        <v>1.2981696945161527</v>
      </c>
      <c r="AT246" s="164">
        <f t="shared" ref="AT246:AT258" si="326">AS246</f>
        <v>1.2981696945161527</v>
      </c>
      <c r="AU246" s="165"/>
      <c r="AV246" s="166"/>
      <c r="AW246" s="167"/>
      <c r="AX246" s="146"/>
      <c r="AY246" s="168"/>
    </row>
    <row r="247" spans="1:51" ht="10.9" customHeight="1" x14ac:dyDescent="0.2">
      <c r="B247" s="140">
        <v>2</v>
      </c>
      <c r="C247" s="302" t="s">
        <v>283</v>
      </c>
      <c r="D247" s="235"/>
      <c r="E247" s="236"/>
      <c r="F247" s="236"/>
      <c r="G247" s="236"/>
      <c r="H247" s="236"/>
      <c r="I247" s="236"/>
      <c r="J247" s="306">
        <v>269111</v>
      </c>
      <c r="K247" s="306">
        <v>272000</v>
      </c>
      <c r="L247" s="306">
        <v>276574</v>
      </c>
      <c r="M247" s="306">
        <v>281120</v>
      </c>
      <c r="N247" s="306">
        <v>290142</v>
      </c>
      <c r="O247" s="306">
        <v>296987</v>
      </c>
      <c r="P247" s="307"/>
      <c r="Q247" s="223">
        <f t="shared" si="309"/>
        <v>296987</v>
      </c>
      <c r="R247" s="147">
        <f>Q247*$R$10</f>
        <v>32668.57</v>
      </c>
      <c r="S247" s="147">
        <f t="shared" si="310"/>
        <v>89.502931506849308</v>
      </c>
      <c r="T247" s="148">
        <f>S247*$T$5*$T$10</f>
        <v>19601.141999999996</v>
      </c>
      <c r="U247" s="199"/>
      <c r="V247" s="150"/>
      <c r="W247" s="249"/>
      <c r="X247" s="249"/>
      <c r="Y247" s="152"/>
      <c r="Z247" s="153"/>
      <c r="AA247" s="153"/>
      <c r="AB247" s="154"/>
      <c r="AC247" s="155">
        <f t="shared" si="311"/>
        <v>11368.662359999997</v>
      </c>
      <c r="AD247" s="156">
        <f t="shared" si="312"/>
        <v>2548.1484599999994</v>
      </c>
      <c r="AE247" s="156">
        <f t="shared" si="313"/>
        <v>1720.0002104999996</v>
      </c>
      <c r="AF247" s="156">
        <f t="shared" si="314"/>
        <v>784.04567999999983</v>
      </c>
      <c r="AG247" s="156">
        <f t="shared" si="315"/>
        <v>392.02283999999992</v>
      </c>
      <c r="AH247" s="156">
        <f t="shared" si="316"/>
        <v>392.02283999999992</v>
      </c>
      <c r="AI247" s="156">
        <f t="shared" si="317"/>
        <v>196.01141999999996</v>
      </c>
      <c r="AJ247" s="156">
        <f t="shared" si="318"/>
        <v>392.02283999999992</v>
      </c>
      <c r="AK247" s="156">
        <f t="shared" si="319"/>
        <v>392.02283999999992</v>
      </c>
      <c r="AL247" s="156">
        <f t="shared" si="320"/>
        <v>1372.0799399999999</v>
      </c>
      <c r="AM247" s="157">
        <f t="shared" ref="AM247:AM258" si="327">SUM(AD247:AI247)</f>
        <v>6032.2514504999981</v>
      </c>
      <c r="AN247" s="158">
        <f t="shared" si="321"/>
        <v>2200</v>
      </c>
      <c r="AO247" s="159">
        <v>0.2</v>
      </c>
      <c r="AP247" s="160">
        <f t="shared" si="322"/>
        <v>160279121.07196301</v>
      </c>
      <c r="AQ247" s="161">
        <f t="shared" si="323"/>
        <v>44521.981637303528</v>
      </c>
      <c r="AR247" s="162">
        <f t="shared" si="324"/>
        <v>8904.3963274607067</v>
      </c>
      <c r="AS247" s="163">
        <f t="shared" si="325"/>
        <v>1.2706044987814935</v>
      </c>
      <c r="AT247" s="164">
        <f t="shared" si="326"/>
        <v>1.2706044987814935</v>
      </c>
      <c r="AU247" s="165"/>
      <c r="AV247" s="166"/>
      <c r="AW247" s="167"/>
      <c r="AX247" s="146"/>
      <c r="AY247" s="168"/>
    </row>
    <row r="248" spans="1:51" ht="10.9" customHeight="1" x14ac:dyDescent="0.2">
      <c r="B248" s="140">
        <v>3</v>
      </c>
      <c r="C248" s="302" t="s">
        <v>284</v>
      </c>
      <c r="D248" s="235"/>
      <c r="E248" s="236"/>
      <c r="F248" s="236"/>
      <c r="G248" s="236"/>
      <c r="H248" s="236"/>
      <c r="I248" s="236"/>
      <c r="J248" s="306">
        <v>470048</v>
      </c>
      <c r="K248" s="306">
        <v>480010</v>
      </c>
      <c r="L248" s="306">
        <v>489056</v>
      </c>
      <c r="M248" s="306">
        <v>498088</v>
      </c>
      <c r="N248" s="306">
        <v>506839</v>
      </c>
      <c r="O248" s="306">
        <v>516663</v>
      </c>
      <c r="P248" s="307"/>
      <c r="Q248" s="223">
        <f t="shared" si="309"/>
        <v>516663</v>
      </c>
      <c r="R248" s="147">
        <f>Q248*$R$9</f>
        <v>75432.797999999995</v>
      </c>
      <c r="S248" s="147">
        <f t="shared" si="310"/>
        <v>206.6652</v>
      </c>
      <c r="T248" s="148">
        <f>S248*$T$5*$T$9</f>
        <v>52802.958599999991</v>
      </c>
      <c r="U248" s="199"/>
      <c r="V248" s="150"/>
      <c r="W248" s="249"/>
      <c r="X248" s="249"/>
      <c r="Y248" s="152"/>
      <c r="Z248" s="153"/>
      <c r="AA248" s="153"/>
      <c r="AB248" s="154"/>
      <c r="AC248" s="155">
        <f t="shared" si="311"/>
        <v>30625.715987999993</v>
      </c>
      <c r="AD248" s="156">
        <f t="shared" si="312"/>
        <v>6864.3846179999991</v>
      </c>
      <c r="AE248" s="156">
        <f t="shared" si="313"/>
        <v>4633.4596171499988</v>
      </c>
      <c r="AF248" s="156">
        <f t="shared" si="314"/>
        <v>2112.1183439999995</v>
      </c>
      <c r="AG248" s="156">
        <f t="shared" si="315"/>
        <v>1056.0591719999998</v>
      </c>
      <c r="AH248" s="156">
        <f t="shared" si="316"/>
        <v>1056.0591719999998</v>
      </c>
      <c r="AI248" s="156">
        <f t="shared" si="317"/>
        <v>528.02958599999988</v>
      </c>
      <c r="AJ248" s="156">
        <f t="shared" si="318"/>
        <v>1056.0591719999998</v>
      </c>
      <c r="AK248" s="156">
        <f t="shared" si="319"/>
        <v>1056.0591719999998</v>
      </c>
      <c r="AL248" s="156">
        <f t="shared" si="320"/>
        <v>3696.2071019999998</v>
      </c>
      <c r="AM248" s="157">
        <f t="shared" si="327"/>
        <v>16250.110509149996</v>
      </c>
      <c r="AN248" s="158">
        <f t="shared" si="321"/>
        <v>2200</v>
      </c>
      <c r="AO248" s="159">
        <v>0.2</v>
      </c>
      <c r="AP248" s="160">
        <f t="shared" si="322"/>
        <v>431771362.83218867</v>
      </c>
      <c r="AQ248" s="161">
        <f t="shared" si="323"/>
        <v>119936.49927052713</v>
      </c>
      <c r="AR248" s="162">
        <f t="shared" si="324"/>
        <v>23987.299854105426</v>
      </c>
      <c r="AS248" s="163">
        <f t="shared" si="325"/>
        <v>3.4228452988164135</v>
      </c>
      <c r="AT248" s="164">
        <f t="shared" si="326"/>
        <v>3.4228452988164135</v>
      </c>
      <c r="AU248" s="165"/>
      <c r="AV248" s="166"/>
      <c r="AW248" s="167"/>
      <c r="AX248" s="146"/>
      <c r="AY248" s="168"/>
    </row>
    <row r="249" spans="1:51" ht="10.9" customHeight="1" x14ac:dyDescent="0.2">
      <c r="B249" s="140">
        <v>4</v>
      </c>
      <c r="C249" s="302" t="s">
        <v>285</v>
      </c>
      <c r="D249" s="235"/>
      <c r="E249" s="236"/>
      <c r="F249" s="236"/>
      <c r="G249" s="236"/>
      <c r="H249" s="236"/>
      <c r="I249" s="236"/>
      <c r="J249" s="306">
        <v>266313</v>
      </c>
      <c r="K249" s="306">
        <v>269448</v>
      </c>
      <c r="L249" s="306">
        <v>272332</v>
      </c>
      <c r="M249" s="306">
        <v>275145</v>
      </c>
      <c r="N249" s="306">
        <v>276147</v>
      </c>
      <c r="O249" s="306">
        <v>278678</v>
      </c>
      <c r="P249" s="307"/>
      <c r="Q249" s="223">
        <f t="shared" si="309"/>
        <v>278678</v>
      </c>
      <c r="R249" s="147">
        <f t="shared" ref="R249:R255" si="328">Q249*$R$10</f>
        <v>30654.58</v>
      </c>
      <c r="S249" s="147">
        <f t="shared" si="310"/>
        <v>83.985150684931511</v>
      </c>
      <c r="T249" s="148">
        <f t="shared" ref="T249:T255" si="329">S249*$T$5*$T$10</f>
        <v>18392.748</v>
      </c>
      <c r="U249" s="199"/>
      <c r="V249" s="150"/>
      <c r="W249" s="249"/>
      <c r="X249" s="249"/>
      <c r="Y249" s="152"/>
      <c r="Z249" s="153"/>
      <c r="AA249" s="153"/>
      <c r="AB249" s="154"/>
      <c r="AC249" s="155">
        <f t="shared" si="311"/>
        <v>10667.793839999998</v>
      </c>
      <c r="AD249" s="156">
        <f t="shared" si="312"/>
        <v>2391.0572400000001</v>
      </c>
      <c r="AE249" s="156">
        <f t="shared" si="313"/>
        <v>1613.9636369999998</v>
      </c>
      <c r="AF249" s="156">
        <f t="shared" si="314"/>
        <v>735.70992000000001</v>
      </c>
      <c r="AG249" s="156">
        <f t="shared" si="315"/>
        <v>367.85496000000001</v>
      </c>
      <c r="AH249" s="156">
        <f t="shared" si="316"/>
        <v>367.85496000000001</v>
      </c>
      <c r="AI249" s="156">
        <f t="shared" si="317"/>
        <v>183.92748</v>
      </c>
      <c r="AJ249" s="156">
        <f t="shared" si="318"/>
        <v>367.85496000000001</v>
      </c>
      <c r="AK249" s="156">
        <f t="shared" si="319"/>
        <v>367.85496000000001</v>
      </c>
      <c r="AL249" s="156">
        <f t="shared" si="320"/>
        <v>1287.4923600000002</v>
      </c>
      <c r="AM249" s="157">
        <f t="shared" si="327"/>
        <v>5660.3681969999998</v>
      </c>
      <c r="AN249" s="158">
        <f t="shared" si="321"/>
        <v>2200</v>
      </c>
      <c r="AO249" s="159">
        <v>0.2</v>
      </c>
      <c r="AP249" s="160">
        <f t="shared" si="322"/>
        <v>150398047.3963255</v>
      </c>
      <c r="AQ249" s="161">
        <f t="shared" si="323"/>
        <v>41777.238730047022</v>
      </c>
      <c r="AR249" s="162">
        <f t="shared" si="324"/>
        <v>8355.447746009404</v>
      </c>
      <c r="AS249" s="163">
        <f t="shared" si="325"/>
        <v>1.192272794807278</v>
      </c>
      <c r="AT249" s="164">
        <f t="shared" si="326"/>
        <v>1.192272794807278</v>
      </c>
      <c r="AU249" s="165"/>
      <c r="AV249" s="166"/>
      <c r="AW249" s="167"/>
      <c r="AX249" s="146"/>
      <c r="AY249" s="168"/>
    </row>
    <row r="250" spans="1:51" ht="10.9" customHeight="1" x14ac:dyDescent="0.2">
      <c r="B250" s="140">
        <v>5</v>
      </c>
      <c r="C250" s="302" t="s">
        <v>286</v>
      </c>
      <c r="D250" s="235"/>
      <c r="E250" s="236"/>
      <c r="F250" s="236"/>
      <c r="G250" s="236"/>
      <c r="H250" s="236"/>
      <c r="I250" s="236"/>
      <c r="J250" s="306">
        <v>150587</v>
      </c>
      <c r="K250" s="306">
        <v>152077</v>
      </c>
      <c r="L250" s="306">
        <v>153066</v>
      </c>
      <c r="M250" s="306">
        <v>154005</v>
      </c>
      <c r="N250" s="306">
        <v>167877</v>
      </c>
      <c r="O250" s="306">
        <v>170468</v>
      </c>
      <c r="P250" s="307"/>
      <c r="Q250" s="223">
        <f t="shared" si="309"/>
        <v>170468</v>
      </c>
      <c r="R250" s="147">
        <f t="shared" si="328"/>
        <v>18751.48</v>
      </c>
      <c r="S250" s="147">
        <f t="shared" si="310"/>
        <v>51.373917808219176</v>
      </c>
      <c r="T250" s="148">
        <f t="shared" si="329"/>
        <v>11250.887999999999</v>
      </c>
      <c r="U250" s="199"/>
      <c r="V250" s="150"/>
      <c r="W250" s="249"/>
      <c r="X250" s="249"/>
      <c r="Y250" s="152"/>
      <c r="Z250" s="153"/>
      <c r="AA250" s="153"/>
      <c r="AB250" s="154"/>
      <c r="AC250" s="155">
        <f t="shared" si="311"/>
        <v>6525.5150399999993</v>
      </c>
      <c r="AD250" s="156">
        <f t="shared" si="312"/>
        <v>1462.6154399999998</v>
      </c>
      <c r="AE250" s="156">
        <f t="shared" si="313"/>
        <v>987.26542199999983</v>
      </c>
      <c r="AF250" s="156">
        <f t="shared" si="314"/>
        <v>450.03551999999996</v>
      </c>
      <c r="AG250" s="156">
        <f t="shared" si="315"/>
        <v>225.01775999999998</v>
      </c>
      <c r="AH250" s="156">
        <f t="shared" si="316"/>
        <v>225.01775999999998</v>
      </c>
      <c r="AI250" s="156">
        <f t="shared" si="317"/>
        <v>112.50887999999999</v>
      </c>
      <c r="AJ250" s="156">
        <f t="shared" si="318"/>
        <v>225.01775999999998</v>
      </c>
      <c r="AK250" s="156">
        <f t="shared" si="319"/>
        <v>225.01775999999998</v>
      </c>
      <c r="AL250" s="156">
        <f t="shared" si="320"/>
        <v>787.56215999999995</v>
      </c>
      <c r="AM250" s="157">
        <f t="shared" si="327"/>
        <v>3462.4607819999997</v>
      </c>
      <c r="AN250" s="158">
        <f t="shared" si="321"/>
        <v>2200</v>
      </c>
      <c r="AO250" s="159">
        <v>0.2</v>
      </c>
      <c r="AP250" s="160">
        <f t="shared" si="322"/>
        <v>91998845.777409106</v>
      </c>
      <c r="AQ250" s="161">
        <f t="shared" si="323"/>
        <v>25555.23698258799</v>
      </c>
      <c r="AR250" s="162">
        <f t="shared" si="324"/>
        <v>5111.0473965175988</v>
      </c>
      <c r="AS250" s="163">
        <f t="shared" si="325"/>
        <v>0.72931612393230572</v>
      </c>
      <c r="AT250" s="164">
        <f t="shared" si="326"/>
        <v>0.72931612393230572</v>
      </c>
      <c r="AU250" s="165"/>
      <c r="AV250" s="166"/>
      <c r="AW250" s="167"/>
      <c r="AX250" s="146"/>
      <c r="AY250" s="168"/>
    </row>
    <row r="251" spans="1:51" ht="10.9" customHeight="1" x14ac:dyDescent="0.2">
      <c r="B251" s="140">
        <v>6</v>
      </c>
      <c r="C251" s="302" t="s">
        <v>287</v>
      </c>
      <c r="D251" s="235"/>
      <c r="E251" s="236"/>
      <c r="F251" s="236"/>
      <c r="G251" s="236"/>
      <c r="H251" s="236"/>
      <c r="I251" s="236"/>
      <c r="J251" s="306">
        <v>205765</v>
      </c>
      <c r="K251" s="306">
        <v>207402</v>
      </c>
      <c r="L251" s="306">
        <v>208571</v>
      </c>
      <c r="M251" s="306">
        <v>209669</v>
      </c>
      <c r="N251" s="306">
        <v>212485</v>
      </c>
      <c r="O251" s="306">
        <v>213747</v>
      </c>
      <c r="P251" s="307"/>
      <c r="Q251" s="223">
        <f t="shared" si="309"/>
        <v>213747</v>
      </c>
      <c r="R251" s="147">
        <f t="shared" si="328"/>
        <v>23512.170000000002</v>
      </c>
      <c r="S251" s="147">
        <f t="shared" si="310"/>
        <v>64.416904109589041</v>
      </c>
      <c r="T251" s="148">
        <f t="shared" si="329"/>
        <v>14107.301999999998</v>
      </c>
      <c r="U251" s="199"/>
      <c r="V251" s="150"/>
      <c r="W251" s="249"/>
      <c r="X251" s="249"/>
      <c r="Y251" s="152"/>
      <c r="Z251" s="153"/>
      <c r="AA251" s="153"/>
      <c r="AB251" s="154"/>
      <c r="AC251" s="155">
        <f t="shared" si="311"/>
        <v>8182.2351599999984</v>
      </c>
      <c r="AD251" s="156">
        <f t="shared" si="312"/>
        <v>1833.9492599999999</v>
      </c>
      <c r="AE251" s="156">
        <f t="shared" si="313"/>
        <v>1237.9157504999998</v>
      </c>
      <c r="AF251" s="156">
        <f t="shared" si="314"/>
        <v>564.29207999999994</v>
      </c>
      <c r="AG251" s="156">
        <f t="shared" si="315"/>
        <v>282.14603999999997</v>
      </c>
      <c r="AH251" s="156">
        <f t="shared" si="316"/>
        <v>282.14603999999997</v>
      </c>
      <c r="AI251" s="156">
        <f t="shared" si="317"/>
        <v>141.07301999999999</v>
      </c>
      <c r="AJ251" s="156">
        <f t="shared" si="318"/>
        <v>282.14603999999997</v>
      </c>
      <c r="AK251" s="156">
        <f t="shared" si="319"/>
        <v>282.14603999999997</v>
      </c>
      <c r="AL251" s="156">
        <f t="shared" si="320"/>
        <v>987.51113999999995</v>
      </c>
      <c r="AM251" s="157">
        <f t="shared" si="327"/>
        <v>4341.5221904999999</v>
      </c>
      <c r="AN251" s="158">
        <f t="shared" si="321"/>
        <v>2200</v>
      </c>
      <c r="AO251" s="159">
        <v>0.2</v>
      </c>
      <c r="AP251" s="160">
        <f t="shared" si="322"/>
        <v>115355828.00516145</v>
      </c>
      <c r="AQ251" s="161">
        <f t="shared" si="323"/>
        <v>32043.288120452136</v>
      </c>
      <c r="AR251" s="162">
        <f t="shared" si="324"/>
        <v>6408.6576240904278</v>
      </c>
      <c r="AS251" s="163">
        <f t="shared" si="325"/>
        <v>0.91447740069783501</v>
      </c>
      <c r="AT251" s="164">
        <f t="shared" si="326"/>
        <v>0.91447740069783501</v>
      </c>
      <c r="AU251" s="165"/>
      <c r="AV251" s="166"/>
      <c r="AW251" s="167"/>
      <c r="AX251" s="146"/>
      <c r="AY251" s="168"/>
    </row>
    <row r="252" spans="1:51" ht="10.9" customHeight="1" x14ac:dyDescent="0.2">
      <c r="B252" s="140">
        <v>7</v>
      </c>
      <c r="C252" s="302" t="s">
        <v>288</v>
      </c>
      <c r="D252" s="235"/>
      <c r="E252" s="236"/>
      <c r="F252" s="236"/>
      <c r="G252" s="236"/>
      <c r="H252" s="236"/>
      <c r="I252" s="236"/>
      <c r="J252" s="306">
        <v>239650</v>
      </c>
      <c r="K252" s="306">
        <v>242189</v>
      </c>
      <c r="L252" s="306">
        <v>244192</v>
      </c>
      <c r="M252" s="306">
        <v>246120</v>
      </c>
      <c r="N252" s="306">
        <v>243460</v>
      </c>
      <c r="O252" s="306">
        <v>244889</v>
      </c>
      <c r="P252" s="307"/>
      <c r="Q252" s="223">
        <f t="shared" si="309"/>
        <v>246120</v>
      </c>
      <c r="R252" s="147">
        <f t="shared" si="328"/>
        <v>27073.200000000001</v>
      </c>
      <c r="S252" s="147">
        <f t="shared" si="310"/>
        <v>74.173150684931514</v>
      </c>
      <c r="T252" s="148">
        <f t="shared" si="329"/>
        <v>16243.920000000002</v>
      </c>
      <c r="U252" s="199"/>
      <c r="V252" s="150"/>
      <c r="W252" s="249"/>
      <c r="X252" s="249"/>
      <c r="Y252" s="152"/>
      <c r="Z252" s="153"/>
      <c r="AA252" s="153"/>
      <c r="AB252" s="154"/>
      <c r="AC252" s="155">
        <f t="shared" si="311"/>
        <v>9421.4736000000012</v>
      </c>
      <c r="AD252" s="156">
        <f t="shared" si="312"/>
        <v>2111.7096000000001</v>
      </c>
      <c r="AE252" s="156">
        <f t="shared" si="313"/>
        <v>1425.40398</v>
      </c>
      <c r="AF252" s="156">
        <f t="shared" si="314"/>
        <v>649.75680000000011</v>
      </c>
      <c r="AG252" s="156">
        <f t="shared" si="315"/>
        <v>324.87840000000006</v>
      </c>
      <c r="AH252" s="156">
        <f t="shared" si="316"/>
        <v>324.87840000000006</v>
      </c>
      <c r="AI252" s="156">
        <f t="shared" si="317"/>
        <v>162.43920000000003</v>
      </c>
      <c r="AJ252" s="156">
        <f t="shared" si="318"/>
        <v>324.87840000000006</v>
      </c>
      <c r="AK252" s="156">
        <f t="shared" si="319"/>
        <v>324.87840000000006</v>
      </c>
      <c r="AL252" s="156">
        <f t="shared" si="320"/>
        <v>1137.0744000000002</v>
      </c>
      <c r="AM252" s="157">
        <f t="shared" si="327"/>
        <v>4999.0663799999993</v>
      </c>
      <c r="AN252" s="158">
        <f t="shared" si="321"/>
        <v>2200</v>
      </c>
      <c r="AO252" s="159">
        <v>0.2</v>
      </c>
      <c r="AP252" s="160">
        <f t="shared" si="322"/>
        <v>132827016.93418081</v>
      </c>
      <c r="AQ252" s="161">
        <f t="shared" si="323"/>
        <v>36896.396544539493</v>
      </c>
      <c r="AR252" s="162">
        <f t="shared" si="324"/>
        <v>7379.2793089078987</v>
      </c>
      <c r="AS252" s="163">
        <f t="shared" si="325"/>
        <v>1.052979353440054</v>
      </c>
      <c r="AT252" s="164">
        <f t="shared" si="326"/>
        <v>1.052979353440054</v>
      </c>
      <c r="AU252" s="165"/>
      <c r="AV252" s="166"/>
      <c r="AW252" s="167"/>
      <c r="AX252" s="146"/>
      <c r="AY252" s="168"/>
    </row>
    <row r="253" spans="1:51" ht="10.9" customHeight="1" x14ac:dyDescent="0.2">
      <c r="B253" s="140">
        <v>8</v>
      </c>
      <c r="C253" s="302" t="s">
        <v>289</v>
      </c>
      <c r="D253" s="235"/>
      <c r="E253" s="236"/>
      <c r="F253" s="236"/>
      <c r="G253" s="236"/>
      <c r="H253" s="236"/>
      <c r="I253" s="236"/>
      <c r="J253" s="306">
        <v>211731</v>
      </c>
      <c r="K253" s="306">
        <v>214191</v>
      </c>
      <c r="L253" s="306">
        <v>216181</v>
      </c>
      <c r="M253" s="306">
        <v>218109</v>
      </c>
      <c r="N253" s="306">
        <v>209246</v>
      </c>
      <c r="O253" s="306">
        <v>209979</v>
      </c>
      <c r="P253" s="307"/>
      <c r="Q253" s="223">
        <f t="shared" si="309"/>
        <v>218109</v>
      </c>
      <c r="R253" s="147">
        <f t="shared" si="328"/>
        <v>23991.99</v>
      </c>
      <c r="S253" s="147">
        <f t="shared" si="310"/>
        <v>65.731479452054799</v>
      </c>
      <c r="T253" s="148">
        <f t="shared" si="329"/>
        <v>14395.194000000001</v>
      </c>
      <c r="U253" s="199"/>
      <c r="V253" s="150"/>
      <c r="W253" s="249"/>
      <c r="X253" s="249"/>
      <c r="Y253" s="152"/>
      <c r="Z253" s="153"/>
      <c r="AA253" s="153"/>
      <c r="AB253" s="154"/>
      <c r="AC253" s="155">
        <f t="shared" si="311"/>
        <v>8349.2125200000009</v>
      </c>
      <c r="AD253" s="156">
        <f t="shared" si="312"/>
        <v>1871.3752200000001</v>
      </c>
      <c r="AE253" s="156">
        <f t="shared" si="313"/>
        <v>1263.1782734999999</v>
      </c>
      <c r="AF253" s="156">
        <f t="shared" si="314"/>
        <v>575.80776000000003</v>
      </c>
      <c r="AG253" s="156">
        <f t="shared" si="315"/>
        <v>287.90388000000002</v>
      </c>
      <c r="AH253" s="156">
        <f t="shared" si="316"/>
        <v>287.90388000000002</v>
      </c>
      <c r="AI253" s="156">
        <f t="shared" si="317"/>
        <v>143.95194000000001</v>
      </c>
      <c r="AJ253" s="156">
        <f t="shared" si="318"/>
        <v>287.90388000000002</v>
      </c>
      <c r="AK253" s="156">
        <f t="shared" si="319"/>
        <v>287.90388000000002</v>
      </c>
      <c r="AL253" s="156">
        <f t="shared" si="320"/>
        <v>1007.6635800000001</v>
      </c>
      <c r="AM253" s="157">
        <f t="shared" si="327"/>
        <v>4430.1209534999998</v>
      </c>
      <c r="AN253" s="158">
        <f t="shared" si="321"/>
        <v>2200</v>
      </c>
      <c r="AO253" s="159">
        <v>0.2</v>
      </c>
      <c r="AP253" s="160">
        <f t="shared" si="322"/>
        <v>117709929.45106956</v>
      </c>
      <c r="AQ253" s="161">
        <f t="shared" si="323"/>
        <v>32697.205241073312</v>
      </c>
      <c r="AR253" s="162">
        <f t="shared" si="324"/>
        <v>6539.4410482146632</v>
      </c>
      <c r="AS253" s="163">
        <f t="shared" si="325"/>
        <v>0.93313941898040287</v>
      </c>
      <c r="AT253" s="164">
        <f t="shared" si="326"/>
        <v>0.93313941898040287</v>
      </c>
      <c r="AU253" s="165"/>
      <c r="AV253" s="166"/>
      <c r="AW253" s="167"/>
      <c r="AX253" s="146"/>
      <c r="AY253" s="168"/>
    </row>
    <row r="254" spans="1:51" ht="10.9" customHeight="1" x14ac:dyDescent="0.2">
      <c r="B254" s="140">
        <v>9</v>
      </c>
      <c r="C254" s="302" t="s">
        <v>290</v>
      </c>
      <c r="D254" s="235"/>
      <c r="E254" s="236"/>
      <c r="F254" s="236"/>
      <c r="G254" s="236"/>
      <c r="H254" s="236"/>
      <c r="I254" s="236"/>
      <c r="J254" s="306">
        <v>189009</v>
      </c>
      <c r="K254" s="306">
        <v>191000</v>
      </c>
      <c r="L254" s="306">
        <v>193082</v>
      </c>
      <c r="M254" s="306">
        <v>195114</v>
      </c>
      <c r="N254" s="306">
        <v>218620</v>
      </c>
      <c r="O254" s="306">
        <v>223813</v>
      </c>
      <c r="P254" s="307"/>
      <c r="Q254" s="223">
        <f t="shared" si="309"/>
        <v>223813</v>
      </c>
      <c r="R254" s="147">
        <f t="shared" si="328"/>
        <v>24619.43</v>
      </c>
      <c r="S254" s="147">
        <f t="shared" si="310"/>
        <v>67.450493150684935</v>
      </c>
      <c r="T254" s="148">
        <f t="shared" si="329"/>
        <v>14771.657999999999</v>
      </c>
      <c r="U254" s="199"/>
      <c r="V254" s="150"/>
      <c r="W254" s="249"/>
      <c r="X254" s="249"/>
      <c r="Y254" s="152"/>
      <c r="Z254" s="153"/>
      <c r="AA254" s="153"/>
      <c r="AB254" s="154"/>
      <c r="AC254" s="155">
        <f t="shared" si="311"/>
        <v>8567.5616399999999</v>
      </c>
      <c r="AD254" s="156">
        <f t="shared" si="312"/>
        <v>1920.3155400000001</v>
      </c>
      <c r="AE254" s="156">
        <f t="shared" si="313"/>
        <v>1296.2129894999998</v>
      </c>
      <c r="AF254" s="156">
        <f t="shared" si="314"/>
        <v>590.86631999999997</v>
      </c>
      <c r="AG254" s="156">
        <f t="shared" si="315"/>
        <v>295.43315999999999</v>
      </c>
      <c r="AH254" s="156">
        <f t="shared" si="316"/>
        <v>295.43315999999999</v>
      </c>
      <c r="AI254" s="156">
        <f t="shared" si="317"/>
        <v>147.71657999999999</v>
      </c>
      <c r="AJ254" s="156">
        <f t="shared" si="318"/>
        <v>295.43315999999999</v>
      </c>
      <c r="AK254" s="156">
        <f t="shared" si="319"/>
        <v>295.43315999999999</v>
      </c>
      <c r="AL254" s="156">
        <f t="shared" si="320"/>
        <v>1034.0160600000002</v>
      </c>
      <c r="AM254" s="157">
        <f t="shared" si="327"/>
        <v>4545.9777494999998</v>
      </c>
      <c r="AN254" s="158">
        <f t="shared" si="321"/>
        <v>2200</v>
      </c>
      <c r="AO254" s="159">
        <v>0.2</v>
      </c>
      <c r="AP254" s="160">
        <f t="shared" si="322"/>
        <v>120788286.77510892</v>
      </c>
      <c r="AQ254" s="161">
        <f t="shared" si="323"/>
        <v>33552.304566158848</v>
      </c>
      <c r="AR254" s="162">
        <f t="shared" si="324"/>
        <v>6710.4609132317701</v>
      </c>
      <c r="AS254" s="163">
        <f t="shared" si="325"/>
        <v>0.95754293853193062</v>
      </c>
      <c r="AT254" s="164">
        <f t="shared" si="326"/>
        <v>0.95754293853193062</v>
      </c>
      <c r="AU254" s="165"/>
      <c r="AV254" s="166"/>
      <c r="AW254" s="167"/>
      <c r="AX254" s="146"/>
      <c r="AY254" s="168"/>
    </row>
    <row r="255" spans="1:51" ht="10.9" customHeight="1" x14ac:dyDescent="0.2">
      <c r="B255" s="140">
        <v>10</v>
      </c>
      <c r="C255" s="302" t="s">
        <v>291</v>
      </c>
      <c r="D255" s="235"/>
      <c r="E255" s="236"/>
      <c r="F255" s="236"/>
      <c r="G255" s="236"/>
      <c r="H255" s="236"/>
      <c r="I255" s="236"/>
      <c r="J255" s="306">
        <v>216008</v>
      </c>
      <c r="K255" s="306">
        <v>221304</v>
      </c>
      <c r="L255" s="306">
        <v>226208</v>
      </c>
      <c r="M255" s="306">
        <v>231135</v>
      </c>
      <c r="N255" s="306">
        <v>267929</v>
      </c>
      <c r="O255" s="306">
        <v>277924</v>
      </c>
      <c r="P255" s="307"/>
      <c r="Q255" s="223">
        <f t="shared" si="309"/>
        <v>277924</v>
      </c>
      <c r="R255" s="147">
        <f t="shared" si="328"/>
        <v>30571.64</v>
      </c>
      <c r="S255" s="147">
        <f t="shared" si="310"/>
        <v>83.757917808219176</v>
      </c>
      <c r="T255" s="148">
        <f t="shared" si="329"/>
        <v>18342.984</v>
      </c>
      <c r="U255" s="199"/>
      <c r="V255" s="150"/>
      <c r="W255" s="249"/>
      <c r="X255" s="249"/>
      <c r="Y255" s="152"/>
      <c r="Z255" s="153"/>
      <c r="AA255" s="153"/>
      <c r="AB255" s="154"/>
      <c r="AC255" s="155">
        <f t="shared" si="311"/>
        <v>10638.93072</v>
      </c>
      <c r="AD255" s="156">
        <f t="shared" si="312"/>
        <v>2384.5879199999999</v>
      </c>
      <c r="AE255" s="156">
        <f t="shared" si="313"/>
        <v>1609.5968459999999</v>
      </c>
      <c r="AF255" s="156">
        <f t="shared" si="314"/>
        <v>733.71936000000005</v>
      </c>
      <c r="AG255" s="156">
        <f t="shared" si="315"/>
        <v>366.85968000000003</v>
      </c>
      <c r="AH255" s="156">
        <f t="shared" si="316"/>
        <v>366.85968000000003</v>
      </c>
      <c r="AI255" s="156">
        <f t="shared" si="317"/>
        <v>183.42984000000001</v>
      </c>
      <c r="AJ255" s="156">
        <f t="shared" si="318"/>
        <v>366.85968000000003</v>
      </c>
      <c r="AK255" s="156">
        <f t="shared" si="319"/>
        <v>366.85968000000003</v>
      </c>
      <c r="AL255" s="156">
        <f t="shared" si="320"/>
        <v>1284.0088800000001</v>
      </c>
      <c r="AM255" s="157">
        <f t="shared" si="327"/>
        <v>5645.0533259999984</v>
      </c>
      <c r="AN255" s="158">
        <f t="shared" si="321"/>
        <v>2200</v>
      </c>
      <c r="AO255" s="159">
        <v>0.2</v>
      </c>
      <c r="AP255" s="160">
        <f t="shared" si="322"/>
        <v>149991125.68834415</v>
      </c>
      <c r="AQ255" s="161">
        <f t="shared" si="323"/>
        <v>41664.204913231726</v>
      </c>
      <c r="AR255" s="162">
        <f t="shared" si="324"/>
        <v>8332.8409826463449</v>
      </c>
      <c r="AS255" s="163">
        <f t="shared" si="325"/>
        <v>1.1890469438707685</v>
      </c>
      <c r="AT255" s="164">
        <f t="shared" si="326"/>
        <v>1.1890469438707685</v>
      </c>
      <c r="AU255" s="165"/>
      <c r="AV255" s="166"/>
      <c r="AW255" s="167"/>
      <c r="AX255" s="146"/>
      <c r="AY255" s="168"/>
    </row>
    <row r="256" spans="1:51" ht="10.9" customHeight="1" x14ac:dyDescent="0.2">
      <c r="B256" s="140">
        <v>11</v>
      </c>
      <c r="C256" s="302" t="s">
        <v>292</v>
      </c>
      <c r="D256" s="235"/>
      <c r="E256" s="236"/>
      <c r="F256" s="236"/>
      <c r="G256" s="236"/>
      <c r="H256" s="236"/>
      <c r="I256" s="236"/>
      <c r="J256" s="306">
        <v>602725</v>
      </c>
      <c r="K256" s="306">
        <v>615570</v>
      </c>
      <c r="L256" s="306">
        <v>627245</v>
      </c>
      <c r="M256" s="306">
        <v>638902</v>
      </c>
      <c r="N256" s="306">
        <v>625481</v>
      </c>
      <c r="O256" s="306">
        <v>634990</v>
      </c>
      <c r="P256" s="307"/>
      <c r="Q256" s="223">
        <f t="shared" si="309"/>
        <v>638902</v>
      </c>
      <c r="R256" s="147">
        <f>Q256*$R$9</f>
        <v>93279.691999999995</v>
      </c>
      <c r="S256" s="147">
        <f t="shared" si="310"/>
        <v>255.5608</v>
      </c>
      <c r="T256" s="148">
        <f>S256*$T$5*$T$9</f>
        <v>65295.78439999999</v>
      </c>
      <c r="U256" s="199"/>
      <c r="V256" s="150"/>
      <c r="W256" s="249"/>
      <c r="X256" s="249"/>
      <c r="Y256" s="152"/>
      <c r="Z256" s="153"/>
      <c r="AA256" s="153"/>
      <c r="AB256" s="154"/>
      <c r="AC256" s="155">
        <f t="shared" si="311"/>
        <v>37871.554951999991</v>
      </c>
      <c r="AD256" s="156">
        <f t="shared" si="312"/>
        <v>8488.4519719999989</v>
      </c>
      <c r="AE256" s="156">
        <f t="shared" si="313"/>
        <v>5729.705081099999</v>
      </c>
      <c r="AF256" s="156">
        <f t="shared" si="314"/>
        <v>2611.8313759999996</v>
      </c>
      <c r="AG256" s="156">
        <f t="shared" si="315"/>
        <v>1305.9156879999998</v>
      </c>
      <c r="AH256" s="156">
        <f t="shared" si="316"/>
        <v>1305.9156879999998</v>
      </c>
      <c r="AI256" s="156">
        <f t="shared" si="317"/>
        <v>652.95784399999991</v>
      </c>
      <c r="AJ256" s="156">
        <f t="shared" si="318"/>
        <v>1305.9156879999998</v>
      </c>
      <c r="AK256" s="156">
        <f t="shared" si="319"/>
        <v>1305.9156879999998</v>
      </c>
      <c r="AL256" s="156">
        <f t="shared" si="320"/>
        <v>4570.7049079999997</v>
      </c>
      <c r="AM256" s="157">
        <f t="shared" si="327"/>
        <v>20094.7776491</v>
      </c>
      <c r="AN256" s="158">
        <f t="shared" si="321"/>
        <v>2200</v>
      </c>
      <c r="AO256" s="159">
        <v>0.2</v>
      </c>
      <c r="AP256" s="160">
        <f t="shared" si="322"/>
        <v>533925570.93542796</v>
      </c>
      <c r="AQ256" s="161">
        <f t="shared" si="323"/>
        <v>148312.67045818712</v>
      </c>
      <c r="AR256" s="162">
        <f t="shared" si="324"/>
        <v>29662.534091637426</v>
      </c>
      <c r="AS256" s="163">
        <f t="shared" si="325"/>
        <v>4.2326675359071668</v>
      </c>
      <c r="AT256" s="164">
        <f t="shared" si="326"/>
        <v>4.2326675359071668</v>
      </c>
      <c r="AU256" s="165"/>
      <c r="AV256" s="166"/>
      <c r="AW256" s="167"/>
      <c r="AX256" s="146"/>
      <c r="AY256" s="168"/>
    </row>
    <row r="257" spans="1:51" ht="10.9" customHeight="1" x14ac:dyDescent="0.2">
      <c r="B257" s="140">
        <v>12</v>
      </c>
      <c r="C257" s="302" t="s">
        <v>293</v>
      </c>
      <c r="D257" s="235"/>
      <c r="E257" s="236"/>
      <c r="F257" s="236"/>
      <c r="G257" s="236"/>
      <c r="H257" s="236"/>
      <c r="I257" s="236"/>
      <c r="J257" s="306">
        <v>163175</v>
      </c>
      <c r="K257" s="306">
        <v>164000</v>
      </c>
      <c r="L257" s="306">
        <v>167737</v>
      </c>
      <c r="M257" s="306">
        <v>171496</v>
      </c>
      <c r="N257" s="306">
        <v>199627</v>
      </c>
      <c r="O257" s="306">
        <v>209547</v>
      </c>
      <c r="P257" s="307"/>
      <c r="Q257" s="223">
        <f t="shared" si="309"/>
        <v>209547</v>
      </c>
      <c r="R257" s="147">
        <f>Q257*$R$10</f>
        <v>23050.170000000002</v>
      </c>
      <c r="S257" s="147">
        <f t="shared" si="310"/>
        <v>63.151150684931515</v>
      </c>
      <c r="T257" s="148">
        <f>S257*$T$5*$T$10</f>
        <v>13830.102000000001</v>
      </c>
      <c r="U257" s="199"/>
      <c r="V257" s="150"/>
      <c r="W257" s="249"/>
      <c r="X257" s="249"/>
      <c r="Y257" s="152"/>
      <c r="Z257" s="153"/>
      <c r="AA257" s="153"/>
      <c r="AB257" s="154"/>
      <c r="AC257" s="155">
        <f t="shared" si="311"/>
        <v>8021.4591600000003</v>
      </c>
      <c r="AD257" s="156">
        <f t="shared" si="312"/>
        <v>1797.9132600000003</v>
      </c>
      <c r="AE257" s="156">
        <f t="shared" si="313"/>
        <v>1213.5914505000001</v>
      </c>
      <c r="AF257" s="156">
        <f t="shared" si="314"/>
        <v>553.20408000000009</v>
      </c>
      <c r="AG257" s="156">
        <f t="shared" si="315"/>
        <v>276.60204000000004</v>
      </c>
      <c r="AH257" s="156">
        <f t="shared" si="316"/>
        <v>276.60204000000004</v>
      </c>
      <c r="AI257" s="156">
        <f t="shared" si="317"/>
        <v>138.30102000000002</v>
      </c>
      <c r="AJ257" s="156">
        <f t="shared" si="318"/>
        <v>276.60204000000004</v>
      </c>
      <c r="AK257" s="156">
        <f t="shared" si="319"/>
        <v>276.60204000000004</v>
      </c>
      <c r="AL257" s="156">
        <f t="shared" si="320"/>
        <v>968.10714000000019</v>
      </c>
      <c r="AM257" s="157">
        <f t="shared" si="327"/>
        <v>4256.2138905000002</v>
      </c>
      <c r="AN257" s="158">
        <f t="shared" si="321"/>
        <v>2200</v>
      </c>
      <c r="AO257" s="159">
        <v>0.2</v>
      </c>
      <c r="AP257" s="160">
        <f t="shared" si="322"/>
        <v>113089155.3612335</v>
      </c>
      <c r="AQ257" s="161">
        <f t="shared" si="323"/>
        <v>31413.656780101646</v>
      </c>
      <c r="AR257" s="162">
        <f t="shared" si="324"/>
        <v>6282.7313560203293</v>
      </c>
      <c r="AS257" s="163">
        <f t="shared" si="325"/>
        <v>0.89650846975175935</v>
      </c>
      <c r="AT257" s="164">
        <f t="shared" si="326"/>
        <v>0.89650846975175935</v>
      </c>
      <c r="AU257" s="165"/>
      <c r="AV257" s="166"/>
      <c r="AW257" s="167"/>
      <c r="AX257" s="146"/>
      <c r="AY257" s="168"/>
    </row>
    <row r="258" spans="1:51" ht="10.9" customHeight="1" x14ac:dyDescent="0.2">
      <c r="B258" s="140">
        <v>13</v>
      </c>
      <c r="C258" s="305" t="s">
        <v>294</v>
      </c>
      <c r="D258" s="235"/>
      <c r="E258" s="236"/>
      <c r="F258" s="236"/>
      <c r="G258" s="236"/>
      <c r="H258" s="236"/>
      <c r="I258" s="236"/>
      <c r="J258" s="306">
        <v>101022</v>
      </c>
      <c r="K258" s="306">
        <v>101860</v>
      </c>
      <c r="L258" s="306">
        <v>102296</v>
      </c>
      <c r="M258" s="306">
        <v>102696</v>
      </c>
      <c r="N258" s="306">
        <v>112430</v>
      </c>
      <c r="O258" s="306">
        <v>114009</v>
      </c>
      <c r="P258" s="307"/>
      <c r="Q258" s="223">
        <f t="shared" si="309"/>
        <v>114009</v>
      </c>
      <c r="R258" s="147">
        <f>Q258*$R$10</f>
        <v>12540.99</v>
      </c>
      <c r="S258" s="147">
        <f t="shared" si="310"/>
        <v>34.358876712328765</v>
      </c>
      <c r="T258" s="148">
        <f>S258*$T$5*$T$10</f>
        <v>7524.5939999999991</v>
      </c>
      <c r="U258" s="199"/>
      <c r="V258" s="150"/>
      <c r="W258" s="249"/>
      <c r="X258" s="249"/>
      <c r="Y258" s="152"/>
      <c r="Z258" s="153"/>
      <c r="AA258" s="153"/>
      <c r="AB258" s="154"/>
      <c r="AC258" s="155">
        <f t="shared" si="311"/>
        <v>4364.2645199999988</v>
      </c>
      <c r="AD258" s="156">
        <f t="shared" si="312"/>
        <v>978.1972199999999</v>
      </c>
      <c r="AE258" s="156">
        <f t="shared" si="313"/>
        <v>660.28312349999987</v>
      </c>
      <c r="AF258" s="156">
        <f t="shared" si="314"/>
        <v>300.98375999999996</v>
      </c>
      <c r="AG258" s="156">
        <f t="shared" si="315"/>
        <v>150.49187999999998</v>
      </c>
      <c r="AH258" s="156">
        <f t="shared" si="316"/>
        <v>150.49187999999998</v>
      </c>
      <c r="AI258" s="156">
        <f t="shared" si="317"/>
        <v>75.24593999999999</v>
      </c>
      <c r="AJ258" s="156">
        <f t="shared" si="318"/>
        <v>150.49187999999998</v>
      </c>
      <c r="AK258" s="156">
        <f t="shared" si="319"/>
        <v>150.49187999999998</v>
      </c>
      <c r="AL258" s="156">
        <f t="shared" si="320"/>
        <v>526.72158000000002</v>
      </c>
      <c r="AM258" s="157">
        <f t="shared" si="327"/>
        <v>2315.6938034999998</v>
      </c>
      <c r="AN258" s="158">
        <f t="shared" si="321"/>
        <v>2200</v>
      </c>
      <c r="AO258" s="159">
        <v>0.2</v>
      </c>
      <c r="AP258" s="160">
        <f t="shared" si="322"/>
        <v>61528828.919425547</v>
      </c>
      <c r="AQ258" s="161">
        <f t="shared" si="323"/>
        <v>17091.342733814407</v>
      </c>
      <c r="AR258" s="162">
        <f t="shared" si="324"/>
        <v>3418.2685467628817</v>
      </c>
      <c r="AS258" s="163">
        <f t="shared" si="325"/>
        <v>0.48776663053123309</v>
      </c>
      <c r="AT258" s="164">
        <f t="shared" si="326"/>
        <v>0.48776663053123309</v>
      </c>
      <c r="AU258" s="165"/>
      <c r="AV258" s="166"/>
      <c r="AW258" s="167"/>
      <c r="AX258" s="167"/>
      <c r="AY258" s="168"/>
    </row>
    <row r="259" spans="1:51" s="263" customFormat="1" ht="18.399999999999999" customHeight="1" x14ac:dyDescent="0.25">
      <c r="A259" s="173"/>
      <c r="B259" s="308"/>
      <c r="C259" s="258" t="s">
        <v>295</v>
      </c>
      <c r="D259" s="240">
        <f>SUM(D246:D258)</f>
        <v>0</v>
      </c>
      <c r="E259" s="240">
        <f t="shared" ref="E259:AL259" si="330">SUM(E246:E258)</f>
        <v>0</v>
      </c>
      <c r="F259" s="240">
        <f t="shared" si="330"/>
        <v>0</v>
      </c>
      <c r="G259" s="240">
        <f t="shared" si="330"/>
        <v>0</v>
      </c>
      <c r="H259" s="240">
        <f t="shared" si="330"/>
        <v>0</v>
      </c>
      <c r="I259" s="240">
        <f t="shared" si="330"/>
        <v>0</v>
      </c>
      <c r="J259" s="240">
        <f t="shared" si="330"/>
        <v>3345784</v>
      </c>
      <c r="K259" s="240">
        <f t="shared" si="330"/>
        <v>3396680</v>
      </c>
      <c r="L259" s="240">
        <f t="shared" si="330"/>
        <v>3446631</v>
      </c>
      <c r="M259" s="240">
        <f t="shared" si="330"/>
        <v>3496125</v>
      </c>
      <c r="N259" s="240">
        <f t="shared" si="330"/>
        <v>3626616</v>
      </c>
      <c r="O259" s="240">
        <f t="shared" si="330"/>
        <v>3695124</v>
      </c>
      <c r="P259" s="240">
        <f>SUM(P246:P258)</f>
        <v>0</v>
      </c>
      <c r="Q259" s="240">
        <f t="shared" si="330"/>
        <v>3708397</v>
      </c>
      <c r="R259" s="240">
        <f t="shared" si="330"/>
        <v>449524.01</v>
      </c>
      <c r="S259" s="240">
        <f t="shared" si="330"/>
        <v>1231.5726301369864</v>
      </c>
      <c r="T259" s="240">
        <f t="shared" si="330"/>
        <v>286585.65499999997</v>
      </c>
      <c r="U259" s="199">
        <f t="shared" si="330"/>
        <v>0</v>
      </c>
      <c r="V259" s="241"/>
      <c r="W259" s="242">
        <f t="shared" si="330"/>
        <v>0</v>
      </c>
      <c r="X259" s="242">
        <f>SUM(X246:X258)</f>
        <v>0</v>
      </c>
      <c r="Y259" s="242">
        <f>SUM(Y246:Y258)</f>
        <v>0</v>
      </c>
      <c r="Z259" s="199"/>
      <c r="AA259" s="199"/>
      <c r="AB259" s="243"/>
      <c r="AC259" s="240">
        <f>SUM(AC246:AC258)</f>
        <v>166219.67989999999</v>
      </c>
      <c r="AD259" s="244">
        <f>SUM(AD246:AD258)</f>
        <v>37256.135150000002</v>
      </c>
      <c r="AE259" s="244">
        <f>SUM(AE246:AE258)</f>
        <v>25147.891226249994</v>
      </c>
      <c r="AF259" s="244">
        <f>SUM(AF246:AF258)</f>
        <v>11463.426199999998</v>
      </c>
      <c r="AG259" s="244">
        <f>SUM(AG246:AG258)</f>
        <v>5731.713099999999</v>
      </c>
      <c r="AH259" s="244">
        <f t="shared" si="330"/>
        <v>5731.713099999999</v>
      </c>
      <c r="AI259" s="244">
        <f>SUM(AI246:AI258)</f>
        <v>2865.8565499999995</v>
      </c>
      <c r="AJ259" s="244">
        <f t="shared" si="330"/>
        <v>5731.713099999999</v>
      </c>
      <c r="AK259" s="244">
        <f t="shared" si="330"/>
        <v>5731.713099999999</v>
      </c>
      <c r="AL259" s="244">
        <f t="shared" si="330"/>
        <v>20060.995850000003</v>
      </c>
      <c r="AM259" s="245">
        <f>SUM(AM246:AM258)</f>
        <v>88196.735326250011</v>
      </c>
      <c r="AN259" s="158"/>
      <c r="AO259" s="183"/>
      <c r="AP259" s="160">
        <f>SUM(AP246:AP258)</f>
        <v>2343419423.9923797</v>
      </c>
      <c r="AQ259" s="160">
        <f t="shared" ref="AQ259:AX259" si="331">SUM(AQ246:AQ258)</f>
        <v>650949.89207387029</v>
      </c>
      <c r="AR259" s="160">
        <f t="shared" si="331"/>
        <v>130189.97841477407</v>
      </c>
      <c r="AS259" s="185">
        <f t="shared" si="331"/>
        <v>18.577337102564798</v>
      </c>
      <c r="AT259" s="186">
        <f t="shared" si="331"/>
        <v>18.577337102564798</v>
      </c>
      <c r="AU259" s="187"/>
      <c r="AV259" s="246">
        <f t="shared" si="331"/>
        <v>0</v>
      </c>
      <c r="AW259" s="246"/>
      <c r="AX259" s="185">
        <f t="shared" si="331"/>
        <v>0</v>
      </c>
      <c r="AY259" s="189"/>
    </row>
    <row r="260" spans="1:51" s="139" customFormat="1" ht="10.9" customHeight="1" x14ac:dyDescent="0.25">
      <c r="B260" s="247"/>
      <c r="C260" s="152"/>
      <c r="D260" s="247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248"/>
      <c r="Q260" s="249"/>
      <c r="R260" s="250"/>
      <c r="S260" s="250"/>
      <c r="T260" s="251"/>
      <c r="U260" s="199"/>
      <c r="V260" s="179"/>
      <c r="W260" s="249"/>
      <c r="X260" s="249"/>
      <c r="Y260" s="152"/>
      <c r="Z260" s="153"/>
      <c r="AA260" s="153"/>
      <c r="AB260" s="154"/>
      <c r="AC260" s="247"/>
      <c r="AD260" s="252"/>
      <c r="AE260" s="252"/>
      <c r="AF260" s="252"/>
      <c r="AG260" s="252"/>
      <c r="AH260" s="252"/>
      <c r="AI260" s="252"/>
      <c r="AJ260" s="252"/>
      <c r="AK260" s="252"/>
      <c r="AL260" s="252"/>
      <c r="AM260" s="214"/>
      <c r="AN260" s="203"/>
      <c r="AO260" s="204"/>
      <c r="AP260" s="203"/>
      <c r="AQ260" s="205"/>
      <c r="AR260" s="206"/>
      <c r="AS260" s="253"/>
      <c r="AT260" s="254"/>
      <c r="AU260" s="255"/>
      <c r="AV260" s="256"/>
      <c r="AW260" s="257"/>
      <c r="AX260" s="214"/>
      <c r="AY260" s="212"/>
    </row>
    <row r="261" spans="1:51" s="289" customFormat="1" ht="20.85" customHeight="1" x14ac:dyDescent="0.25">
      <c r="A261" s="269"/>
      <c r="B261" s="309"/>
      <c r="C261" s="271" t="s">
        <v>296</v>
      </c>
      <c r="D261" s="272"/>
      <c r="E261" s="273"/>
      <c r="F261" s="273"/>
      <c r="G261" s="273"/>
      <c r="H261" s="273"/>
      <c r="I261" s="273"/>
      <c r="J261" s="273"/>
      <c r="K261" s="273"/>
      <c r="L261" s="273"/>
      <c r="M261" s="273"/>
      <c r="N261" s="273"/>
      <c r="O261" s="273"/>
      <c r="P261" s="274"/>
      <c r="Q261" s="275">
        <f>Q211+Q228+Q243+Q259</f>
        <v>13163336</v>
      </c>
      <c r="R261" s="275">
        <f>R211+R228+R243+R259</f>
        <v>3590218.9720000001</v>
      </c>
      <c r="S261" s="275">
        <f>S211+S228+S243+S259</f>
        <v>2248184.9067726028</v>
      </c>
      <c r="T261" s="275">
        <f>T211+T228+T243+T259</f>
        <v>3110593.7043999997</v>
      </c>
      <c r="U261" s="276"/>
      <c r="V261" s="277"/>
      <c r="W261" s="278"/>
      <c r="X261" s="278"/>
      <c r="Y261" s="279"/>
      <c r="Z261" s="280"/>
      <c r="AA261" s="280"/>
      <c r="AB261" s="281"/>
      <c r="AC261" s="282">
        <f t="shared" ref="AC261:AK261" si="332">AC211+AC228+AC243+AC259</f>
        <v>593818.22918035672</v>
      </c>
      <c r="AD261" s="283">
        <f t="shared" si="332"/>
        <v>133097.18929904548</v>
      </c>
      <c r="AE261" s="283">
        <f t="shared" si="332"/>
        <v>89840.602776855696</v>
      </c>
      <c r="AF261" s="283">
        <f t="shared" si="332"/>
        <v>40952.98132278322</v>
      </c>
      <c r="AG261" s="283">
        <f t="shared" si="332"/>
        <v>20476.49066139161</v>
      </c>
      <c r="AH261" s="283">
        <f t="shared" si="332"/>
        <v>20476.49066139161</v>
      </c>
      <c r="AI261" s="283">
        <f t="shared" si="332"/>
        <v>10238.245330695805</v>
      </c>
      <c r="AJ261" s="283">
        <f t="shared" si="332"/>
        <v>20476.49066139161</v>
      </c>
      <c r="AK261" s="283">
        <f t="shared" si="332"/>
        <v>20476.49066139161</v>
      </c>
      <c r="AL261" s="283">
        <f>AL211+AL228+AL243+AL259</f>
        <v>71667.71731487065</v>
      </c>
      <c r="AM261" s="275">
        <f>AM211+AM228+AM243+AM259</f>
        <v>315082.00005216349</v>
      </c>
      <c r="AN261" s="284"/>
      <c r="AO261" s="285"/>
      <c r="AP261" s="283">
        <f t="shared" ref="AP261:AX261" si="333">AP211+AP228+AP243+AP259</f>
        <v>8371843655.4515743</v>
      </c>
      <c r="AQ261" s="283">
        <f t="shared" si="333"/>
        <v>2325512.3125552959</v>
      </c>
      <c r="AR261" s="283">
        <f t="shared" si="333"/>
        <v>465102.46251105925</v>
      </c>
      <c r="AS261" s="286">
        <f t="shared" si="333"/>
        <v>66.36736051813061</v>
      </c>
      <c r="AT261" s="286">
        <f t="shared" si="333"/>
        <v>66.36736051813061</v>
      </c>
      <c r="AU261" s="287"/>
      <c r="AV261" s="286">
        <f t="shared" si="333"/>
        <v>0</v>
      </c>
      <c r="AW261" s="286"/>
      <c r="AX261" s="286">
        <f t="shared" si="333"/>
        <v>0</v>
      </c>
      <c r="AY261" s="288"/>
    </row>
    <row r="262" spans="1:51" s="139" customFormat="1" ht="10.9" customHeight="1" x14ac:dyDescent="0.25">
      <c r="B262" s="247"/>
      <c r="C262" s="152"/>
      <c r="D262" s="247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248"/>
      <c r="Q262" s="249"/>
      <c r="R262" s="250"/>
      <c r="S262" s="250"/>
      <c r="T262" s="251"/>
      <c r="U262" s="199"/>
      <c r="V262" s="150"/>
      <c r="W262" s="249"/>
      <c r="X262" s="249"/>
      <c r="Y262" s="152"/>
      <c r="Z262" s="153"/>
      <c r="AA262" s="153"/>
      <c r="AB262" s="154"/>
      <c r="AC262" s="247"/>
      <c r="AD262" s="252"/>
      <c r="AE262" s="252"/>
      <c r="AF262" s="252"/>
      <c r="AG262" s="252"/>
      <c r="AH262" s="252"/>
      <c r="AI262" s="252"/>
      <c r="AJ262" s="252"/>
      <c r="AK262" s="252"/>
      <c r="AL262" s="252"/>
      <c r="AM262" s="214"/>
      <c r="AN262" s="203"/>
      <c r="AO262" s="204"/>
      <c r="AP262" s="203"/>
      <c r="AQ262" s="205"/>
      <c r="AR262" s="206"/>
      <c r="AS262" s="253"/>
      <c r="AT262" s="254"/>
      <c r="AU262" s="255"/>
      <c r="AV262" s="203"/>
      <c r="AW262" s="267"/>
      <c r="AX262" s="251"/>
      <c r="AY262" s="268"/>
    </row>
    <row r="263" spans="1:51" s="139" customFormat="1" ht="10.9" customHeight="1" x14ac:dyDescent="0.25">
      <c r="Q263" s="310"/>
      <c r="R263" s="310"/>
      <c r="S263" s="310"/>
      <c r="T263" s="310"/>
      <c r="U263" s="311"/>
      <c r="V263" s="312"/>
      <c r="W263" s="310"/>
      <c r="X263" s="310"/>
      <c r="Z263" s="86"/>
      <c r="AA263" s="86"/>
      <c r="AB263" s="313"/>
      <c r="AD263" s="314"/>
      <c r="AE263" s="314"/>
      <c r="AF263" s="314"/>
      <c r="AG263" s="314"/>
      <c r="AH263" s="314"/>
      <c r="AI263" s="314"/>
      <c r="AJ263" s="314"/>
      <c r="AK263" s="314"/>
      <c r="AL263" s="314"/>
      <c r="AM263" s="315"/>
      <c r="AN263" s="310"/>
      <c r="AO263" s="316"/>
      <c r="AP263" s="310"/>
      <c r="AQ263" s="317"/>
      <c r="AR263" s="317"/>
      <c r="AS263" s="318"/>
      <c r="AT263" s="318"/>
      <c r="AU263" s="319"/>
      <c r="AV263" s="310"/>
      <c r="AW263" s="310"/>
      <c r="AX263" s="310"/>
      <c r="AY263" s="310"/>
    </row>
    <row r="264" spans="1:51" s="326" customFormat="1" ht="24.75" customHeight="1" x14ac:dyDescent="0.25">
      <c r="A264" s="290"/>
      <c r="B264" s="291" t="s">
        <v>297</v>
      </c>
      <c r="C264" s="320"/>
      <c r="D264" s="321"/>
      <c r="E264" s="321"/>
      <c r="F264" s="321"/>
      <c r="G264" s="321"/>
      <c r="H264" s="321"/>
      <c r="I264" s="321"/>
      <c r="J264" s="321"/>
      <c r="K264" s="321"/>
      <c r="L264" s="321"/>
      <c r="M264" s="321"/>
      <c r="N264" s="321"/>
      <c r="O264" s="321"/>
      <c r="P264" s="321"/>
      <c r="Q264" s="321"/>
      <c r="R264" s="321"/>
      <c r="S264" s="322"/>
      <c r="T264" s="321"/>
      <c r="U264" s="321"/>
      <c r="V264" s="321"/>
      <c r="W264" s="321"/>
      <c r="X264" s="321"/>
      <c r="Y264" s="321"/>
      <c r="Z264" s="321"/>
      <c r="AA264" s="321"/>
      <c r="AB264" s="323"/>
      <c r="AC264" s="323"/>
      <c r="AD264" s="323"/>
      <c r="AE264" s="323"/>
      <c r="AF264" s="323"/>
      <c r="AG264" s="323"/>
      <c r="AH264" s="323"/>
      <c r="AI264" s="323"/>
      <c r="AJ264" s="323"/>
      <c r="AK264" s="323"/>
      <c r="AL264" s="323"/>
      <c r="AM264" s="323"/>
      <c r="AN264" s="324"/>
      <c r="AO264" s="321"/>
      <c r="AP264" s="325"/>
      <c r="AQ264" s="325"/>
      <c r="AR264" s="325"/>
      <c r="AS264" s="325"/>
      <c r="AT264" s="325"/>
      <c r="AU264" s="325"/>
      <c r="AV264" s="325"/>
      <c r="AW264" s="325"/>
      <c r="AX264" s="325"/>
      <c r="AY264" s="325"/>
    </row>
    <row r="265" spans="1:51" s="139" customFormat="1" ht="15" customHeight="1" x14ac:dyDescent="0.25">
      <c r="A265" s="1"/>
      <c r="B265" s="120"/>
      <c r="C265" s="121" t="s">
        <v>298</v>
      </c>
      <c r="D265" s="122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213"/>
      <c r="Q265" s="76"/>
      <c r="R265" s="108"/>
      <c r="S265" s="108"/>
      <c r="T265" s="94"/>
      <c r="U265" s="199"/>
      <c r="V265" s="179"/>
      <c r="W265" s="180"/>
      <c r="X265" s="180"/>
      <c r="Y265" s="214"/>
      <c r="Z265" s="181"/>
      <c r="AA265" s="181"/>
      <c r="AB265" s="182"/>
      <c r="AC265" s="62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125"/>
      <c r="AN265" s="75"/>
      <c r="AO265" s="216"/>
      <c r="AP265" s="75"/>
      <c r="AQ265" s="51"/>
      <c r="AR265" s="217"/>
      <c r="AS265" s="218"/>
      <c r="AT265" s="219"/>
      <c r="AU265" s="220"/>
      <c r="AV265" s="135"/>
      <c r="AW265" s="136"/>
      <c r="AX265" s="137"/>
      <c r="AY265" s="138"/>
    </row>
    <row r="266" spans="1:51" s="139" customFormat="1" ht="11.25" x14ac:dyDescent="0.2">
      <c r="A266" s="1"/>
      <c r="B266" s="140">
        <v>1</v>
      </c>
      <c r="C266" s="327" t="s">
        <v>299</v>
      </c>
      <c r="D266" s="142"/>
      <c r="E266" s="143"/>
      <c r="F266" s="143"/>
      <c r="G266" s="143"/>
      <c r="H266" s="143"/>
      <c r="I266" s="143"/>
      <c r="J266" s="143"/>
      <c r="K266" s="143"/>
      <c r="L266" s="143"/>
      <c r="M266" s="143"/>
      <c r="N266" s="328">
        <v>2062232</v>
      </c>
      <c r="O266" s="143"/>
      <c r="P266" s="145"/>
      <c r="Q266" s="223">
        <f t="shared" ref="Q266:Q271" si="334">MAX(D266:P266)</f>
        <v>2062232</v>
      </c>
      <c r="R266" s="147">
        <f>Q266*$R$7</f>
        <v>488748.984</v>
      </c>
      <c r="S266" s="147">
        <f t="shared" ref="S266:S271" si="335">R266/$S$5</f>
        <v>1339.038312328767</v>
      </c>
      <c r="T266" s="148">
        <f>S266*$T$5*$T$7</f>
        <v>439874.08559999993</v>
      </c>
      <c r="U266" s="199"/>
      <c r="V266" s="150"/>
      <c r="W266" s="151"/>
      <c r="X266" s="151"/>
      <c r="Y266" s="152"/>
      <c r="Z266" s="153"/>
      <c r="AA266" s="153"/>
      <c r="AB266" s="154"/>
      <c r="AC266" s="155">
        <f t="shared" ref="AC266:AC271" si="336">T266*$AC$5</f>
        <v>255126.96964799994</v>
      </c>
      <c r="AD266" s="156">
        <f t="shared" ref="AD266:AD271" si="337">T266*$AD$5</f>
        <v>57183.631127999994</v>
      </c>
      <c r="AE266" s="156">
        <f t="shared" ref="AE266:AE271" si="338">T266*$AE$5</f>
        <v>38598.951011399993</v>
      </c>
      <c r="AF266" s="156">
        <f t="shared" ref="AF266:AF271" si="339">T266*$AF$5</f>
        <v>17594.963423999998</v>
      </c>
      <c r="AG266" s="156">
        <f t="shared" ref="AG266:AG271" si="340">T266*$AG$5</f>
        <v>8797.4817119999989</v>
      </c>
      <c r="AH266" s="156">
        <f t="shared" ref="AH266:AH271" si="341">T266*$AH$5</f>
        <v>8797.4817119999989</v>
      </c>
      <c r="AI266" s="156">
        <f t="shared" ref="AI266:AI271" si="342">T266*$AI$5</f>
        <v>4398.7408559999994</v>
      </c>
      <c r="AJ266" s="156">
        <f t="shared" ref="AJ266:AJ271" si="343">T266*$AJ$5</f>
        <v>8797.4817119999989</v>
      </c>
      <c r="AK266" s="156">
        <f t="shared" ref="AK266:AK271" si="344">T266*$AK$5</f>
        <v>8797.4817119999989</v>
      </c>
      <c r="AL266" s="156">
        <f t="shared" ref="AL266:AL271" si="345">T266*$AL$5</f>
        <v>30791.185991999999</v>
      </c>
      <c r="AM266" s="157">
        <f t="shared" ref="AM266:AM271" si="346">SUM(AD266:AI266)</f>
        <v>135371.24984339997</v>
      </c>
      <c r="AN266" s="158">
        <f t="shared" ref="AN266:AN271" si="347">$AN$5</f>
        <v>2200</v>
      </c>
      <c r="AO266" s="159">
        <v>0.2</v>
      </c>
      <c r="AP266" s="160">
        <f t="shared" ref="AP266:AP271" si="348">(AC266+AM266)*AN266*$AP$5</f>
        <v>3596863479.8065052</v>
      </c>
      <c r="AQ266" s="161">
        <f t="shared" ref="AQ266:AQ271" si="349">AP266*$AQ$5</f>
        <v>999128.82432099548</v>
      </c>
      <c r="AR266" s="162">
        <f t="shared" ref="AR266:AR271" si="350">AQ266*$AR$5</f>
        <v>199825.7648641991</v>
      </c>
      <c r="AS266" s="163">
        <f t="shared" ref="AS266:AS271" si="351">AR266/$AS$5</f>
        <v>28.513950465781836</v>
      </c>
      <c r="AT266" s="164">
        <f t="shared" ref="AT266:AT271" si="352">AS266</f>
        <v>28.513950465781836</v>
      </c>
      <c r="AU266" s="165"/>
      <c r="AV266" s="166"/>
      <c r="AW266" s="167"/>
      <c r="AX266" s="146"/>
      <c r="AY266" s="168"/>
    </row>
    <row r="267" spans="1:51" s="139" customFormat="1" ht="11.25" x14ac:dyDescent="0.2">
      <c r="A267" s="1"/>
      <c r="B267" s="140">
        <v>2</v>
      </c>
      <c r="C267" s="329" t="s">
        <v>300</v>
      </c>
      <c r="D267" s="142"/>
      <c r="E267" s="143"/>
      <c r="F267" s="143"/>
      <c r="G267" s="143"/>
      <c r="H267" s="143"/>
      <c r="I267" s="143"/>
      <c r="J267" s="143"/>
      <c r="K267" s="143"/>
      <c r="L267" s="143"/>
      <c r="M267" s="143"/>
      <c r="N267" s="328">
        <v>2693896</v>
      </c>
      <c r="O267" s="143"/>
      <c r="P267" s="145"/>
      <c r="Q267" s="223">
        <f t="shared" si="334"/>
        <v>2693896</v>
      </c>
      <c r="R267" s="147">
        <f>Q267*$R$7</f>
        <v>638453.35199999996</v>
      </c>
      <c r="S267" s="147">
        <f t="shared" si="335"/>
        <v>1749.1872657534245</v>
      </c>
      <c r="T267" s="148">
        <f>S267*$T$5*$T$7</f>
        <v>574608.01679999998</v>
      </c>
      <c r="U267" s="199"/>
      <c r="V267" s="150"/>
      <c r="W267" s="151"/>
      <c r="X267" s="151"/>
      <c r="Y267" s="152"/>
      <c r="Z267" s="153"/>
      <c r="AA267" s="153"/>
      <c r="AB267" s="154"/>
      <c r="AC267" s="155">
        <f t="shared" si="336"/>
        <v>333272.64974399999</v>
      </c>
      <c r="AD267" s="156">
        <f t="shared" si="337"/>
        <v>74699.042184000005</v>
      </c>
      <c r="AE267" s="156">
        <f t="shared" si="338"/>
        <v>50421.853474199997</v>
      </c>
      <c r="AF267" s="156">
        <f t="shared" si="339"/>
        <v>22984.320671999998</v>
      </c>
      <c r="AG267" s="156">
        <f t="shared" si="340"/>
        <v>11492.160335999999</v>
      </c>
      <c r="AH267" s="156">
        <f t="shared" si="341"/>
        <v>11492.160335999999</v>
      </c>
      <c r="AI267" s="156">
        <f t="shared" si="342"/>
        <v>5746.0801679999995</v>
      </c>
      <c r="AJ267" s="156">
        <f t="shared" si="343"/>
        <v>11492.160335999999</v>
      </c>
      <c r="AK267" s="156">
        <f t="shared" si="344"/>
        <v>11492.160335999999</v>
      </c>
      <c r="AL267" s="156">
        <f t="shared" si="345"/>
        <v>40222.561176000003</v>
      </c>
      <c r="AM267" s="157">
        <f t="shared" si="346"/>
        <v>176835.61717019998</v>
      </c>
      <c r="AN267" s="158">
        <f t="shared" si="347"/>
        <v>2200</v>
      </c>
      <c r="AO267" s="159">
        <v>0.2</v>
      </c>
      <c r="AP267" s="160">
        <f t="shared" si="348"/>
        <v>4698586842.2160196</v>
      </c>
      <c r="AQ267" s="161">
        <f t="shared" si="349"/>
        <v>1305163.116139713</v>
      </c>
      <c r="AR267" s="162">
        <f t="shared" si="350"/>
        <v>261032.62322794262</v>
      </c>
      <c r="AS267" s="163">
        <f t="shared" si="351"/>
        <v>37.247805825905054</v>
      </c>
      <c r="AT267" s="164">
        <f t="shared" si="352"/>
        <v>37.247805825905054</v>
      </c>
      <c r="AU267" s="165"/>
      <c r="AV267" s="166"/>
      <c r="AW267" s="167"/>
      <c r="AX267" s="146"/>
      <c r="AY267" s="168"/>
    </row>
    <row r="268" spans="1:51" s="139" customFormat="1" ht="11.25" x14ac:dyDescent="0.2">
      <c r="A268" s="1"/>
      <c r="B268" s="140">
        <v>3</v>
      </c>
      <c r="C268" s="330" t="s">
        <v>301</v>
      </c>
      <c r="D268" s="142"/>
      <c r="E268" s="143"/>
      <c r="F268" s="143"/>
      <c r="G268" s="143"/>
      <c r="H268" s="143"/>
      <c r="I268" s="143"/>
      <c r="J268" s="143"/>
      <c r="K268" s="143"/>
      <c r="L268" s="143"/>
      <c r="M268" s="143"/>
      <c r="N268" s="328">
        <v>899515</v>
      </c>
      <c r="O268" s="143"/>
      <c r="P268" s="145"/>
      <c r="Q268" s="223">
        <f t="shared" si="334"/>
        <v>899515</v>
      </c>
      <c r="R268" s="147">
        <f>Q268*$R$9</f>
        <v>131329.19</v>
      </c>
      <c r="S268" s="147">
        <f t="shared" si="335"/>
        <v>359.80599999999998</v>
      </c>
      <c r="T268" s="148">
        <f>S268*$T$5*$T$9</f>
        <v>91930.43299999999</v>
      </c>
      <c r="U268" s="199"/>
      <c r="V268" s="150"/>
      <c r="W268" s="151"/>
      <c r="X268" s="151"/>
      <c r="Y268" s="152"/>
      <c r="Z268" s="153"/>
      <c r="AA268" s="153"/>
      <c r="AB268" s="154"/>
      <c r="AC268" s="155">
        <f t="shared" si="336"/>
        <v>53319.651139999987</v>
      </c>
      <c r="AD268" s="156">
        <f t="shared" si="337"/>
        <v>11950.956289999998</v>
      </c>
      <c r="AE268" s="156">
        <f t="shared" si="338"/>
        <v>8066.8954957499982</v>
      </c>
      <c r="AF268" s="156">
        <f t="shared" si="339"/>
        <v>3677.2173199999997</v>
      </c>
      <c r="AG268" s="156">
        <f t="shared" si="340"/>
        <v>1838.6086599999999</v>
      </c>
      <c r="AH268" s="156">
        <f t="shared" si="341"/>
        <v>1838.6086599999999</v>
      </c>
      <c r="AI268" s="156">
        <f t="shared" si="342"/>
        <v>919.30432999999994</v>
      </c>
      <c r="AJ268" s="156">
        <f t="shared" si="343"/>
        <v>1838.6086599999999</v>
      </c>
      <c r="AK268" s="156">
        <f t="shared" si="344"/>
        <v>1838.6086599999999</v>
      </c>
      <c r="AL268" s="156">
        <f t="shared" si="345"/>
        <v>6435.1303099999996</v>
      </c>
      <c r="AM268" s="157">
        <f t="shared" si="346"/>
        <v>28291.590755749996</v>
      </c>
      <c r="AN268" s="158">
        <f t="shared" si="347"/>
        <v>2200</v>
      </c>
      <c r="AO268" s="159">
        <v>0.2</v>
      </c>
      <c r="AP268" s="160">
        <f t="shared" si="348"/>
        <v>751717884.65207732</v>
      </c>
      <c r="AQ268" s="161">
        <f t="shared" si="349"/>
        <v>208810.54021930779</v>
      </c>
      <c r="AR268" s="162">
        <f t="shared" si="350"/>
        <v>41762.108043861561</v>
      </c>
      <c r="AS268" s="163">
        <f t="shared" si="351"/>
        <v>5.9592049149345838</v>
      </c>
      <c r="AT268" s="164">
        <f t="shared" si="352"/>
        <v>5.9592049149345838</v>
      </c>
      <c r="AU268" s="165"/>
      <c r="AV268" s="166"/>
      <c r="AW268" s="167"/>
      <c r="AX268" s="146"/>
      <c r="AY268" s="168"/>
    </row>
    <row r="269" spans="1:51" s="139" customFormat="1" ht="11.25" x14ac:dyDescent="0.2">
      <c r="A269" s="1"/>
      <c r="B269" s="140">
        <v>4</v>
      </c>
      <c r="C269" s="330" t="s">
        <v>302</v>
      </c>
      <c r="D269" s="142"/>
      <c r="E269" s="143"/>
      <c r="F269" s="143"/>
      <c r="G269" s="143"/>
      <c r="H269" s="143"/>
      <c r="I269" s="143"/>
      <c r="J269" s="143"/>
      <c r="K269" s="143"/>
      <c r="L269" s="143"/>
      <c r="M269" s="143"/>
      <c r="N269" s="328">
        <v>2281945</v>
      </c>
      <c r="O269" s="143"/>
      <c r="P269" s="145"/>
      <c r="Q269" s="223">
        <f t="shared" si="334"/>
        <v>2281945</v>
      </c>
      <c r="R269" s="147">
        <f>Q269*$R$7</f>
        <v>540820.96499999997</v>
      </c>
      <c r="S269" s="147">
        <f t="shared" si="335"/>
        <v>1481.7012739726026</v>
      </c>
      <c r="T269" s="148">
        <f>S269*$T$5*$T$7</f>
        <v>486738.86849999998</v>
      </c>
      <c r="U269" s="199"/>
      <c r="V269" s="150"/>
      <c r="W269" s="151"/>
      <c r="X269" s="151"/>
      <c r="Y269" s="152"/>
      <c r="Z269" s="153"/>
      <c r="AA269" s="153"/>
      <c r="AB269" s="154"/>
      <c r="AC269" s="155">
        <f t="shared" si="336"/>
        <v>282308.54372999998</v>
      </c>
      <c r="AD269" s="156">
        <f t="shared" si="337"/>
        <v>63276.052904999997</v>
      </c>
      <c r="AE269" s="156">
        <f t="shared" si="338"/>
        <v>42711.335710874999</v>
      </c>
      <c r="AF269" s="156">
        <f t="shared" si="339"/>
        <v>19469.55474</v>
      </c>
      <c r="AG269" s="156">
        <f t="shared" si="340"/>
        <v>9734.7773699999998</v>
      </c>
      <c r="AH269" s="156">
        <f t="shared" si="341"/>
        <v>9734.7773699999998</v>
      </c>
      <c r="AI269" s="156">
        <f t="shared" si="342"/>
        <v>4867.3886849999999</v>
      </c>
      <c r="AJ269" s="156">
        <f t="shared" si="343"/>
        <v>9734.7773699999998</v>
      </c>
      <c r="AK269" s="156">
        <f t="shared" si="344"/>
        <v>9734.7773699999998</v>
      </c>
      <c r="AL269" s="156">
        <f t="shared" si="345"/>
        <v>34071.720795000001</v>
      </c>
      <c r="AM269" s="157">
        <f t="shared" si="346"/>
        <v>149793.88678087501</v>
      </c>
      <c r="AN269" s="158">
        <f t="shared" si="347"/>
        <v>2200</v>
      </c>
      <c r="AO269" s="159">
        <v>0.2</v>
      </c>
      <c r="AP269" s="160">
        <f t="shared" si="348"/>
        <v>3980078203.3384485</v>
      </c>
      <c r="AQ269" s="161">
        <f t="shared" si="349"/>
        <v>1105577.3671513069</v>
      </c>
      <c r="AR269" s="162">
        <f t="shared" si="350"/>
        <v>221115.47343026139</v>
      </c>
      <c r="AS269" s="163">
        <f t="shared" si="351"/>
        <v>31.551865500893463</v>
      </c>
      <c r="AT269" s="164">
        <f t="shared" si="352"/>
        <v>31.551865500893463</v>
      </c>
      <c r="AU269" s="165"/>
      <c r="AV269" s="166"/>
      <c r="AW269" s="167"/>
      <c r="AX269" s="146"/>
      <c r="AY269" s="168"/>
    </row>
    <row r="270" spans="1:51" s="139" customFormat="1" ht="11.25" x14ac:dyDescent="0.2">
      <c r="A270" s="1"/>
      <c r="B270" s="140">
        <v>5</v>
      </c>
      <c r="C270" s="330" t="s">
        <v>303</v>
      </c>
      <c r="D270" s="142"/>
      <c r="E270" s="143"/>
      <c r="F270" s="143"/>
      <c r="G270" s="143"/>
      <c r="H270" s="143"/>
      <c r="I270" s="143"/>
      <c r="J270" s="143"/>
      <c r="K270" s="143"/>
      <c r="L270" s="143"/>
      <c r="M270" s="143"/>
      <c r="N270" s="328">
        <v>1645659</v>
      </c>
      <c r="O270" s="143"/>
      <c r="P270" s="145"/>
      <c r="Q270" s="223">
        <f t="shared" si="334"/>
        <v>1645659</v>
      </c>
      <c r="R270" s="147">
        <f>Q270*$R$7</f>
        <v>390021.18299999996</v>
      </c>
      <c r="S270" s="147">
        <f t="shared" si="335"/>
        <v>1068.5511863013699</v>
      </c>
      <c r="T270" s="148">
        <f>S270*$T$5*$T$7</f>
        <v>351019.06470000005</v>
      </c>
      <c r="U270" s="199"/>
      <c r="V270" s="150"/>
      <c r="W270" s="151"/>
      <c r="X270" s="151"/>
      <c r="Y270" s="152"/>
      <c r="Z270" s="153"/>
      <c r="AA270" s="153"/>
      <c r="AB270" s="154"/>
      <c r="AC270" s="155">
        <f t="shared" si="336"/>
        <v>203591.05752600002</v>
      </c>
      <c r="AD270" s="156">
        <f t="shared" si="337"/>
        <v>45632.478411000011</v>
      </c>
      <c r="AE270" s="156">
        <f t="shared" si="338"/>
        <v>30801.922927425003</v>
      </c>
      <c r="AF270" s="156">
        <f t="shared" si="339"/>
        <v>14040.762588000001</v>
      </c>
      <c r="AG270" s="156">
        <f t="shared" si="340"/>
        <v>7020.3812940000007</v>
      </c>
      <c r="AH270" s="156">
        <f t="shared" si="341"/>
        <v>7020.3812940000007</v>
      </c>
      <c r="AI270" s="156">
        <f t="shared" si="342"/>
        <v>3510.1906470000004</v>
      </c>
      <c r="AJ270" s="156">
        <f t="shared" si="343"/>
        <v>7020.3812940000007</v>
      </c>
      <c r="AK270" s="156">
        <f t="shared" si="344"/>
        <v>7020.3812940000007</v>
      </c>
      <c r="AL270" s="156">
        <f t="shared" si="345"/>
        <v>24571.334529000007</v>
      </c>
      <c r="AM270" s="157">
        <f t="shared" si="346"/>
        <v>108026.11716142502</v>
      </c>
      <c r="AN270" s="158">
        <f t="shared" si="347"/>
        <v>2200</v>
      </c>
      <c r="AO270" s="159">
        <v>0.2</v>
      </c>
      <c r="AP270" s="160">
        <f t="shared" si="348"/>
        <v>2870293331.3588843</v>
      </c>
      <c r="AQ270" s="161">
        <f t="shared" si="349"/>
        <v>797303.76693954191</v>
      </c>
      <c r="AR270" s="162">
        <f t="shared" si="350"/>
        <v>159460.75338790839</v>
      </c>
      <c r="AS270" s="163">
        <f t="shared" si="351"/>
        <v>22.754102937772316</v>
      </c>
      <c r="AT270" s="164">
        <f t="shared" si="352"/>
        <v>22.754102937772316</v>
      </c>
      <c r="AU270" s="165"/>
      <c r="AV270" s="166"/>
      <c r="AW270" s="167"/>
      <c r="AX270" s="146"/>
      <c r="AY270" s="168"/>
    </row>
    <row r="271" spans="1:51" s="139" customFormat="1" ht="11.25" x14ac:dyDescent="0.2">
      <c r="A271" s="1"/>
      <c r="B271" s="140">
        <v>6</v>
      </c>
      <c r="C271" s="330" t="s">
        <v>304</v>
      </c>
      <c r="D271" s="142"/>
      <c r="E271" s="143"/>
      <c r="F271" s="143"/>
      <c r="G271" s="143"/>
      <c r="H271" s="143"/>
      <c r="I271" s="143"/>
      <c r="J271" s="143"/>
      <c r="K271" s="143"/>
      <c r="L271" s="143"/>
      <c r="M271" s="143"/>
      <c r="N271" s="328">
        <v>21082</v>
      </c>
      <c r="O271" s="143"/>
      <c r="P271" s="145"/>
      <c r="Q271" s="223">
        <f t="shared" si="334"/>
        <v>21082</v>
      </c>
      <c r="R271" s="147">
        <f>Q271*$R$10</f>
        <v>2319.02</v>
      </c>
      <c r="S271" s="147">
        <f t="shared" si="335"/>
        <v>6.3534794520547946</v>
      </c>
      <c r="T271" s="148">
        <f>S271*$T$5*$T$10</f>
        <v>1391.412</v>
      </c>
      <c r="U271" s="199"/>
      <c r="V271" s="150"/>
      <c r="W271" s="151"/>
      <c r="X271" s="151"/>
      <c r="Y271" s="152"/>
      <c r="Z271" s="153"/>
      <c r="AA271" s="153"/>
      <c r="AB271" s="154"/>
      <c r="AC271" s="155">
        <f t="shared" si="336"/>
        <v>807.01895999999999</v>
      </c>
      <c r="AD271" s="156">
        <f t="shared" si="337"/>
        <v>180.88356000000002</v>
      </c>
      <c r="AE271" s="156">
        <f t="shared" si="338"/>
        <v>122.096403</v>
      </c>
      <c r="AF271" s="156">
        <f t="shared" si="339"/>
        <v>55.656480000000002</v>
      </c>
      <c r="AG271" s="156">
        <f t="shared" si="340"/>
        <v>27.828240000000001</v>
      </c>
      <c r="AH271" s="156">
        <f t="shared" si="341"/>
        <v>27.828240000000001</v>
      </c>
      <c r="AI271" s="156">
        <f t="shared" si="342"/>
        <v>13.91412</v>
      </c>
      <c r="AJ271" s="156">
        <f t="shared" si="343"/>
        <v>27.828240000000001</v>
      </c>
      <c r="AK271" s="156">
        <f t="shared" si="344"/>
        <v>27.828240000000001</v>
      </c>
      <c r="AL271" s="156">
        <f t="shared" si="345"/>
        <v>97.398840000000007</v>
      </c>
      <c r="AM271" s="157">
        <f t="shared" si="346"/>
        <v>428.207043</v>
      </c>
      <c r="AN271" s="158">
        <f t="shared" si="347"/>
        <v>2200</v>
      </c>
      <c r="AO271" s="159">
        <v>0.2</v>
      </c>
      <c r="AP271" s="160">
        <f t="shared" si="348"/>
        <v>11377617.304592879</v>
      </c>
      <c r="AQ271" s="161">
        <f t="shared" si="349"/>
        <v>3160.4495041117398</v>
      </c>
      <c r="AR271" s="162">
        <f t="shared" si="350"/>
        <v>632.089900822348</v>
      </c>
      <c r="AS271" s="163">
        <f t="shared" si="351"/>
        <v>9.0195476715517697E-2</v>
      </c>
      <c r="AT271" s="164">
        <f t="shared" si="352"/>
        <v>9.0195476715517697E-2</v>
      </c>
      <c r="AU271" s="165"/>
      <c r="AV271" s="166"/>
      <c r="AW271" s="167"/>
      <c r="AX271" s="146"/>
      <c r="AY271" s="168"/>
    </row>
    <row r="272" spans="1:51" s="190" customFormat="1" ht="16.7" customHeight="1" x14ac:dyDescent="0.25">
      <c r="A272" s="173"/>
      <c r="B272" s="120"/>
      <c r="C272" s="121" t="s">
        <v>305</v>
      </c>
      <c r="D272" s="240">
        <f t="shared" ref="D272:U272" si="353">SUM(D266:D271)</f>
        <v>0</v>
      </c>
      <c r="E272" s="240">
        <f t="shared" si="353"/>
        <v>0</v>
      </c>
      <c r="F272" s="240">
        <f t="shared" si="353"/>
        <v>0</v>
      </c>
      <c r="G272" s="240">
        <f t="shared" si="353"/>
        <v>0</v>
      </c>
      <c r="H272" s="240">
        <f t="shared" si="353"/>
        <v>0</v>
      </c>
      <c r="I272" s="240">
        <f t="shared" si="353"/>
        <v>0</v>
      </c>
      <c r="J272" s="240">
        <f t="shared" si="353"/>
        <v>0</v>
      </c>
      <c r="K272" s="240">
        <f t="shared" si="353"/>
        <v>0</v>
      </c>
      <c r="L272" s="240">
        <f t="shared" si="353"/>
        <v>0</v>
      </c>
      <c r="M272" s="240">
        <f t="shared" si="353"/>
        <v>0</v>
      </c>
      <c r="N272" s="240">
        <f t="shared" si="353"/>
        <v>9604329</v>
      </c>
      <c r="O272" s="240">
        <f t="shared" si="353"/>
        <v>0</v>
      </c>
      <c r="P272" s="240">
        <f t="shared" si="353"/>
        <v>0</v>
      </c>
      <c r="Q272" s="240">
        <f t="shared" si="353"/>
        <v>9604329</v>
      </c>
      <c r="R272" s="240">
        <f t="shared" si="353"/>
        <v>2191692.6939999997</v>
      </c>
      <c r="S272" s="240">
        <f t="shared" si="353"/>
        <v>6004.6375178082189</v>
      </c>
      <c r="T272" s="240">
        <f t="shared" si="353"/>
        <v>1945561.8805999998</v>
      </c>
      <c r="U272" s="199">
        <f t="shared" si="353"/>
        <v>0</v>
      </c>
      <c r="V272" s="241"/>
      <c r="W272" s="242">
        <f>SUM(W266:W271)</f>
        <v>0</v>
      </c>
      <c r="X272" s="242">
        <f>SUM(X266:X271)</f>
        <v>0</v>
      </c>
      <c r="Y272" s="242">
        <f>SUM(Y266:Y271)</f>
        <v>0</v>
      </c>
      <c r="Z272" s="199"/>
      <c r="AA272" s="199"/>
      <c r="AB272" s="243"/>
      <c r="AC272" s="240">
        <f t="shared" ref="AC272:AM272" si="354">SUM(AC266:AC271)</f>
        <v>1128425.890748</v>
      </c>
      <c r="AD272" s="244">
        <f t="shared" si="354"/>
        <v>252923.044478</v>
      </c>
      <c r="AE272" s="244">
        <f t="shared" si="354"/>
        <v>170723.05502264999</v>
      </c>
      <c r="AF272" s="244">
        <f t="shared" si="354"/>
        <v>77822.475224000009</v>
      </c>
      <c r="AG272" s="244">
        <f t="shared" si="354"/>
        <v>38911.237612000004</v>
      </c>
      <c r="AH272" s="244">
        <f t="shared" si="354"/>
        <v>38911.237612000004</v>
      </c>
      <c r="AI272" s="244">
        <f t="shared" si="354"/>
        <v>19455.618806000002</v>
      </c>
      <c r="AJ272" s="244">
        <f t="shared" si="354"/>
        <v>38911.237612000004</v>
      </c>
      <c r="AK272" s="244">
        <f t="shared" si="354"/>
        <v>38911.237612000004</v>
      </c>
      <c r="AL272" s="244">
        <f t="shared" si="354"/>
        <v>136189.331642</v>
      </c>
      <c r="AM272" s="245">
        <f t="shared" si="354"/>
        <v>598746.66875465005</v>
      </c>
      <c r="AN272" s="158"/>
      <c r="AO272" s="183"/>
      <c r="AP272" s="184">
        <f>SUM(AP266:AP271)</f>
        <v>15908917358.676527</v>
      </c>
      <c r="AQ272" s="184">
        <f>SUM(AQ266:AQ271)</f>
        <v>4419144.064274977</v>
      </c>
      <c r="AR272" s="184">
        <f>SUM(AR266:AR271)</f>
        <v>883828.81285499549</v>
      </c>
      <c r="AS272" s="185">
        <f>SUM(AS266:AS271)</f>
        <v>126.11712512200279</v>
      </c>
      <c r="AT272" s="186">
        <f>SUM(AT266:AT271)</f>
        <v>126.11712512200279</v>
      </c>
      <c r="AU272" s="187"/>
      <c r="AV272" s="246">
        <f>SUM(AV270:AV271)</f>
        <v>0</v>
      </c>
      <c r="AW272" s="246"/>
      <c r="AX272" s="185">
        <f>SUM(AX270:AX271)</f>
        <v>0</v>
      </c>
      <c r="AY272" s="189"/>
    </row>
    <row r="274" spans="1:51" s="139" customFormat="1" ht="15" customHeight="1" x14ac:dyDescent="0.25">
      <c r="A274" s="1"/>
      <c r="B274" s="120"/>
      <c r="C274" s="121" t="s">
        <v>306</v>
      </c>
      <c r="D274" s="122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213"/>
      <c r="Q274" s="76"/>
      <c r="R274" s="108"/>
      <c r="S274" s="108"/>
      <c r="T274" s="94"/>
      <c r="U274" s="199"/>
      <c r="V274" s="179"/>
      <c r="W274" s="180"/>
      <c r="X274" s="180"/>
      <c r="Y274" s="214"/>
      <c r="Z274" s="181"/>
      <c r="AA274" s="181"/>
      <c r="AB274" s="182"/>
      <c r="AC274" s="62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125"/>
      <c r="AN274" s="75"/>
      <c r="AO274" s="216"/>
      <c r="AP274" s="75"/>
      <c r="AQ274" s="51"/>
      <c r="AR274" s="217"/>
      <c r="AS274" s="218"/>
      <c r="AT274" s="219"/>
      <c r="AU274" s="220"/>
      <c r="AV274" s="135"/>
      <c r="AW274" s="136"/>
      <c r="AX274" s="137"/>
      <c r="AY274" s="138"/>
    </row>
    <row r="275" spans="1:51" s="139" customFormat="1" ht="11.25" x14ac:dyDescent="0.2">
      <c r="A275" s="1"/>
      <c r="B275" s="140">
        <v>1</v>
      </c>
      <c r="C275" s="232" t="s">
        <v>307</v>
      </c>
      <c r="D275" s="142"/>
      <c r="E275" s="143"/>
      <c r="F275" s="143"/>
      <c r="G275" s="143"/>
      <c r="H275" s="143"/>
      <c r="I275" s="143"/>
      <c r="J275" s="143"/>
      <c r="K275" s="143"/>
      <c r="L275" s="143"/>
      <c r="M275" s="143"/>
      <c r="N275" s="331">
        <v>1149610</v>
      </c>
      <c r="O275" s="331">
        <v>1172179</v>
      </c>
      <c r="P275" s="145"/>
      <c r="Q275" s="223">
        <f t="shared" ref="Q275:Q282" si="355">MAX(D275:P275)</f>
        <v>1172179</v>
      </c>
      <c r="R275" s="147">
        <f>Q275*$R$8</f>
        <v>192237.356</v>
      </c>
      <c r="S275" s="147">
        <f t="shared" ref="S275:S282" si="356">R275/$S$5</f>
        <v>526.67768767123289</v>
      </c>
      <c r="T275" s="148">
        <f>S275*$T$5*$T$8</f>
        <v>153789.8848</v>
      </c>
      <c r="U275" s="199"/>
      <c r="V275" s="150"/>
      <c r="W275" s="151"/>
      <c r="X275" s="151"/>
      <c r="Y275" s="152"/>
      <c r="Z275" s="153"/>
      <c r="AA275" s="153"/>
      <c r="AB275" s="154"/>
      <c r="AC275" s="155">
        <f t="shared" ref="AC275:AC282" si="357">T275*$AC$5</f>
        <v>89198.133183999991</v>
      </c>
      <c r="AD275" s="156">
        <f t="shared" ref="AD275:AD282" si="358">T275*$AD$5</f>
        <v>19992.685024000002</v>
      </c>
      <c r="AE275" s="156">
        <f t="shared" ref="AE275:AE282" si="359">T275*$AE$5</f>
        <v>13495.062391199999</v>
      </c>
      <c r="AF275" s="156">
        <f t="shared" ref="AF275:AF282" si="360">T275*$AF$5</f>
        <v>6151.5953920000002</v>
      </c>
      <c r="AG275" s="156">
        <f t="shared" ref="AG275:AG282" si="361">T275*$AG$5</f>
        <v>3075.7976960000001</v>
      </c>
      <c r="AH275" s="156">
        <f t="shared" ref="AH275:AH282" si="362">T275*$AH$5</f>
        <v>3075.7976960000001</v>
      </c>
      <c r="AI275" s="156">
        <f t="shared" ref="AI275:AI282" si="363">T275*$AI$5</f>
        <v>1537.898848</v>
      </c>
      <c r="AJ275" s="156">
        <f t="shared" ref="AJ275:AJ282" si="364">T275*$AJ$5</f>
        <v>3075.7976960000001</v>
      </c>
      <c r="AK275" s="156">
        <f t="shared" ref="AK275:AK282" si="365">T275*$AK$5</f>
        <v>3075.7976960000001</v>
      </c>
      <c r="AL275" s="156">
        <f t="shared" ref="AL275:AL282" si="366">T275*$AL$5</f>
        <v>10765.291936000001</v>
      </c>
      <c r="AM275" s="157">
        <f t="shared" ref="AM275:AM282" si="367">SUM(AD275:AI275)</f>
        <v>47328.837047200002</v>
      </c>
      <c r="AN275" s="158">
        <f t="shared" ref="AN275:AN282" si="368">$AN$5</f>
        <v>2200</v>
      </c>
      <c r="AO275" s="159">
        <v>0.2</v>
      </c>
      <c r="AP275" s="160">
        <f t="shared" ref="AP275:AP282" si="369">(AC275+AM275)*AN275*$AP$5</f>
        <v>1257544461.7207739</v>
      </c>
      <c r="AQ275" s="161">
        <f t="shared" ref="AQ275:AQ282" si="370">AP275*$AQ$5</f>
        <v>349317.93397898081</v>
      </c>
      <c r="AR275" s="162">
        <f t="shared" ref="AR275:AR282" si="371">AQ275*$AR$5</f>
        <v>69863.58679579616</v>
      </c>
      <c r="AS275" s="163">
        <f t="shared" ref="AS275:AS282" si="372">AR275/$AS$5</f>
        <v>9.969119120404704</v>
      </c>
      <c r="AT275" s="164">
        <f t="shared" ref="AT275:AT282" si="373">AS275</f>
        <v>9.969119120404704</v>
      </c>
      <c r="AU275" s="165"/>
      <c r="AV275" s="166"/>
      <c r="AW275" s="167"/>
      <c r="AX275" s="146"/>
      <c r="AY275" s="168"/>
    </row>
    <row r="276" spans="1:51" s="139" customFormat="1" ht="11.25" x14ac:dyDescent="0.2">
      <c r="A276" s="1"/>
      <c r="B276" s="140">
        <v>2</v>
      </c>
      <c r="C276" s="232" t="s">
        <v>308</v>
      </c>
      <c r="D276" s="142"/>
      <c r="E276" s="143"/>
      <c r="F276" s="143"/>
      <c r="G276" s="143"/>
      <c r="H276" s="143"/>
      <c r="I276" s="143"/>
      <c r="J276" s="143"/>
      <c r="K276" s="143"/>
      <c r="L276" s="143"/>
      <c r="M276" s="143"/>
      <c r="N276" s="332">
        <v>1204095</v>
      </c>
      <c r="O276" s="331">
        <v>1228884</v>
      </c>
      <c r="P276" s="145"/>
      <c r="Q276" s="223">
        <f t="shared" si="355"/>
        <v>1228884</v>
      </c>
      <c r="R276" s="147">
        <f>Q276*$R$8</f>
        <v>201536.976</v>
      </c>
      <c r="S276" s="147">
        <f t="shared" si="356"/>
        <v>552.15609863013697</v>
      </c>
      <c r="T276" s="148">
        <f>S276*$T$5*$T$8</f>
        <v>161229.5808</v>
      </c>
      <c r="U276" s="199"/>
      <c r="V276" s="150"/>
      <c r="W276" s="151"/>
      <c r="X276" s="151"/>
      <c r="Y276" s="152"/>
      <c r="Z276" s="153"/>
      <c r="AA276" s="153"/>
      <c r="AB276" s="154"/>
      <c r="AC276" s="155">
        <f t="shared" si="357"/>
        <v>93513.15686399999</v>
      </c>
      <c r="AD276" s="156">
        <f t="shared" si="358"/>
        <v>20959.845504000001</v>
      </c>
      <c r="AE276" s="156">
        <f t="shared" si="359"/>
        <v>14147.895715199998</v>
      </c>
      <c r="AF276" s="156">
        <f t="shared" si="360"/>
        <v>6449.1832320000003</v>
      </c>
      <c r="AG276" s="156">
        <f t="shared" si="361"/>
        <v>3224.5916160000002</v>
      </c>
      <c r="AH276" s="156">
        <f t="shared" si="362"/>
        <v>3224.5916160000002</v>
      </c>
      <c r="AI276" s="156">
        <f t="shared" si="363"/>
        <v>1612.2958080000001</v>
      </c>
      <c r="AJ276" s="156">
        <f t="shared" si="364"/>
        <v>3224.5916160000002</v>
      </c>
      <c r="AK276" s="156">
        <f t="shared" si="365"/>
        <v>3224.5916160000002</v>
      </c>
      <c r="AL276" s="156">
        <f t="shared" si="366"/>
        <v>11286.070656000002</v>
      </c>
      <c r="AM276" s="157">
        <f t="shared" si="367"/>
        <v>49618.403491199999</v>
      </c>
      <c r="AN276" s="158">
        <f t="shared" si="368"/>
        <v>2200</v>
      </c>
      <c r="AO276" s="159">
        <v>0.2</v>
      </c>
      <c r="AP276" s="160">
        <f t="shared" si="369"/>
        <v>1318379077.169333</v>
      </c>
      <c r="AQ276" s="161">
        <f t="shared" si="370"/>
        <v>366216.43962212751</v>
      </c>
      <c r="AR276" s="162">
        <f t="shared" si="371"/>
        <v>73243.287924425502</v>
      </c>
      <c r="AS276" s="163">
        <f t="shared" si="372"/>
        <v>10.451382409307293</v>
      </c>
      <c r="AT276" s="164">
        <f t="shared" si="373"/>
        <v>10.451382409307293</v>
      </c>
      <c r="AU276" s="165"/>
      <c r="AV276" s="166"/>
      <c r="AW276" s="167"/>
      <c r="AX276" s="146"/>
      <c r="AY276" s="168"/>
    </row>
    <row r="277" spans="1:51" s="139" customFormat="1" ht="11.25" x14ac:dyDescent="0.2">
      <c r="A277" s="1"/>
      <c r="B277" s="140">
        <v>3</v>
      </c>
      <c r="C277" s="232" t="s">
        <v>309</v>
      </c>
      <c r="D277" s="142"/>
      <c r="E277" s="143"/>
      <c r="F277" s="143"/>
      <c r="G277" s="143"/>
      <c r="H277" s="143"/>
      <c r="I277" s="143"/>
      <c r="J277" s="143"/>
      <c r="K277" s="143"/>
      <c r="L277" s="143"/>
      <c r="M277" s="143"/>
      <c r="N277" s="331">
        <v>2834376</v>
      </c>
      <c r="O277" s="331">
        <v>2960474</v>
      </c>
      <c r="P277" s="145"/>
      <c r="Q277" s="223">
        <f t="shared" si="355"/>
        <v>2960474</v>
      </c>
      <c r="R277" s="147">
        <f>Q277*$R$7</f>
        <v>701632.33799999999</v>
      </c>
      <c r="S277" s="147">
        <f t="shared" si="356"/>
        <v>1922.2803780821916</v>
      </c>
      <c r="T277" s="148">
        <f>S277*$T$5*$T$7</f>
        <v>631469.10420000006</v>
      </c>
      <c r="U277" s="199"/>
      <c r="V277" s="150"/>
      <c r="W277" s="151"/>
      <c r="X277" s="151"/>
      <c r="Y277" s="152"/>
      <c r="Z277" s="153"/>
      <c r="AA277" s="153"/>
      <c r="AB277" s="154"/>
      <c r="AC277" s="155">
        <f t="shared" si="357"/>
        <v>366252.08043600002</v>
      </c>
      <c r="AD277" s="156">
        <f t="shared" si="358"/>
        <v>82090.983546000018</v>
      </c>
      <c r="AE277" s="156">
        <f t="shared" si="359"/>
        <v>55411.413893550001</v>
      </c>
      <c r="AF277" s="156">
        <f t="shared" si="360"/>
        <v>25258.764168000002</v>
      </c>
      <c r="AG277" s="156">
        <f t="shared" si="361"/>
        <v>12629.382084000001</v>
      </c>
      <c r="AH277" s="156">
        <f t="shared" si="362"/>
        <v>12629.382084000001</v>
      </c>
      <c r="AI277" s="156">
        <f t="shared" si="363"/>
        <v>6314.6910420000004</v>
      </c>
      <c r="AJ277" s="156">
        <f t="shared" si="364"/>
        <v>12629.382084000001</v>
      </c>
      <c r="AK277" s="156">
        <f t="shared" si="365"/>
        <v>12629.382084000001</v>
      </c>
      <c r="AL277" s="156">
        <f t="shared" si="366"/>
        <v>44202.837294000012</v>
      </c>
      <c r="AM277" s="157">
        <f t="shared" si="367"/>
        <v>194334.61681755004</v>
      </c>
      <c r="AN277" s="158">
        <f t="shared" si="368"/>
        <v>2200</v>
      </c>
      <c r="AO277" s="159">
        <v>0.2</v>
      </c>
      <c r="AP277" s="160">
        <f t="shared" si="369"/>
        <v>5163541644.9345598</v>
      </c>
      <c r="AQ277" s="161">
        <f t="shared" si="370"/>
        <v>1434317.2383383031</v>
      </c>
      <c r="AR277" s="162">
        <f t="shared" si="371"/>
        <v>286863.4476676606</v>
      </c>
      <c r="AS277" s="163">
        <f t="shared" si="372"/>
        <v>40.933711139791754</v>
      </c>
      <c r="AT277" s="164">
        <f t="shared" si="373"/>
        <v>40.933711139791754</v>
      </c>
      <c r="AU277" s="165"/>
      <c r="AV277" s="166"/>
      <c r="AW277" s="167"/>
      <c r="AX277" s="146"/>
      <c r="AY277" s="168"/>
    </row>
    <row r="278" spans="1:51" s="139" customFormat="1" ht="11.25" x14ac:dyDescent="0.2">
      <c r="A278" s="1"/>
      <c r="B278" s="140">
        <v>4</v>
      </c>
      <c r="C278" s="232" t="s">
        <v>310</v>
      </c>
      <c r="D278" s="142"/>
      <c r="E278" s="143"/>
      <c r="F278" s="143"/>
      <c r="G278" s="143"/>
      <c r="H278" s="143"/>
      <c r="I278" s="143"/>
      <c r="J278" s="143"/>
      <c r="K278" s="143"/>
      <c r="L278" s="143"/>
      <c r="M278" s="143"/>
      <c r="N278" s="331">
        <v>1402818</v>
      </c>
      <c r="O278" s="331">
        <v>1434137</v>
      </c>
      <c r="P278" s="145"/>
      <c r="Q278" s="223">
        <f t="shared" si="355"/>
        <v>1434137</v>
      </c>
      <c r="R278" s="147">
        <f>Q278*$R$8</f>
        <v>235198.46800000002</v>
      </c>
      <c r="S278" s="147">
        <f t="shared" si="356"/>
        <v>644.37936438356166</v>
      </c>
      <c r="T278" s="148">
        <f>S278*$T$5*$T$8</f>
        <v>188158.77439999999</v>
      </c>
      <c r="U278" s="199"/>
      <c r="V278" s="150"/>
      <c r="W278" s="151"/>
      <c r="X278" s="151"/>
      <c r="Y278" s="152"/>
      <c r="Z278" s="153"/>
      <c r="AA278" s="153"/>
      <c r="AB278" s="154"/>
      <c r="AC278" s="155">
        <f t="shared" si="357"/>
        <v>109132.08915199999</v>
      </c>
      <c r="AD278" s="156">
        <f t="shared" si="358"/>
        <v>24460.640672000001</v>
      </c>
      <c r="AE278" s="156">
        <f t="shared" si="359"/>
        <v>16510.932453599999</v>
      </c>
      <c r="AF278" s="156">
        <f t="shared" si="360"/>
        <v>7526.3509759999997</v>
      </c>
      <c r="AG278" s="156">
        <f t="shared" si="361"/>
        <v>3763.1754879999999</v>
      </c>
      <c r="AH278" s="156">
        <f t="shared" si="362"/>
        <v>3763.1754879999999</v>
      </c>
      <c r="AI278" s="156">
        <f t="shared" si="363"/>
        <v>1881.5877439999999</v>
      </c>
      <c r="AJ278" s="156">
        <f t="shared" si="364"/>
        <v>3763.1754879999999</v>
      </c>
      <c r="AK278" s="156">
        <f t="shared" si="365"/>
        <v>3763.1754879999999</v>
      </c>
      <c r="AL278" s="156">
        <f t="shared" si="366"/>
        <v>13171.114208000001</v>
      </c>
      <c r="AM278" s="157">
        <f t="shared" si="367"/>
        <v>57905.8628216</v>
      </c>
      <c r="AN278" s="158">
        <f t="shared" si="368"/>
        <v>2200</v>
      </c>
      <c r="AO278" s="159">
        <v>0.2</v>
      </c>
      <c r="AP278" s="160">
        <f t="shared" si="369"/>
        <v>1538579894.1107504</v>
      </c>
      <c r="AQ278" s="161">
        <f t="shared" si="370"/>
        <v>427383.33811031719</v>
      </c>
      <c r="AR278" s="162">
        <f t="shared" si="371"/>
        <v>85476.66762206344</v>
      </c>
      <c r="AS278" s="163">
        <f t="shared" si="372"/>
        <v>12.197013073924577</v>
      </c>
      <c r="AT278" s="164">
        <f t="shared" si="373"/>
        <v>12.197013073924577</v>
      </c>
      <c r="AU278" s="165"/>
      <c r="AV278" s="166"/>
      <c r="AW278" s="167"/>
      <c r="AX278" s="146"/>
      <c r="AY278" s="168"/>
    </row>
    <row r="279" spans="1:51" s="139" customFormat="1" ht="11.25" x14ac:dyDescent="0.2">
      <c r="A279" s="1"/>
      <c r="B279" s="140">
        <v>5</v>
      </c>
      <c r="C279" s="232" t="s">
        <v>311</v>
      </c>
      <c r="D279" s="142"/>
      <c r="E279" s="143"/>
      <c r="F279" s="143"/>
      <c r="G279" s="143"/>
      <c r="H279" s="143"/>
      <c r="I279" s="143"/>
      <c r="J279" s="143"/>
      <c r="K279" s="143"/>
      <c r="L279" s="143"/>
      <c r="M279" s="143"/>
      <c r="N279" s="331">
        <v>1798601</v>
      </c>
      <c r="O279" s="331">
        <v>1869791</v>
      </c>
      <c r="P279" s="145"/>
      <c r="Q279" s="223">
        <f t="shared" si="355"/>
        <v>1869791</v>
      </c>
      <c r="R279" s="147">
        <f>Q279*$R$7</f>
        <v>443140.467</v>
      </c>
      <c r="S279" s="147">
        <f t="shared" si="356"/>
        <v>1214.0834712328767</v>
      </c>
      <c r="T279" s="148">
        <f>S279*$T$5*$T$7</f>
        <v>398826.4203</v>
      </c>
      <c r="U279" s="199"/>
      <c r="V279" s="150"/>
      <c r="W279" s="151"/>
      <c r="X279" s="151"/>
      <c r="Y279" s="152"/>
      <c r="Z279" s="153"/>
      <c r="AA279" s="153"/>
      <c r="AB279" s="154"/>
      <c r="AC279" s="155">
        <f t="shared" si="357"/>
        <v>231319.32377399999</v>
      </c>
      <c r="AD279" s="156">
        <f t="shared" si="358"/>
        <v>51847.434638999999</v>
      </c>
      <c r="AE279" s="156">
        <f t="shared" si="359"/>
        <v>34997.018381324997</v>
      </c>
      <c r="AF279" s="156">
        <f t="shared" si="360"/>
        <v>15953.056812000001</v>
      </c>
      <c r="AG279" s="156">
        <f t="shared" si="361"/>
        <v>7976.5284060000004</v>
      </c>
      <c r="AH279" s="156">
        <f t="shared" si="362"/>
        <v>7976.5284060000004</v>
      </c>
      <c r="AI279" s="156">
        <f t="shared" si="363"/>
        <v>3988.2642030000002</v>
      </c>
      <c r="AJ279" s="156">
        <f t="shared" si="364"/>
        <v>7976.5284060000004</v>
      </c>
      <c r="AK279" s="156">
        <f t="shared" si="365"/>
        <v>7976.5284060000004</v>
      </c>
      <c r="AL279" s="156">
        <f t="shared" si="366"/>
        <v>27917.849421000003</v>
      </c>
      <c r="AM279" s="157">
        <f t="shared" si="367"/>
        <v>122738.83084732498</v>
      </c>
      <c r="AN279" s="158">
        <f t="shared" si="368"/>
        <v>2200</v>
      </c>
      <c r="AO279" s="159">
        <v>0.2</v>
      </c>
      <c r="AP279" s="160">
        <f t="shared" si="369"/>
        <v>3261215499.8908396</v>
      </c>
      <c r="AQ279" s="161">
        <f t="shared" si="370"/>
        <v>905893.26688557758</v>
      </c>
      <c r="AR279" s="162">
        <f t="shared" si="371"/>
        <v>181178.65337711552</v>
      </c>
      <c r="AS279" s="163">
        <f t="shared" si="372"/>
        <v>25.853118347191142</v>
      </c>
      <c r="AT279" s="164">
        <f t="shared" si="373"/>
        <v>25.853118347191142</v>
      </c>
      <c r="AU279" s="165"/>
      <c r="AV279" s="166"/>
      <c r="AW279" s="167"/>
      <c r="AX279" s="146"/>
      <c r="AY279" s="168"/>
    </row>
    <row r="280" spans="1:51" s="139" customFormat="1" ht="11.25" x14ac:dyDescent="0.2">
      <c r="A280" s="1"/>
      <c r="B280" s="140">
        <v>6</v>
      </c>
      <c r="C280" s="170" t="s">
        <v>312</v>
      </c>
      <c r="D280" s="142"/>
      <c r="E280" s="143"/>
      <c r="F280" s="143"/>
      <c r="G280" s="143"/>
      <c r="H280" s="143"/>
      <c r="I280" s="143"/>
      <c r="J280" s="143"/>
      <c r="K280" s="143"/>
      <c r="L280" s="143"/>
      <c r="M280" s="143"/>
      <c r="N280" s="331">
        <v>374559</v>
      </c>
      <c r="O280" s="331">
        <v>385720</v>
      </c>
      <c r="P280" s="145"/>
      <c r="Q280" s="223">
        <f t="shared" si="355"/>
        <v>385720</v>
      </c>
      <c r="R280" s="147">
        <f>Q280*$R$10</f>
        <v>42429.2</v>
      </c>
      <c r="S280" s="147">
        <f t="shared" si="356"/>
        <v>116.24438356164383</v>
      </c>
      <c r="T280" s="148">
        <f>S280*$T$5*$T$10</f>
        <v>25457.519999999997</v>
      </c>
      <c r="U280" s="199"/>
      <c r="V280" s="150"/>
      <c r="W280" s="151"/>
      <c r="X280" s="151"/>
      <c r="Y280" s="152"/>
      <c r="Z280" s="153"/>
      <c r="AA280" s="153"/>
      <c r="AB280" s="154"/>
      <c r="AC280" s="155">
        <f t="shared" si="357"/>
        <v>14765.361599999997</v>
      </c>
      <c r="AD280" s="156">
        <f t="shared" si="358"/>
        <v>3309.4775999999997</v>
      </c>
      <c r="AE280" s="156">
        <f t="shared" si="359"/>
        <v>2233.8973799999994</v>
      </c>
      <c r="AF280" s="156">
        <f t="shared" si="360"/>
        <v>1018.3007999999999</v>
      </c>
      <c r="AG280" s="156">
        <f t="shared" si="361"/>
        <v>509.15039999999993</v>
      </c>
      <c r="AH280" s="156">
        <f t="shared" si="362"/>
        <v>509.15039999999993</v>
      </c>
      <c r="AI280" s="156">
        <f t="shared" si="363"/>
        <v>254.57519999999997</v>
      </c>
      <c r="AJ280" s="156">
        <f t="shared" si="364"/>
        <v>509.15039999999993</v>
      </c>
      <c r="AK280" s="156">
        <f t="shared" si="365"/>
        <v>509.15039999999993</v>
      </c>
      <c r="AL280" s="156">
        <f t="shared" si="366"/>
        <v>1782.0264</v>
      </c>
      <c r="AM280" s="157">
        <f t="shared" si="367"/>
        <v>7834.551779999998</v>
      </c>
      <c r="AN280" s="158">
        <f t="shared" si="368"/>
        <v>2200</v>
      </c>
      <c r="AO280" s="159">
        <v>0.2</v>
      </c>
      <c r="AP280" s="160">
        <f t="shared" si="369"/>
        <v>208166898.14664474</v>
      </c>
      <c r="AQ280" s="161">
        <f t="shared" si="370"/>
        <v>57824.142999999051</v>
      </c>
      <c r="AR280" s="162">
        <f t="shared" si="371"/>
        <v>11564.828599999812</v>
      </c>
      <c r="AS280" s="163">
        <f t="shared" si="372"/>
        <v>1.6502323915524846</v>
      </c>
      <c r="AT280" s="164">
        <f t="shared" si="373"/>
        <v>1.6502323915524846</v>
      </c>
      <c r="AU280" s="165"/>
      <c r="AV280" s="166"/>
      <c r="AW280" s="167"/>
      <c r="AX280" s="146"/>
      <c r="AY280" s="168"/>
    </row>
    <row r="281" spans="1:51" s="139" customFormat="1" ht="11.25" x14ac:dyDescent="0.2">
      <c r="A281" s="1"/>
      <c r="B281" s="140">
        <v>7</v>
      </c>
      <c r="C281" s="170" t="s">
        <v>313</v>
      </c>
      <c r="D281" s="142"/>
      <c r="E281" s="143"/>
      <c r="F281" s="143"/>
      <c r="G281" s="143"/>
      <c r="H281" s="143"/>
      <c r="I281" s="143"/>
      <c r="J281" s="143"/>
      <c r="K281" s="143"/>
      <c r="L281" s="143"/>
      <c r="M281" s="143"/>
      <c r="N281" s="331">
        <v>557785</v>
      </c>
      <c r="O281" s="331">
        <v>598407</v>
      </c>
      <c r="P281" s="145"/>
      <c r="Q281" s="223">
        <f t="shared" si="355"/>
        <v>598407</v>
      </c>
      <c r="R281" s="147">
        <f>Q281*$R$9</f>
        <v>87367.421999999991</v>
      </c>
      <c r="S281" s="147">
        <f t="shared" si="356"/>
        <v>239.36279999999996</v>
      </c>
      <c r="T281" s="148">
        <f>S281*$T$5*$T$9</f>
        <v>61157.19539999999</v>
      </c>
      <c r="U281" s="199"/>
      <c r="V281" s="150"/>
      <c r="W281" s="151"/>
      <c r="X281" s="151"/>
      <c r="Y281" s="152"/>
      <c r="Z281" s="153"/>
      <c r="AA281" s="153"/>
      <c r="AB281" s="154"/>
      <c r="AC281" s="155">
        <f t="shared" si="357"/>
        <v>35471.173331999991</v>
      </c>
      <c r="AD281" s="156">
        <f t="shared" si="358"/>
        <v>7950.4354019999992</v>
      </c>
      <c r="AE281" s="156">
        <f t="shared" si="359"/>
        <v>5366.5438963499992</v>
      </c>
      <c r="AF281" s="156">
        <f t="shared" si="360"/>
        <v>2446.2878159999996</v>
      </c>
      <c r="AG281" s="156">
        <f t="shared" si="361"/>
        <v>1223.1439079999998</v>
      </c>
      <c r="AH281" s="156">
        <f t="shared" si="362"/>
        <v>1223.1439079999998</v>
      </c>
      <c r="AI281" s="156">
        <f t="shared" si="363"/>
        <v>611.57195399999989</v>
      </c>
      <c r="AJ281" s="156">
        <f t="shared" si="364"/>
        <v>1223.1439079999998</v>
      </c>
      <c r="AK281" s="156">
        <f t="shared" si="365"/>
        <v>1223.1439079999998</v>
      </c>
      <c r="AL281" s="156">
        <f t="shared" si="366"/>
        <v>4281.003678</v>
      </c>
      <c r="AM281" s="157">
        <f t="shared" si="367"/>
        <v>18821.126884349993</v>
      </c>
      <c r="AN281" s="158">
        <f t="shared" si="368"/>
        <v>2200</v>
      </c>
      <c r="AO281" s="159">
        <v>0.2</v>
      </c>
      <c r="AP281" s="160">
        <f t="shared" si="369"/>
        <v>500084205.60079104</v>
      </c>
      <c r="AQ281" s="161">
        <f t="shared" si="370"/>
        <v>138912.29044653542</v>
      </c>
      <c r="AR281" s="162">
        <f t="shared" si="371"/>
        <v>27782.458089307085</v>
      </c>
      <c r="AS281" s="163">
        <f t="shared" si="372"/>
        <v>3.9643918506431342</v>
      </c>
      <c r="AT281" s="164">
        <f t="shared" si="373"/>
        <v>3.9643918506431342</v>
      </c>
      <c r="AU281" s="165"/>
      <c r="AV281" s="166"/>
      <c r="AW281" s="167"/>
      <c r="AX281" s="146"/>
      <c r="AY281" s="168"/>
    </row>
    <row r="282" spans="1:51" s="139" customFormat="1" ht="11.25" x14ac:dyDescent="0.2">
      <c r="A282" s="1"/>
      <c r="B282" s="140">
        <v>8</v>
      </c>
      <c r="C282" s="232" t="s">
        <v>314</v>
      </c>
      <c r="D282" s="142"/>
      <c r="E282" s="143"/>
      <c r="F282" s="143"/>
      <c r="G282" s="143"/>
      <c r="H282" s="143"/>
      <c r="I282" s="143"/>
      <c r="J282" s="143"/>
      <c r="K282" s="143"/>
      <c r="L282" s="143"/>
      <c r="M282" s="143"/>
      <c r="N282" s="331">
        <v>1290322</v>
      </c>
      <c r="O282" s="331">
        <v>1355926</v>
      </c>
      <c r="P282" s="145"/>
      <c r="Q282" s="223">
        <f t="shared" si="355"/>
        <v>1355926</v>
      </c>
      <c r="R282" s="147">
        <f>Q282*$R$8</f>
        <v>222371.864</v>
      </c>
      <c r="S282" s="147">
        <f t="shared" si="356"/>
        <v>609.23798356164389</v>
      </c>
      <c r="T282" s="148">
        <f>S282*$T$5*$T$8</f>
        <v>177897.49120000005</v>
      </c>
      <c r="U282" s="199"/>
      <c r="V282" s="150"/>
      <c r="W282" s="151"/>
      <c r="X282" s="151"/>
      <c r="Y282" s="152"/>
      <c r="Z282" s="153"/>
      <c r="AA282" s="153"/>
      <c r="AB282" s="154"/>
      <c r="AC282" s="155">
        <f t="shared" si="357"/>
        <v>103180.54489600002</v>
      </c>
      <c r="AD282" s="156">
        <f t="shared" si="358"/>
        <v>23126.673856000009</v>
      </c>
      <c r="AE282" s="156">
        <f t="shared" si="359"/>
        <v>15610.504852800002</v>
      </c>
      <c r="AF282" s="156">
        <f t="shared" si="360"/>
        <v>7115.8996480000023</v>
      </c>
      <c r="AG282" s="156">
        <f t="shared" si="361"/>
        <v>3557.9498240000012</v>
      </c>
      <c r="AH282" s="156">
        <f t="shared" si="362"/>
        <v>3557.9498240000012</v>
      </c>
      <c r="AI282" s="156">
        <f t="shared" si="363"/>
        <v>1778.9749120000006</v>
      </c>
      <c r="AJ282" s="156">
        <f t="shared" si="364"/>
        <v>3557.9498240000012</v>
      </c>
      <c r="AK282" s="156">
        <f t="shared" si="365"/>
        <v>3557.9498240000012</v>
      </c>
      <c r="AL282" s="156">
        <f t="shared" si="366"/>
        <v>12452.824384000005</v>
      </c>
      <c r="AM282" s="157">
        <f t="shared" si="367"/>
        <v>54747.952916800023</v>
      </c>
      <c r="AN282" s="158">
        <f t="shared" si="368"/>
        <v>2200</v>
      </c>
      <c r="AO282" s="159">
        <v>0.2</v>
      </c>
      <c r="AP282" s="160">
        <f t="shared" si="369"/>
        <v>1454673076.2137887</v>
      </c>
      <c r="AQ282" s="161">
        <f t="shared" si="370"/>
        <v>404075.88682989858</v>
      </c>
      <c r="AR282" s="162">
        <f t="shared" si="371"/>
        <v>80815.177365979718</v>
      </c>
      <c r="AS282" s="163">
        <f t="shared" si="372"/>
        <v>11.531846085328157</v>
      </c>
      <c r="AT282" s="164">
        <f t="shared" si="373"/>
        <v>11.531846085328157</v>
      </c>
      <c r="AU282" s="165"/>
      <c r="AV282" s="166"/>
      <c r="AW282" s="167"/>
      <c r="AX282" s="146"/>
      <c r="AY282" s="168"/>
    </row>
    <row r="283" spans="1:51" s="190" customFormat="1" ht="16.7" customHeight="1" x14ac:dyDescent="0.25">
      <c r="A283" s="173"/>
      <c r="B283" s="120"/>
      <c r="C283" s="121" t="s">
        <v>315</v>
      </c>
      <c r="D283" s="240">
        <f t="shared" ref="D283:U283" si="374">SUM(D275:D282)</f>
        <v>0</v>
      </c>
      <c r="E283" s="240">
        <f t="shared" si="374"/>
        <v>0</v>
      </c>
      <c r="F283" s="240">
        <f t="shared" si="374"/>
        <v>0</v>
      </c>
      <c r="G283" s="240">
        <f t="shared" si="374"/>
        <v>0</v>
      </c>
      <c r="H283" s="240">
        <f t="shared" si="374"/>
        <v>0</v>
      </c>
      <c r="I283" s="240">
        <f t="shared" si="374"/>
        <v>0</v>
      </c>
      <c r="J283" s="240">
        <f t="shared" si="374"/>
        <v>0</v>
      </c>
      <c r="K283" s="240">
        <f t="shared" si="374"/>
        <v>0</v>
      </c>
      <c r="L283" s="240">
        <f t="shared" si="374"/>
        <v>0</v>
      </c>
      <c r="M283" s="240">
        <f t="shared" si="374"/>
        <v>0</v>
      </c>
      <c r="N283" s="240">
        <f t="shared" si="374"/>
        <v>10612166</v>
      </c>
      <c r="O283" s="240">
        <f t="shared" si="374"/>
        <v>11005518</v>
      </c>
      <c r="P283" s="240">
        <f t="shared" si="374"/>
        <v>0</v>
      </c>
      <c r="Q283" s="240">
        <f t="shared" si="374"/>
        <v>11005518</v>
      </c>
      <c r="R283" s="240">
        <f t="shared" si="374"/>
        <v>2125914.091</v>
      </c>
      <c r="S283" s="240">
        <f t="shared" si="374"/>
        <v>5824.4221671232881</v>
      </c>
      <c r="T283" s="240">
        <f t="shared" si="374"/>
        <v>1797985.9711000002</v>
      </c>
      <c r="U283" s="199">
        <f t="shared" si="374"/>
        <v>0</v>
      </c>
      <c r="V283" s="241"/>
      <c r="W283" s="242">
        <f>SUM(W275:W282)</f>
        <v>0</v>
      </c>
      <c r="X283" s="242">
        <f>SUM(X275:X282)</f>
        <v>0</v>
      </c>
      <c r="Y283" s="242">
        <f>SUM(Y275:Y282)</f>
        <v>0</v>
      </c>
      <c r="Z283" s="199"/>
      <c r="AA283" s="199"/>
      <c r="AB283" s="243"/>
      <c r="AC283" s="240">
        <f t="shared" ref="AC283:AM283" si="375">SUM(AC275:AC282)</f>
        <v>1042831.8632380002</v>
      </c>
      <c r="AD283" s="244">
        <f t="shared" si="375"/>
        <v>233738.17624300002</v>
      </c>
      <c r="AE283" s="244">
        <f t="shared" si="375"/>
        <v>157773.26896402499</v>
      </c>
      <c r="AF283" s="244">
        <f t="shared" si="375"/>
        <v>71919.438844000004</v>
      </c>
      <c r="AG283" s="244">
        <f t="shared" si="375"/>
        <v>35959.719422000002</v>
      </c>
      <c r="AH283" s="244">
        <f t="shared" si="375"/>
        <v>35959.719422000002</v>
      </c>
      <c r="AI283" s="244">
        <f t="shared" si="375"/>
        <v>17979.859711000001</v>
      </c>
      <c r="AJ283" s="244">
        <f t="shared" si="375"/>
        <v>35959.719422000002</v>
      </c>
      <c r="AK283" s="244">
        <f t="shared" si="375"/>
        <v>35959.719422000002</v>
      </c>
      <c r="AL283" s="244">
        <f t="shared" si="375"/>
        <v>125859.01797700002</v>
      </c>
      <c r="AM283" s="245">
        <f t="shared" si="375"/>
        <v>553330.18260602502</v>
      </c>
      <c r="AN283" s="158"/>
      <c r="AO283" s="183"/>
      <c r="AP283" s="184">
        <f>SUM(AP275:AP282)</f>
        <v>14702184757.787481</v>
      </c>
      <c r="AQ283" s="184">
        <f>SUM(AQ275:AQ282)</f>
        <v>4083940.5372117395</v>
      </c>
      <c r="AR283" s="184">
        <f>SUM(AR275:AR282)</f>
        <v>816788.1074423478</v>
      </c>
      <c r="AS283" s="185">
        <f>SUM(AS275:AS282)</f>
        <v>116.55081441814325</v>
      </c>
      <c r="AT283" s="186">
        <f>SUM(AT275:AT282)</f>
        <v>116.55081441814325</v>
      </c>
      <c r="AU283" s="187"/>
      <c r="AV283" s="246">
        <f>SUM(AV279:AV282)</f>
        <v>0</v>
      </c>
      <c r="AW283" s="246"/>
      <c r="AX283" s="185">
        <f>SUM(AX279:AX282)</f>
        <v>0</v>
      </c>
      <c r="AY283" s="189"/>
    </row>
    <row r="285" spans="1:51" s="139" customFormat="1" ht="15" customHeight="1" x14ac:dyDescent="0.25">
      <c r="A285" s="1"/>
      <c r="B285" s="120"/>
      <c r="C285" s="121" t="s">
        <v>316</v>
      </c>
      <c r="D285" s="122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213"/>
      <c r="Q285" s="76"/>
      <c r="R285" s="108"/>
      <c r="S285" s="108"/>
      <c r="T285" s="94"/>
      <c r="U285" s="199"/>
      <c r="V285" s="179"/>
      <c r="W285" s="180"/>
      <c r="X285" s="180"/>
      <c r="Y285" s="214"/>
      <c r="Z285" s="181"/>
      <c r="AA285" s="181"/>
      <c r="AB285" s="182"/>
      <c r="AC285" s="62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125"/>
      <c r="AN285" s="75"/>
      <c r="AO285" s="216"/>
      <c r="AP285" s="75"/>
      <c r="AQ285" s="51"/>
      <c r="AR285" s="217"/>
      <c r="AS285" s="218"/>
      <c r="AT285" s="219"/>
      <c r="AU285" s="220"/>
      <c r="AV285" s="135"/>
      <c r="AW285" s="136"/>
      <c r="AX285" s="137"/>
      <c r="AY285" s="138"/>
    </row>
    <row r="286" spans="1:51" s="139" customFormat="1" ht="11.25" x14ac:dyDescent="0.25">
      <c r="A286" s="1"/>
      <c r="B286" s="140">
        <v>1</v>
      </c>
      <c r="C286" s="333" t="s">
        <v>317</v>
      </c>
      <c r="D286" s="142"/>
      <c r="E286" s="143"/>
      <c r="F286" s="143"/>
      <c r="G286" s="143"/>
      <c r="H286" s="143"/>
      <c r="I286" s="143"/>
      <c r="J286" s="143"/>
      <c r="K286" s="143"/>
      <c r="L286" s="143"/>
      <c r="M286" s="143"/>
      <c r="N286" s="222"/>
      <c r="O286" s="222">
        <v>4862121</v>
      </c>
      <c r="P286" s="145"/>
      <c r="Q286" s="223">
        <f t="shared" ref="Q286:Q311" si="376">MAX(D286:P286)</f>
        <v>4862121</v>
      </c>
      <c r="R286" s="147">
        <f t="shared" ref="R286:R292" si="377">Q286*$R$7</f>
        <v>1152322.6769999999</v>
      </c>
      <c r="S286" s="147">
        <f t="shared" ref="S286:S311" si="378">R286/$S$5</f>
        <v>3157.0484301369861</v>
      </c>
      <c r="T286" s="148">
        <f t="shared" ref="T286:T292" si="379">S286*$T$5*$T$7</f>
        <v>1037090.4092999999</v>
      </c>
      <c r="U286" s="199"/>
      <c r="V286" s="150"/>
      <c r="W286" s="151"/>
      <c r="X286" s="151"/>
      <c r="Y286" s="152"/>
      <c r="Z286" s="153"/>
      <c r="AA286" s="153"/>
      <c r="AB286" s="154"/>
      <c r="AC286" s="155">
        <f t="shared" ref="AC286:AC311" si="380">T286*$AC$5</f>
        <v>601512.43739399989</v>
      </c>
      <c r="AD286" s="156">
        <f t="shared" ref="AD286:AD311" si="381">T286*$AD$5</f>
        <v>134821.75320899999</v>
      </c>
      <c r="AE286" s="156">
        <f t="shared" ref="AE286:AE311" si="382">T286*$AE$5</f>
        <v>91004.683416074986</v>
      </c>
      <c r="AF286" s="156">
        <f t="shared" ref="AF286:AF311" si="383">T286*$AF$5</f>
        <v>41483.616371999997</v>
      </c>
      <c r="AG286" s="156">
        <f t="shared" ref="AG286:AG311" si="384">T286*$AG$5</f>
        <v>20741.808185999998</v>
      </c>
      <c r="AH286" s="156">
        <f t="shared" ref="AH286:AH311" si="385">T286*$AH$5</f>
        <v>20741.808185999998</v>
      </c>
      <c r="AI286" s="156">
        <f t="shared" ref="AI286:AI311" si="386">T286*$AI$5</f>
        <v>10370.904092999999</v>
      </c>
      <c r="AJ286" s="156">
        <f t="shared" ref="AJ286:AJ311" si="387">T286*$AJ$5</f>
        <v>20741.808185999998</v>
      </c>
      <c r="AK286" s="156">
        <f t="shared" ref="AK286:AK311" si="388">T286*$AK$5</f>
        <v>20741.808185999998</v>
      </c>
      <c r="AL286" s="156">
        <f t="shared" ref="AL286:AL311" si="389">T286*$AL$5</f>
        <v>72596.328651000003</v>
      </c>
      <c r="AM286" s="157">
        <f t="shared" ref="AM286:AM311" si="390">SUM(AD286:AI286)</f>
        <v>319164.57346207491</v>
      </c>
      <c r="AN286" s="158">
        <f t="shared" ref="AN286:AN311" si="391">$AN$5</f>
        <v>2200</v>
      </c>
      <c r="AO286" s="159">
        <v>0.2</v>
      </c>
      <c r="AP286" s="160">
        <f t="shared" ref="AP286:AP311" si="392">(AC286+AM286)*AN286*$AP$5</f>
        <v>8480319119.9148703</v>
      </c>
      <c r="AQ286" s="161">
        <f t="shared" ref="AQ286:AQ311" si="393">AP286*$AQ$5</f>
        <v>2355644.388427889</v>
      </c>
      <c r="AR286" s="162">
        <f t="shared" ref="AR286:AR311" si="394">AQ286*$AR$5</f>
        <v>471128.87768557784</v>
      </c>
      <c r="AS286" s="163">
        <f t="shared" ref="AS286:AS311" si="395">AR286/$AS$5</f>
        <v>67.227294190293648</v>
      </c>
      <c r="AT286" s="164">
        <f t="shared" ref="AT286:AT311" si="396">AS286</f>
        <v>67.227294190293648</v>
      </c>
      <c r="AU286" s="165"/>
      <c r="AV286" s="166"/>
      <c r="AW286" s="167"/>
      <c r="AX286" s="146"/>
      <c r="AY286" s="168"/>
    </row>
    <row r="287" spans="1:51" s="139" customFormat="1" ht="11.25" x14ac:dyDescent="0.25">
      <c r="A287" s="1"/>
      <c r="B287" s="140">
        <v>2</v>
      </c>
      <c r="C287" s="333" t="s">
        <v>318</v>
      </c>
      <c r="D287" s="142"/>
      <c r="E287" s="143"/>
      <c r="F287" s="143"/>
      <c r="G287" s="143"/>
      <c r="H287" s="143"/>
      <c r="I287" s="143"/>
      <c r="J287" s="143"/>
      <c r="K287" s="143"/>
      <c r="L287" s="143"/>
      <c r="M287" s="143"/>
      <c r="N287" s="222"/>
      <c r="O287" s="222">
        <v>2385663</v>
      </c>
      <c r="P287" s="145"/>
      <c r="Q287" s="223">
        <f t="shared" si="376"/>
        <v>2385663</v>
      </c>
      <c r="R287" s="147">
        <f t="shared" si="377"/>
        <v>565402.13099999994</v>
      </c>
      <c r="S287" s="147">
        <f t="shared" si="378"/>
        <v>1549.0469342465751</v>
      </c>
      <c r="T287" s="148">
        <f t="shared" si="379"/>
        <v>508861.91789999994</v>
      </c>
      <c r="U287" s="199"/>
      <c r="V287" s="150"/>
      <c r="W287" s="151"/>
      <c r="X287" s="151"/>
      <c r="Y287" s="152"/>
      <c r="Z287" s="153"/>
      <c r="AA287" s="153"/>
      <c r="AB287" s="154"/>
      <c r="AC287" s="155">
        <f t="shared" si="380"/>
        <v>295139.91238199995</v>
      </c>
      <c r="AD287" s="156">
        <f t="shared" si="381"/>
        <v>66152.049327000001</v>
      </c>
      <c r="AE287" s="156">
        <f t="shared" si="382"/>
        <v>44652.633295724991</v>
      </c>
      <c r="AF287" s="156">
        <f t="shared" si="383"/>
        <v>20354.476715999997</v>
      </c>
      <c r="AG287" s="156">
        <f t="shared" si="384"/>
        <v>10177.238357999999</v>
      </c>
      <c r="AH287" s="156">
        <f t="shared" si="385"/>
        <v>10177.238357999999</v>
      </c>
      <c r="AI287" s="156">
        <f t="shared" si="386"/>
        <v>5088.6191789999993</v>
      </c>
      <c r="AJ287" s="156">
        <f t="shared" si="387"/>
        <v>10177.238357999999</v>
      </c>
      <c r="AK287" s="156">
        <f t="shared" si="388"/>
        <v>10177.238357999999</v>
      </c>
      <c r="AL287" s="156">
        <f t="shared" si="389"/>
        <v>35620.334253000001</v>
      </c>
      <c r="AM287" s="157">
        <f t="shared" si="390"/>
        <v>156602.25523372501</v>
      </c>
      <c r="AN287" s="158">
        <f t="shared" si="391"/>
        <v>2200</v>
      </c>
      <c r="AO287" s="159">
        <v>0.2</v>
      </c>
      <c r="AP287" s="160">
        <f t="shared" si="392"/>
        <v>4160979036.2217379</v>
      </c>
      <c r="AQ287" s="161">
        <f t="shared" si="393"/>
        <v>1155827.6025277947</v>
      </c>
      <c r="AR287" s="162">
        <f t="shared" si="394"/>
        <v>231165.52050555893</v>
      </c>
      <c r="AS287" s="163">
        <f t="shared" si="395"/>
        <v>32.985947560724732</v>
      </c>
      <c r="AT287" s="164">
        <f t="shared" si="396"/>
        <v>32.985947560724732</v>
      </c>
      <c r="AU287" s="165"/>
      <c r="AV287" s="166"/>
      <c r="AW287" s="167"/>
      <c r="AX287" s="146"/>
      <c r="AY287" s="168"/>
    </row>
    <row r="288" spans="1:51" s="139" customFormat="1" ht="11.25" x14ac:dyDescent="0.25">
      <c r="A288" s="1"/>
      <c r="B288" s="140">
        <v>3</v>
      </c>
      <c r="C288" s="333" t="s">
        <v>319</v>
      </c>
      <c r="D288" s="142"/>
      <c r="E288" s="143"/>
      <c r="F288" s="143"/>
      <c r="G288" s="143"/>
      <c r="H288" s="143"/>
      <c r="I288" s="143"/>
      <c r="J288" s="143"/>
      <c r="K288" s="143"/>
      <c r="L288" s="143"/>
      <c r="M288" s="143"/>
      <c r="N288" s="222"/>
      <c r="O288" s="222">
        <v>2212318</v>
      </c>
      <c r="P288" s="145"/>
      <c r="Q288" s="223">
        <f t="shared" si="376"/>
        <v>2212318</v>
      </c>
      <c r="R288" s="147">
        <f t="shared" si="377"/>
        <v>524319.36599999992</v>
      </c>
      <c r="S288" s="147">
        <f t="shared" si="378"/>
        <v>1436.4914136986299</v>
      </c>
      <c r="T288" s="148">
        <f t="shared" si="379"/>
        <v>471887.42939999996</v>
      </c>
      <c r="U288" s="199"/>
      <c r="V288" s="150"/>
      <c r="W288" s="151"/>
      <c r="X288" s="151"/>
      <c r="Y288" s="152"/>
      <c r="Z288" s="153"/>
      <c r="AA288" s="153"/>
      <c r="AB288" s="154"/>
      <c r="AC288" s="155">
        <f t="shared" si="380"/>
        <v>273694.70905199996</v>
      </c>
      <c r="AD288" s="156">
        <f t="shared" si="381"/>
        <v>61345.365822</v>
      </c>
      <c r="AE288" s="156">
        <f t="shared" si="382"/>
        <v>41408.121929849993</v>
      </c>
      <c r="AF288" s="156">
        <f t="shared" si="383"/>
        <v>18875.497176000001</v>
      </c>
      <c r="AG288" s="156">
        <f t="shared" si="384"/>
        <v>9437.7485880000004</v>
      </c>
      <c r="AH288" s="156">
        <f t="shared" si="385"/>
        <v>9437.7485880000004</v>
      </c>
      <c r="AI288" s="156">
        <f t="shared" si="386"/>
        <v>4718.8742940000002</v>
      </c>
      <c r="AJ288" s="156">
        <f t="shared" si="387"/>
        <v>9437.7485880000004</v>
      </c>
      <c r="AK288" s="156">
        <f t="shared" si="388"/>
        <v>9437.7485880000004</v>
      </c>
      <c r="AL288" s="156">
        <f t="shared" si="389"/>
        <v>33032.120058</v>
      </c>
      <c r="AM288" s="157">
        <f t="shared" si="390"/>
        <v>145223.35639785</v>
      </c>
      <c r="AN288" s="158">
        <f t="shared" si="391"/>
        <v>2200</v>
      </c>
      <c r="AO288" s="159">
        <v>0.2</v>
      </c>
      <c r="AP288" s="160">
        <f t="shared" si="392"/>
        <v>3858637544.1359496</v>
      </c>
      <c r="AQ288" s="161">
        <f t="shared" si="393"/>
        <v>1071843.8480074869</v>
      </c>
      <c r="AR288" s="162">
        <f t="shared" si="394"/>
        <v>214368.76960149739</v>
      </c>
      <c r="AS288" s="163">
        <f t="shared" si="395"/>
        <v>30.589150913455679</v>
      </c>
      <c r="AT288" s="164">
        <f t="shared" si="396"/>
        <v>30.589150913455679</v>
      </c>
      <c r="AU288" s="165"/>
      <c r="AV288" s="166"/>
      <c r="AW288" s="167"/>
      <c r="AX288" s="146"/>
      <c r="AY288" s="168"/>
    </row>
    <row r="289" spans="1:51" s="139" customFormat="1" ht="11.25" x14ac:dyDescent="0.25">
      <c r="A289" s="1"/>
      <c r="B289" s="140">
        <v>4</v>
      </c>
      <c r="C289" s="333" t="s">
        <v>320</v>
      </c>
      <c r="D289" s="142"/>
      <c r="E289" s="143"/>
      <c r="F289" s="143"/>
      <c r="G289" s="143"/>
      <c r="H289" s="143"/>
      <c r="I289" s="143"/>
      <c r="J289" s="143"/>
      <c r="K289" s="143"/>
      <c r="L289" s="143"/>
      <c r="M289" s="143"/>
      <c r="N289" s="222"/>
      <c r="O289" s="222">
        <v>3238617</v>
      </c>
      <c r="P289" s="145"/>
      <c r="Q289" s="223">
        <f t="shared" si="376"/>
        <v>3238617</v>
      </c>
      <c r="R289" s="147">
        <f t="shared" si="377"/>
        <v>767552.22899999993</v>
      </c>
      <c r="S289" s="147">
        <f t="shared" si="378"/>
        <v>2102.8828191780822</v>
      </c>
      <c r="T289" s="148">
        <f t="shared" si="379"/>
        <v>690797.00610000012</v>
      </c>
      <c r="U289" s="199"/>
      <c r="V289" s="150"/>
      <c r="W289" s="151"/>
      <c r="X289" s="151"/>
      <c r="Y289" s="152"/>
      <c r="Z289" s="153"/>
      <c r="AA289" s="153"/>
      <c r="AB289" s="154"/>
      <c r="AC289" s="155">
        <f t="shared" si="380"/>
        <v>400662.26353800006</v>
      </c>
      <c r="AD289" s="156">
        <f t="shared" si="381"/>
        <v>89803.610793000014</v>
      </c>
      <c r="AE289" s="156">
        <f t="shared" si="382"/>
        <v>60617.437285275009</v>
      </c>
      <c r="AF289" s="156">
        <f t="shared" si="383"/>
        <v>27631.880244000004</v>
      </c>
      <c r="AG289" s="156">
        <f t="shared" si="384"/>
        <v>13815.940122000002</v>
      </c>
      <c r="AH289" s="156">
        <f t="shared" si="385"/>
        <v>13815.940122000002</v>
      </c>
      <c r="AI289" s="156">
        <f t="shared" si="386"/>
        <v>6907.9700610000009</v>
      </c>
      <c r="AJ289" s="156">
        <f t="shared" si="387"/>
        <v>13815.940122000002</v>
      </c>
      <c r="AK289" s="156">
        <f t="shared" si="388"/>
        <v>13815.940122000002</v>
      </c>
      <c r="AL289" s="156">
        <f t="shared" si="389"/>
        <v>48355.790427000014</v>
      </c>
      <c r="AM289" s="157">
        <f t="shared" si="390"/>
        <v>212592.77862727502</v>
      </c>
      <c r="AN289" s="158">
        <f t="shared" si="391"/>
        <v>2200</v>
      </c>
      <c r="AO289" s="159">
        <v>0.2</v>
      </c>
      <c r="AP289" s="160">
        <f t="shared" si="392"/>
        <v>5648667663.182662</v>
      </c>
      <c r="AQ289" s="161">
        <f t="shared" si="393"/>
        <v>1569074.4764100208</v>
      </c>
      <c r="AR289" s="162">
        <f t="shared" si="394"/>
        <v>313814.8952820042</v>
      </c>
      <c r="AS289" s="163">
        <f t="shared" si="395"/>
        <v>44.77952272859649</v>
      </c>
      <c r="AT289" s="164">
        <f t="shared" si="396"/>
        <v>44.77952272859649</v>
      </c>
      <c r="AU289" s="165"/>
      <c r="AV289" s="166"/>
      <c r="AW289" s="167"/>
      <c r="AX289" s="146"/>
      <c r="AY289" s="168"/>
    </row>
    <row r="290" spans="1:51" s="139" customFormat="1" ht="11.25" x14ac:dyDescent="0.25">
      <c r="A290" s="1"/>
      <c r="B290" s="140">
        <v>5</v>
      </c>
      <c r="C290" s="333" t="s">
        <v>321</v>
      </c>
      <c r="D290" s="142"/>
      <c r="E290" s="143"/>
      <c r="F290" s="143"/>
      <c r="G290" s="143"/>
      <c r="H290" s="143"/>
      <c r="I290" s="143"/>
      <c r="J290" s="143"/>
      <c r="K290" s="143"/>
      <c r="L290" s="143"/>
      <c r="M290" s="143"/>
      <c r="N290" s="222"/>
      <c r="O290" s="222">
        <v>2449559</v>
      </c>
      <c r="P290" s="145"/>
      <c r="Q290" s="223">
        <f t="shared" si="376"/>
        <v>2449559</v>
      </c>
      <c r="R290" s="147">
        <f t="shared" si="377"/>
        <v>580545.48300000001</v>
      </c>
      <c r="S290" s="147">
        <f t="shared" si="378"/>
        <v>1590.5355698630137</v>
      </c>
      <c r="T290" s="148">
        <f t="shared" si="379"/>
        <v>522490.93470000004</v>
      </c>
      <c r="U290" s="199"/>
      <c r="V290" s="150"/>
      <c r="W290" s="151"/>
      <c r="X290" s="151"/>
      <c r="Y290" s="152"/>
      <c r="Z290" s="153"/>
      <c r="AA290" s="153"/>
      <c r="AB290" s="154"/>
      <c r="AC290" s="155">
        <f t="shared" si="380"/>
        <v>303044.742126</v>
      </c>
      <c r="AD290" s="156">
        <f t="shared" si="381"/>
        <v>67923.821511000002</v>
      </c>
      <c r="AE290" s="156">
        <f t="shared" si="382"/>
        <v>45848.579519924999</v>
      </c>
      <c r="AF290" s="156">
        <f t="shared" si="383"/>
        <v>20899.637388000003</v>
      </c>
      <c r="AG290" s="156">
        <f t="shared" si="384"/>
        <v>10449.818694000001</v>
      </c>
      <c r="AH290" s="156">
        <f t="shared" si="385"/>
        <v>10449.818694000001</v>
      </c>
      <c r="AI290" s="156">
        <f t="shared" si="386"/>
        <v>5224.9093470000007</v>
      </c>
      <c r="AJ290" s="156">
        <f t="shared" si="387"/>
        <v>10449.818694000001</v>
      </c>
      <c r="AK290" s="156">
        <f t="shared" si="388"/>
        <v>10449.818694000001</v>
      </c>
      <c r="AL290" s="156">
        <f t="shared" si="389"/>
        <v>36574.365429000005</v>
      </c>
      <c r="AM290" s="157">
        <f t="shared" si="390"/>
        <v>160796.58515392506</v>
      </c>
      <c r="AN290" s="158">
        <f t="shared" si="391"/>
        <v>2200</v>
      </c>
      <c r="AO290" s="159">
        <v>0.2</v>
      </c>
      <c r="AP290" s="160">
        <f t="shared" si="392"/>
        <v>4272423911.9222984</v>
      </c>
      <c r="AQ290" s="161">
        <f t="shared" si="393"/>
        <v>1186784.5149211697</v>
      </c>
      <c r="AR290" s="162">
        <f t="shared" si="394"/>
        <v>237356.90298423395</v>
      </c>
      <c r="AS290" s="163">
        <f t="shared" si="395"/>
        <v>33.869421087932928</v>
      </c>
      <c r="AT290" s="164">
        <f t="shared" si="396"/>
        <v>33.869421087932928</v>
      </c>
      <c r="AU290" s="165"/>
      <c r="AV290" s="166"/>
      <c r="AW290" s="167"/>
      <c r="AX290" s="146"/>
      <c r="AY290" s="168"/>
    </row>
    <row r="291" spans="1:51" s="139" customFormat="1" ht="11.25" x14ac:dyDescent="0.25">
      <c r="A291" s="1"/>
      <c r="B291" s="140">
        <v>6</v>
      </c>
      <c r="C291" s="333" t="s">
        <v>322</v>
      </c>
      <c r="D291" s="142"/>
      <c r="E291" s="143"/>
      <c r="F291" s="143"/>
      <c r="G291" s="143"/>
      <c r="H291" s="143"/>
      <c r="I291" s="143"/>
      <c r="J291" s="143"/>
      <c r="K291" s="143"/>
      <c r="L291" s="143"/>
      <c r="M291" s="143"/>
      <c r="N291" s="222"/>
      <c r="O291" s="222">
        <v>1707344</v>
      </c>
      <c r="P291" s="145"/>
      <c r="Q291" s="223">
        <f t="shared" si="376"/>
        <v>1707344</v>
      </c>
      <c r="R291" s="147">
        <f t="shared" si="377"/>
        <v>404640.52799999999</v>
      </c>
      <c r="S291" s="147">
        <f t="shared" si="378"/>
        <v>1108.6041863013697</v>
      </c>
      <c r="T291" s="148">
        <f t="shared" si="379"/>
        <v>364176.47519999993</v>
      </c>
      <c r="U291" s="199"/>
      <c r="V291" s="150"/>
      <c r="W291" s="151"/>
      <c r="X291" s="151"/>
      <c r="Y291" s="152"/>
      <c r="Z291" s="153"/>
      <c r="AA291" s="153"/>
      <c r="AB291" s="154"/>
      <c r="AC291" s="155">
        <f t="shared" si="380"/>
        <v>211222.35561599996</v>
      </c>
      <c r="AD291" s="156">
        <f t="shared" si="381"/>
        <v>47342.941775999992</v>
      </c>
      <c r="AE291" s="156">
        <f t="shared" si="382"/>
        <v>31956.485698799992</v>
      </c>
      <c r="AF291" s="156">
        <f t="shared" si="383"/>
        <v>14567.059007999997</v>
      </c>
      <c r="AG291" s="156">
        <f t="shared" si="384"/>
        <v>7283.5295039999983</v>
      </c>
      <c r="AH291" s="156">
        <f t="shared" si="385"/>
        <v>7283.5295039999983</v>
      </c>
      <c r="AI291" s="156">
        <f t="shared" si="386"/>
        <v>3641.7647519999991</v>
      </c>
      <c r="AJ291" s="156">
        <f t="shared" si="387"/>
        <v>7283.5295039999983</v>
      </c>
      <c r="AK291" s="156">
        <f t="shared" si="388"/>
        <v>7283.5295039999983</v>
      </c>
      <c r="AL291" s="156">
        <f t="shared" si="389"/>
        <v>25492.353263999998</v>
      </c>
      <c r="AM291" s="157">
        <f t="shared" si="390"/>
        <v>112075.3102428</v>
      </c>
      <c r="AN291" s="158">
        <f t="shared" si="391"/>
        <v>2200</v>
      </c>
      <c r="AO291" s="159">
        <v>0.2</v>
      </c>
      <c r="AP291" s="160">
        <f t="shared" si="392"/>
        <v>2977881868.3187718</v>
      </c>
      <c r="AQ291" s="161">
        <f t="shared" si="393"/>
        <v>827189.47404147813</v>
      </c>
      <c r="AR291" s="162">
        <f t="shared" si="394"/>
        <v>165437.89480829565</v>
      </c>
      <c r="AS291" s="163">
        <f t="shared" si="395"/>
        <v>23.60700553771342</v>
      </c>
      <c r="AT291" s="164">
        <f t="shared" si="396"/>
        <v>23.60700553771342</v>
      </c>
      <c r="AU291" s="165"/>
      <c r="AV291" s="166"/>
      <c r="AW291" s="167"/>
      <c r="AX291" s="146"/>
      <c r="AY291" s="168"/>
    </row>
    <row r="292" spans="1:51" s="139" customFormat="1" ht="11.25" x14ac:dyDescent="0.25">
      <c r="A292" s="1"/>
      <c r="B292" s="140">
        <v>7</v>
      </c>
      <c r="C292" s="333" t="s">
        <v>323</v>
      </c>
      <c r="D292" s="142"/>
      <c r="E292" s="143"/>
      <c r="F292" s="143"/>
      <c r="G292" s="143"/>
      <c r="H292" s="143"/>
      <c r="I292" s="143"/>
      <c r="J292" s="143"/>
      <c r="K292" s="143"/>
      <c r="L292" s="143"/>
      <c r="M292" s="143"/>
      <c r="N292" s="222"/>
      <c r="O292" s="222">
        <v>1561468</v>
      </c>
      <c r="P292" s="145"/>
      <c r="Q292" s="223">
        <f t="shared" si="376"/>
        <v>1561468</v>
      </c>
      <c r="R292" s="147">
        <f t="shared" si="377"/>
        <v>370067.91599999997</v>
      </c>
      <c r="S292" s="147">
        <f t="shared" si="378"/>
        <v>1013.8847013698629</v>
      </c>
      <c r="T292" s="148">
        <f t="shared" si="379"/>
        <v>333061.12439999997</v>
      </c>
      <c r="U292" s="199"/>
      <c r="V292" s="150"/>
      <c r="W292" s="151"/>
      <c r="X292" s="151"/>
      <c r="Y292" s="152"/>
      <c r="Z292" s="153"/>
      <c r="AA292" s="153"/>
      <c r="AB292" s="154"/>
      <c r="AC292" s="155">
        <f t="shared" si="380"/>
        <v>193175.45215199998</v>
      </c>
      <c r="AD292" s="156">
        <f t="shared" si="381"/>
        <v>43297.946171999996</v>
      </c>
      <c r="AE292" s="156">
        <f t="shared" si="382"/>
        <v>29226.113666099995</v>
      </c>
      <c r="AF292" s="156">
        <f t="shared" si="383"/>
        <v>13322.444975999999</v>
      </c>
      <c r="AG292" s="156">
        <f t="shared" si="384"/>
        <v>6661.2224879999994</v>
      </c>
      <c r="AH292" s="156">
        <f t="shared" si="385"/>
        <v>6661.2224879999994</v>
      </c>
      <c r="AI292" s="156">
        <f t="shared" si="386"/>
        <v>3330.6112439999997</v>
      </c>
      <c r="AJ292" s="156">
        <f t="shared" si="387"/>
        <v>6661.2224879999994</v>
      </c>
      <c r="AK292" s="156">
        <f t="shared" si="388"/>
        <v>6661.2224879999994</v>
      </c>
      <c r="AL292" s="156">
        <f t="shared" si="389"/>
        <v>23314.278708000002</v>
      </c>
      <c r="AM292" s="157">
        <f t="shared" si="390"/>
        <v>102499.56103409998</v>
      </c>
      <c r="AN292" s="158">
        <f t="shared" si="391"/>
        <v>2200</v>
      </c>
      <c r="AO292" s="159">
        <v>0.2</v>
      </c>
      <c r="AP292" s="160">
        <f t="shared" si="392"/>
        <v>2723450719.4566393</v>
      </c>
      <c r="AQ292" s="161">
        <f t="shared" si="393"/>
        <v>756514.14925908239</v>
      </c>
      <c r="AR292" s="162">
        <f t="shared" si="394"/>
        <v>151302.8298518165</v>
      </c>
      <c r="AS292" s="163">
        <f t="shared" si="395"/>
        <v>21.590015675202125</v>
      </c>
      <c r="AT292" s="164">
        <f t="shared" si="396"/>
        <v>21.590015675202125</v>
      </c>
      <c r="AU292" s="165"/>
      <c r="AV292" s="166"/>
      <c r="AW292" s="167"/>
      <c r="AX292" s="146"/>
      <c r="AY292" s="168"/>
    </row>
    <row r="293" spans="1:51" s="139" customFormat="1" ht="11.25" x14ac:dyDescent="0.25">
      <c r="A293" s="1"/>
      <c r="B293" s="140">
        <v>8</v>
      </c>
      <c r="C293" s="333" t="s">
        <v>324</v>
      </c>
      <c r="D293" s="142"/>
      <c r="E293" s="143"/>
      <c r="F293" s="143"/>
      <c r="G293" s="143"/>
      <c r="H293" s="143"/>
      <c r="I293" s="143"/>
      <c r="J293" s="143"/>
      <c r="K293" s="143"/>
      <c r="L293" s="143"/>
      <c r="M293" s="143"/>
      <c r="N293" s="222"/>
      <c r="O293" s="222">
        <v>1055162</v>
      </c>
      <c r="P293" s="145"/>
      <c r="Q293" s="223">
        <f t="shared" si="376"/>
        <v>1055162</v>
      </c>
      <c r="R293" s="147">
        <f>Q293*$R$8</f>
        <v>173046.568</v>
      </c>
      <c r="S293" s="147">
        <f t="shared" si="378"/>
        <v>474.10018630136989</v>
      </c>
      <c r="T293" s="148">
        <f>S293*$T$5*$T$8</f>
        <v>138437.25440000001</v>
      </c>
      <c r="U293" s="199"/>
      <c r="V293" s="150"/>
      <c r="W293" s="151"/>
      <c r="X293" s="151"/>
      <c r="Y293" s="152"/>
      <c r="Z293" s="153"/>
      <c r="AA293" s="153"/>
      <c r="AB293" s="154"/>
      <c r="AC293" s="155">
        <f t="shared" si="380"/>
        <v>80293.607552000001</v>
      </c>
      <c r="AD293" s="156">
        <f t="shared" si="381"/>
        <v>17996.843072</v>
      </c>
      <c r="AE293" s="156">
        <f t="shared" si="382"/>
        <v>12147.869073599999</v>
      </c>
      <c r="AF293" s="156">
        <f t="shared" si="383"/>
        <v>5537.4901760000002</v>
      </c>
      <c r="AG293" s="156">
        <f t="shared" si="384"/>
        <v>2768.7450880000001</v>
      </c>
      <c r="AH293" s="156">
        <f t="shared" si="385"/>
        <v>2768.7450880000001</v>
      </c>
      <c r="AI293" s="156">
        <f t="shared" si="386"/>
        <v>1384.3725440000001</v>
      </c>
      <c r="AJ293" s="156">
        <f t="shared" si="387"/>
        <v>2768.7450880000001</v>
      </c>
      <c r="AK293" s="156">
        <f t="shared" si="388"/>
        <v>2768.7450880000001</v>
      </c>
      <c r="AL293" s="156">
        <f t="shared" si="389"/>
        <v>9690.6078080000007</v>
      </c>
      <c r="AM293" s="157">
        <f t="shared" si="390"/>
        <v>42604.065041600006</v>
      </c>
      <c r="AN293" s="158">
        <f t="shared" si="391"/>
        <v>2200</v>
      </c>
      <c r="AO293" s="159">
        <v>0.2</v>
      </c>
      <c r="AP293" s="160">
        <f t="shared" si="392"/>
        <v>1132005546.3527458</v>
      </c>
      <c r="AQ293" s="161">
        <f t="shared" si="393"/>
        <v>314446.01025366376</v>
      </c>
      <c r="AR293" s="162">
        <f t="shared" si="394"/>
        <v>62889.202050732754</v>
      </c>
      <c r="AS293" s="163">
        <f t="shared" si="395"/>
        <v>8.9739158177415455</v>
      </c>
      <c r="AT293" s="164">
        <f t="shared" si="396"/>
        <v>8.9739158177415455</v>
      </c>
      <c r="AU293" s="165"/>
      <c r="AV293" s="166"/>
      <c r="AW293" s="167"/>
      <c r="AX293" s="146"/>
      <c r="AY293" s="168"/>
    </row>
    <row r="294" spans="1:51" s="139" customFormat="1" ht="11.25" x14ac:dyDescent="0.25">
      <c r="A294" s="1"/>
      <c r="B294" s="140">
        <v>9</v>
      </c>
      <c r="C294" s="333" t="s">
        <v>325</v>
      </c>
      <c r="D294" s="142"/>
      <c r="E294" s="143"/>
      <c r="F294" s="143"/>
      <c r="G294" s="143"/>
      <c r="H294" s="143"/>
      <c r="I294" s="143"/>
      <c r="J294" s="143"/>
      <c r="K294" s="143"/>
      <c r="L294" s="143"/>
      <c r="M294" s="143"/>
      <c r="N294" s="222"/>
      <c r="O294" s="222">
        <v>2106266</v>
      </c>
      <c r="P294" s="145"/>
      <c r="Q294" s="223">
        <f t="shared" si="376"/>
        <v>2106266</v>
      </c>
      <c r="R294" s="147">
        <f>Q294*$R$7</f>
        <v>499185.04199999996</v>
      </c>
      <c r="S294" s="147">
        <f t="shared" si="378"/>
        <v>1367.6302520547945</v>
      </c>
      <c r="T294" s="148">
        <f>S294*$T$5*$T$7</f>
        <v>449266.53779999999</v>
      </c>
      <c r="U294" s="199"/>
      <c r="V294" s="150"/>
      <c r="W294" s="151"/>
      <c r="X294" s="151"/>
      <c r="Y294" s="152"/>
      <c r="Z294" s="153"/>
      <c r="AA294" s="153"/>
      <c r="AB294" s="154"/>
      <c r="AC294" s="155">
        <f t="shared" si="380"/>
        <v>260574.59192399998</v>
      </c>
      <c r="AD294" s="156">
        <f t="shared" si="381"/>
        <v>58404.649914000001</v>
      </c>
      <c r="AE294" s="156">
        <f t="shared" si="382"/>
        <v>39423.13869195</v>
      </c>
      <c r="AF294" s="156">
        <f t="shared" si="383"/>
        <v>17970.661511999999</v>
      </c>
      <c r="AG294" s="156">
        <f t="shared" si="384"/>
        <v>8985.3307559999994</v>
      </c>
      <c r="AH294" s="156">
        <f t="shared" si="385"/>
        <v>8985.3307559999994</v>
      </c>
      <c r="AI294" s="156">
        <f t="shared" si="386"/>
        <v>4492.6653779999997</v>
      </c>
      <c r="AJ294" s="156">
        <f t="shared" si="387"/>
        <v>8985.3307559999994</v>
      </c>
      <c r="AK294" s="156">
        <f t="shared" si="388"/>
        <v>8985.3307559999994</v>
      </c>
      <c r="AL294" s="156">
        <f t="shared" si="389"/>
        <v>31448.657646000003</v>
      </c>
      <c r="AM294" s="157">
        <f t="shared" si="390"/>
        <v>138261.77700795</v>
      </c>
      <c r="AN294" s="158">
        <f t="shared" si="391"/>
        <v>2200</v>
      </c>
      <c r="AO294" s="159">
        <v>0.2</v>
      </c>
      <c r="AP294" s="160">
        <f t="shared" si="392"/>
        <v>3673665840.7774334</v>
      </c>
      <c r="AQ294" s="161">
        <f t="shared" si="393"/>
        <v>1020462.8151863057</v>
      </c>
      <c r="AR294" s="162">
        <f t="shared" si="394"/>
        <v>204092.56303726113</v>
      </c>
      <c r="AS294" s="163">
        <f t="shared" si="395"/>
        <v>29.122797237052101</v>
      </c>
      <c r="AT294" s="233">
        <f t="shared" si="396"/>
        <v>29.122797237052101</v>
      </c>
      <c r="AU294" s="187"/>
      <c r="AV294" s="166"/>
      <c r="AW294" s="167"/>
      <c r="AX294" s="146"/>
      <c r="AY294" s="168"/>
    </row>
    <row r="295" spans="1:51" s="139" customFormat="1" ht="11.25" x14ac:dyDescent="0.25">
      <c r="A295" s="1"/>
      <c r="B295" s="140">
        <v>10</v>
      </c>
      <c r="C295" s="333" t="s">
        <v>326</v>
      </c>
      <c r="D295" s="142"/>
      <c r="E295" s="143"/>
      <c r="F295" s="143"/>
      <c r="G295" s="143"/>
      <c r="H295" s="143"/>
      <c r="I295" s="143"/>
      <c r="J295" s="143"/>
      <c r="K295" s="143"/>
      <c r="L295" s="143"/>
      <c r="M295" s="143"/>
      <c r="N295" s="222"/>
      <c r="O295" s="222">
        <v>1188520</v>
      </c>
      <c r="P295" s="145"/>
      <c r="Q295" s="223">
        <f t="shared" si="376"/>
        <v>1188520</v>
      </c>
      <c r="R295" s="147">
        <f>Q295*$R$8</f>
        <v>194917.28</v>
      </c>
      <c r="S295" s="147">
        <f t="shared" si="378"/>
        <v>534.01994520547942</v>
      </c>
      <c r="T295" s="148">
        <f>S295*$T$5*$T$8</f>
        <v>155933.82399999999</v>
      </c>
      <c r="U295" s="199"/>
      <c r="V295" s="150"/>
      <c r="W295" s="151"/>
      <c r="X295" s="151"/>
      <c r="Y295" s="152"/>
      <c r="Z295" s="153"/>
      <c r="AA295" s="153"/>
      <c r="AB295" s="154"/>
      <c r="AC295" s="155">
        <f t="shared" si="380"/>
        <v>90441.61791999999</v>
      </c>
      <c r="AD295" s="156">
        <f t="shared" si="381"/>
        <v>20271.397120000001</v>
      </c>
      <c r="AE295" s="156">
        <f t="shared" si="382"/>
        <v>13683.193055999998</v>
      </c>
      <c r="AF295" s="156">
        <f t="shared" si="383"/>
        <v>6237.3529600000002</v>
      </c>
      <c r="AG295" s="156">
        <f t="shared" si="384"/>
        <v>3118.6764800000001</v>
      </c>
      <c r="AH295" s="156">
        <f t="shared" si="385"/>
        <v>3118.6764800000001</v>
      </c>
      <c r="AI295" s="156">
        <f t="shared" si="386"/>
        <v>1559.33824</v>
      </c>
      <c r="AJ295" s="156">
        <f t="shared" si="387"/>
        <v>3118.6764800000001</v>
      </c>
      <c r="AK295" s="156">
        <f t="shared" si="388"/>
        <v>3118.6764800000001</v>
      </c>
      <c r="AL295" s="156">
        <f t="shared" si="389"/>
        <v>10915.367680000001</v>
      </c>
      <c r="AM295" s="157">
        <f t="shared" si="390"/>
        <v>47988.634336000003</v>
      </c>
      <c r="AN295" s="158">
        <f t="shared" si="391"/>
        <v>2200</v>
      </c>
      <c r="AO295" s="159">
        <v>0.2</v>
      </c>
      <c r="AP295" s="160">
        <f t="shared" si="392"/>
        <v>1275075516.3199258</v>
      </c>
      <c r="AQ295" s="161">
        <f t="shared" si="393"/>
        <v>354187.67175721307</v>
      </c>
      <c r="AR295" s="162">
        <f t="shared" si="394"/>
        <v>70837.53435144262</v>
      </c>
      <c r="AS295" s="163">
        <f t="shared" si="395"/>
        <v>10.108095655171606</v>
      </c>
      <c r="AT295" s="164">
        <f t="shared" si="396"/>
        <v>10.108095655171606</v>
      </c>
      <c r="AU295" s="165"/>
      <c r="AV295" s="166"/>
      <c r="AW295" s="167"/>
      <c r="AX295" s="146"/>
      <c r="AY295" s="168"/>
    </row>
    <row r="296" spans="1:51" s="139" customFormat="1" ht="11.25" x14ac:dyDescent="0.25">
      <c r="A296" s="1"/>
      <c r="B296" s="140">
        <v>11</v>
      </c>
      <c r="C296" s="333" t="s">
        <v>327</v>
      </c>
      <c r="D296" s="142"/>
      <c r="E296" s="143"/>
      <c r="F296" s="143"/>
      <c r="G296" s="143"/>
      <c r="H296" s="143"/>
      <c r="I296" s="143"/>
      <c r="J296" s="143"/>
      <c r="K296" s="143"/>
      <c r="L296" s="143"/>
      <c r="M296" s="143"/>
      <c r="N296" s="222"/>
      <c r="O296" s="222">
        <v>1114271</v>
      </c>
      <c r="P296" s="145"/>
      <c r="Q296" s="223">
        <f t="shared" si="376"/>
        <v>1114271</v>
      </c>
      <c r="R296" s="147">
        <f>Q296*$R$8</f>
        <v>182740.44400000002</v>
      </c>
      <c r="S296" s="147">
        <f t="shared" si="378"/>
        <v>500.65875068493153</v>
      </c>
      <c r="T296" s="148">
        <f>S296*$T$5*$T$8</f>
        <v>146192.35520000002</v>
      </c>
      <c r="U296" s="199"/>
      <c r="V296" s="150"/>
      <c r="W296" s="151"/>
      <c r="X296" s="151"/>
      <c r="Y296" s="152"/>
      <c r="Z296" s="153"/>
      <c r="AA296" s="153"/>
      <c r="AB296" s="154"/>
      <c r="AC296" s="155">
        <f t="shared" si="380"/>
        <v>84791.566016000012</v>
      </c>
      <c r="AD296" s="156">
        <f t="shared" si="381"/>
        <v>19005.006176000003</v>
      </c>
      <c r="AE296" s="156">
        <f t="shared" si="382"/>
        <v>12828.3791688</v>
      </c>
      <c r="AF296" s="156">
        <f t="shared" si="383"/>
        <v>5847.6942080000008</v>
      </c>
      <c r="AG296" s="156">
        <f t="shared" si="384"/>
        <v>2923.8471040000004</v>
      </c>
      <c r="AH296" s="156">
        <f t="shared" si="385"/>
        <v>2923.8471040000004</v>
      </c>
      <c r="AI296" s="156">
        <f t="shared" si="386"/>
        <v>1461.9235520000002</v>
      </c>
      <c r="AJ296" s="156">
        <f t="shared" si="387"/>
        <v>2923.8471040000004</v>
      </c>
      <c r="AK296" s="156">
        <f t="shared" si="388"/>
        <v>2923.8471040000004</v>
      </c>
      <c r="AL296" s="156">
        <f t="shared" si="389"/>
        <v>10233.464864000003</v>
      </c>
      <c r="AM296" s="157">
        <f t="shared" si="390"/>
        <v>44990.697312800003</v>
      </c>
      <c r="AN296" s="158">
        <f t="shared" si="391"/>
        <v>2200</v>
      </c>
      <c r="AO296" s="159">
        <v>0.2</v>
      </c>
      <c r="AP296" s="160">
        <f t="shared" si="392"/>
        <v>1195419236.2310438</v>
      </c>
      <c r="AQ296" s="161">
        <f t="shared" si="393"/>
        <v>332060.92551793961</v>
      </c>
      <c r="AR296" s="162">
        <f t="shared" si="394"/>
        <v>66412.185103587923</v>
      </c>
      <c r="AS296" s="163">
        <f t="shared" si="395"/>
        <v>9.4766245866991898</v>
      </c>
      <c r="AT296" s="164">
        <f t="shared" si="396"/>
        <v>9.4766245866991898</v>
      </c>
      <c r="AU296" s="165"/>
      <c r="AV296" s="166"/>
      <c r="AW296" s="167"/>
      <c r="AX296" s="146"/>
      <c r="AY296" s="168"/>
    </row>
    <row r="297" spans="1:51" s="139" customFormat="1" ht="11.25" x14ac:dyDescent="0.25">
      <c r="A297" s="1"/>
      <c r="B297" s="140">
        <v>12</v>
      </c>
      <c r="C297" s="333" t="s">
        <v>328</v>
      </c>
      <c r="D297" s="142"/>
      <c r="E297" s="143"/>
      <c r="F297" s="143"/>
      <c r="G297" s="143"/>
      <c r="H297" s="143"/>
      <c r="I297" s="143"/>
      <c r="J297" s="143"/>
      <c r="K297" s="143"/>
      <c r="L297" s="143"/>
      <c r="M297" s="143"/>
      <c r="N297" s="222"/>
      <c r="O297" s="222">
        <v>1695182</v>
      </c>
      <c r="P297" s="145"/>
      <c r="Q297" s="223">
        <f t="shared" si="376"/>
        <v>1695182</v>
      </c>
      <c r="R297" s="147">
        <f>Q297*$R$7</f>
        <v>401758.13399999996</v>
      </c>
      <c r="S297" s="147">
        <f t="shared" si="378"/>
        <v>1100.707216438356</v>
      </c>
      <c r="T297" s="148">
        <f>S297*$T$5*$T$7</f>
        <v>361582.32059999998</v>
      </c>
      <c r="U297" s="199"/>
      <c r="V297" s="150"/>
      <c r="W297" s="151"/>
      <c r="X297" s="151"/>
      <c r="Y297" s="152"/>
      <c r="Z297" s="153"/>
      <c r="AA297" s="153"/>
      <c r="AB297" s="154"/>
      <c r="AC297" s="155">
        <f t="shared" si="380"/>
        <v>209717.74594799997</v>
      </c>
      <c r="AD297" s="156">
        <f t="shared" si="381"/>
        <v>47005.701677999998</v>
      </c>
      <c r="AE297" s="156">
        <f t="shared" si="382"/>
        <v>31728.848632649995</v>
      </c>
      <c r="AF297" s="156">
        <f t="shared" si="383"/>
        <v>14463.292824</v>
      </c>
      <c r="AG297" s="156">
        <f t="shared" si="384"/>
        <v>7231.6464120000001</v>
      </c>
      <c r="AH297" s="156">
        <f t="shared" si="385"/>
        <v>7231.6464120000001</v>
      </c>
      <c r="AI297" s="156">
        <f t="shared" si="386"/>
        <v>3615.823206</v>
      </c>
      <c r="AJ297" s="156">
        <f t="shared" si="387"/>
        <v>7231.6464120000001</v>
      </c>
      <c r="AK297" s="156">
        <f t="shared" si="388"/>
        <v>7231.6464120000001</v>
      </c>
      <c r="AL297" s="156">
        <f t="shared" si="389"/>
        <v>25310.762441999999</v>
      </c>
      <c r="AM297" s="157">
        <f t="shared" si="390"/>
        <v>111276.95916465</v>
      </c>
      <c r="AN297" s="158">
        <f t="shared" si="391"/>
        <v>2200</v>
      </c>
      <c r="AO297" s="159">
        <v>0.2</v>
      </c>
      <c r="AP297" s="160">
        <f t="shared" si="392"/>
        <v>2956669389.0044141</v>
      </c>
      <c r="AQ297" s="161">
        <f t="shared" si="393"/>
        <v>821297.11820499029</v>
      </c>
      <c r="AR297" s="162">
        <f t="shared" si="394"/>
        <v>164259.42364099808</v>
      </c>
      <c r="AS297" s="163">
        <f t="shared" si="395"/>
        <v>23.438844697631005</v>
      </c>
      <c r="AT297" s="233">
        <f t="shared" si="396"/>
        <v>23.438844697631005</v>
      </c>
      <c r="AU297" s="187"/>
      <c r="AV297" s="166"/>
      <c r="AW297" s="167"/>
      <c r="AX297" s="146"/>
      <c r="AY297" s="168"/>
    </row>
    <row r="298" spans="1:51" s="139" customFormat="1" ht="11.25" x14ac:dyDescent="0.25">
      <c r="A298" s="1"/>
      <c r="B298" s="140">
        <v>13</v>
      </c>
      <c r="C298" s="333" t="s">
        <v>329</v>
      </c>
      <c r="D298" s="142"/>
      <c r="E298" s="143"/>
      <c r="F298" s="143"/>
      <c r="G298" s="143"/>
      <c r="H298" s="143"/>
      <c r="I298" s="143"/>
      <c r="J298" s="143"/>
      <c r="K298" s="143"/>
      <c r="L298" s="143"/>
      <c r="M298" s="143"/>
      <c r="N298" s="222"/>
      <c r="O298" s="222">
        <v>1492849</v>
      </c>
      <c r="P298" s="145"/>
      <c r="Q298" s="223">
        <f t="shared" si="376"/>
        <v>1492849</v>
      </c>
      <c r="R298" s="147">
        <f>Q298*$R$7</f>
        <v>353805.21299999999</v>
      </c>
      <c r="S298" s="147">
        <f t="shared" si="378"/>
        <v>969.32935068493146</v>
      </c>
      <c r="T298" s="148">
        <f>S298*$T$5*$T$7</f>
        <v>318424.69170000002</v>
      </c>
      <c r="U298" s="199"/>
      <c r="V298" s="150"/>
      <c r="W298" s="151"/>
      <c r="X298" s="151"/>
      <c r="Y298" s="152"/>
      <c r="Z298" s="153"/>
      <c r="AA298" s="153"/>
      <c r="AB298" s="154"/>
      <c r="AC298" s="155">
        <f t="shared" si="380"/>
        <v>184686.32118600002</v>
      </c>
      <c r="AD298" s="156">
        <f t="shared" si="381"/>
        <v>41395.209921000001</v>
      </c>
      <c r="AE298" s="156">
        <f t="shared" si="382"/>
        <v>27941.766696675</v>
      </c>
      <c r="AF298" s="156">
        <f t="shared" si="383"/>
        <v>12736.987668000002</v>
      </c>
      <c r="AG298" s="156">
        <f t="shared" si="384"/>
        <v>6368.4938340000008</v>
      </c>
      <c r="AH298" s="156">
        <f t="shared" si="385"/>
        <v>6368.4938340000008</v>
      </c>
      <c r="AI298" s="156">
        <f t="shared" si="386"/>
        <v>3184.2469170000004</v>
      </c>
      <c r="AJ298" s="156">
        <f t="shared" si="387"/>
        <v>6368.4938340000008</v>
      </c>
      <c r="AK298" s="156">
        <f t="shared" si="388"/>
        <v>6368.4938340000008</v>
      </c>
      <c r="AL298" s="156">
        <f t="shared" si="389"/>
        <v>22289.728419000003</v>
      </c>
      <c r="AM298" s="157">
        <f t="shared" si="390"/>
        <v>97995.198870674983</v>
      </c>
      <c r="AN298" s="158">
        <f t="shared" si="391"/>
        <v>2200</v>
      </c>
      <c r="AO298" s="159">
        <v>0.2</v>
      </c>
      <c r="AP298" s="160">
        <f t="shared" si="392"/>
        <v>2603768173.9812312</v>
      </c>
      <c r="AQ298" s="161">
        <f t="shared" si="393"/>
        <v>723268.99507852364</v>
      </c>
      <c r="AR298" s="162">
        <f t="shared" si="394"/>
        <v>144653.79901570475</v>
      </c>
      <c r="AS298" s="163">
        <f t="shared" si="395"/>
        <v>20.641238444021795</v>
      </c>
      <c r="AT298" s="233">
        <f t="shared" si="396"/>
        <v>20.641238444021795</v>
      </c>
      <c r="AU298" s="187"/>
      <c r="AV298" s="166"/>
      <c r="AW298" s="167"/>
      <c r="AX298" s="146"/>
      <c r="AY298" s="168"/>
    </row>
    <row r="299" spans="1:51" s="139" customFormat="1" ht="11.25" x14ac:dyDescent="0.25">
      <c r="A299" s="1"/>
      <c r="B299" s="140">
        <v>14</v>
      </c>
      <c r="C299" s="334" t="s">
        <v>330</v>
      </c>
      <c r="D299" s="142"/>
      <c r="E299" s="143"/>
      <c r="F299" s="143"/>
      <c r="G299" s="143"/>
      <c r="H299" s="143"/>
      <c r="I299" s="143"/>
      <c r="J299" s="143"/>
      <c r="K299" s="143"/>
      <c r="L299" s="143"/>
      <c r="M299" s="143"/>
      <c r="N299" s="222"/>
      <c r="O299" s="222">
        <v>868635</v>
      </c>
      <c r="P299" s="145"/>
      <c r="Q299" s="223">
        <f t="shared" si="376"/>
        <v>868635</v>
      </c>
      <c r="R299" s="147">
        <f>Q299*$R$9</f>
        <v>126820.70999999999</v>
      </c>
      <c r="S299" s="147">
        <f t="shared" si="378"/>
        <v>347.45399999999995</v>
      </c>
      <c r="T299" s="148">
        <f>S299*$T$5*$T$9</f>
        <v>88774.496999999974</v>
      </c>
      <c r="U299" s="199"/>
      <c r="V299" s="150"/>
      <c r="W299" s="151"/>
      <c r="X299" s="151"/>
      <c r="Y299" s="152"/>
      <c r="Z299" s="153"/>
      <c r="AA299" s="153"/>
      <c r="AB299" s="154"/>
      <c r="AC299" s="155">
        <f t="shared" si="380"/>
        <v>51489.208259999985</v>
      </c>
      <c r="AD299" s="156">
        <f t="shared" si="381"/>
        <v>11540.684609999997</v>
      </c>
      <c r="AE299" s="156">
        <f t="shared" si="382"/>
        <v>7789.9621117499973</v>
      </c>
      <c r="AF299" s="156">
        <f t="shared" si="383"/>
        <v>3550.979879999999</v>
      </c>
      <c r="AG299" s="156">
        <f t="shared" si="384"/>
        <v>1775.4899399999995</v>
      </c>
      <c r="AH299" s="156">
        <f t="shared" si="385"/>
        <v>1775.4899399999995</v>
      </c>
      <c r="AI299" s="156">
        <f t="shared" si="386"/>
        <v>887.74496999999974</v>
      </c>
      <c r="AJ299" s="156">
        <f t="shared" si="387"/>
        <v>1775.4899399999995</v>
      </c>
      <c r="AK299" s="156">
        <f t="shared" si="388"/>
        <v>1775.4899399999995</v>
      </c>
      <c r="AL299" s="156">
        <f t="shared" si="389"/>
        <v>6214.2147899999991</v>
      </c>
      <c r="AM299" s="157">
        <f t="shared" si="390"/>
        <v>27320.351451749993</v>
      </c>
      <c r="AN299" s="158">
        <f t="shared" si="391"/>
        <v>2200</v>
      </c>
      <c r="AO299" s="159">
        <v>0.2</v>
      </c>
      <c r="AP299" s="160">
        <f t="shared" si="392"/>
        <v>725911702.12254059</v>
      </c>
      <c r="AQ299" s="161">
        <f t="shared" si="393"/>
        <v>201642.15560985464</v>
      </c>
      <c r="AR299" s="162">
        <f t="shared" si="394"/>
        <v>40328.431121970934</v>
      </c>
      <c r="AS299" s="163">
        <f t="shared" si="395"/>
        <v>5.7546277285917427</v>
      </c>
      <c r="AT299" s="164">
        <f t="shared" si="396"/>
        <v>5.7546277285917427</v>
      </c>
      <c r="AU299" s="165"/>
      <c r="AV299" s="166"/>
      <c r="AW299" s="167"/>
      <c r="AX299" s="146"/>
      <c r="AY299" s="168"/>
    </row>
    <row r="300" spans="1:51" s="139" customFormat="1" ht="11.25" x14ac:dyDescent="0.25">
      <c r="A300" s="1"/>
      <c r="B300" s="140">
        <v>15</v>
      </c>
      <c r="C300" s="335" t="s">
        <v>331</v>
      </c>
      <c r="D300" s="142"/>
      <c r="E300" s="143"/>
      <c r="F300" s="143"/>
      <c r="G300" s="143"/>
      <c r="H300" s="143"/>
      <c r="I300" s="143"/>
      <c r="J300" s="143"/>
      <c r="K300" s="143"/>
      <c r="L300" s="143"/>
      <c r="M300" s="143"/>
      <c r="N300" s="222"/>
      <c r="O300" s="222">
        <v>2168006</v>
      </c>
      <c r="P300" s="145"/>
      <c r="Q300" s="223">
        <f t="shared" si="376"/>
        <v>2168006</v>
      </c>
      <c r="R300" s="147">
        <f>Q300*$R$7</f>
        <v>513817.42199999996</v>
      </c>
      <c r="S300" s="147">
        <f t="shared" si="378"/>
        <v>1407.7189643835616</v>
      </c>
      <c r="T300" s="148">
        <f>S300*$T$5*$T$7</f>
        <v>462435.67979999998</v>
      </c>
      <c r="U300" s="199"/>
      <c r="V300" s="150"/>
      <c r="W300" s="151"/>
      <c r="X300" s="151"/>
      <c r="Y300" s="152"/>
      <c r="Z300" s="153"/>
      <c r="AA300" s="153"/>
      <c r="AB300" s="154"/>
      <c r="AC300" s="155">
        <f t="shared" si="380"/>
        <v>268212.69428399997</v>
      </c>
      <c r="AD300" s="156">
        <f t="shared" si="381"/>
        <v>60116.638374000002</v>
      </c>
      <c r="AE300" s="156">
        <f t="shared" si="382"/>
        <v>40578.730902449999</v>
      </c>
      <c r="AF300" s="156">
        <f t="shared" si="383"/>
        <v>18497.427191999999</v>
      </c>
      <c r="AG300" s="156">
        <f t="shared" si="384"/>
        <v>9248.7135959999996</v>
      </c>
      <c r="AH300" s="156">
        <f t="shared" si="385"/>
        <v>9248.7135959999996</v>
      </c>
      <c r="AI300" s="156">
        <f t="shared" si="386"/>
        <v>4624.3567979999998</v>
      </c>
      <c r="AJ300" s="156">
        <f t="shared" si="387"/>
        <v>9248.7135959999996</v>
      </c>
      <c r="AK300" s="156">
        <f t="shared" si="388"/>
        <v>9248.7135959999996</v>
      </c>
      <c r="AL300" s="156">
        <f t="shared" si="389"/>
        <v>32370.497586000001</v>
      </c>
      <c r="AM300" s="157">
        <f t="shared" si="390"/>
        <v>142314.58045844999</v>
      </c>
      <c r="AN300" s="158">
        <f t="shared" si="391"/>
        <v>2200</v>
      </c>
      <c r="AO300" s="159">
        <v>0.2</v>
      </c>
      <c r="AP300" s="160">
        <f t="shared" si="392"/>
        <v>3781350306.561717</v>
      </c>
      <c r="AQ300" s="161">
        <f t="shared" si="393"/>
        <v>1050375.1691860394</v>
      </c>
      <c r="AR300" s="162">
        <f t="shared" si="394"/>
        <v>210075.03383720788</v>
      </c>
      <c r="AS300" s="163">
        <f t="shared" si="395"/>
        <v>29.976460307820759</v>
      </c>
      <c r="AT300" s="164">
        <f t="shared" si="396"/>
        <v>29.976460307820759</v>
      </c>
      <c r="AU300" s="165"/>
      <c r="AV300" s="166"/>
      <c r="AW300" s="167"/>
      <c r="AX300" s="146"/>
      <c r="AY300" s="168"/>
    </row>
    <row r="301" spans="1:51" s="139" customFormat="1" ht="11.25" x14ac:dyDescent="0.25">
      <c r="A301" s="1"/>
      <c r="B301" s="140">
        <v>16</v>
      </c>
      <c r="C301" s="336" t="s">
        <v>332</v>
      </c>
      <c r="D301" s="142"/>
      <c r="E301" s="143"/>
      <c r="F301" s="143"/>
      <c r="G301" s="143"/>
      <c r="H301" s="143"/>
      <c r="I301" s="143"/>
      <c r="J301" s="143"/>
      <c r="K301" s="143"/>
      <c r="L301" s="143"/>
      <c r="M301" s="143"/>
      <c r="N301" s="222"/>
      <c r="O301" s="222">
        <v>2680116</v>
      </c>
      <c r="P301" s="145"/>
      <c r="Q301" s="223">
        <f t="shared" si="376"/>
        <v>2680116</v>
      </c>
      <c r="R301" s="147">
        <f>Q301*$R$7</f>
        <v>635187.49199999997</v>
      </c>
      <c r="S301" s="147">
        <f t="shared" si="378"/>
        <v>1740.239704109589</v>
      </c>
      <c r="T301" s="148">
        <f>S301*$T$5*$T$7</f>
        <v>571668.74280000001</v>
      </c>
      <c r="U301" s="199"/>
      <c r="V301" s="150"/>
      <c r="W301" s="151"/>
      <c r="X301" s="151"/>
      <c r="Y301" s="152"/>
      <c r="Z301" s="153"/>
      <c r="AA301" s="153"/>
      <c r="AB301" s="154"/>
      <c r="AC301" s="155">
        <f t="shared" si="380"/>
        <v>331567.87082399998</v>
      </c>
      <c r="AD301" s="156">
        <f t="shared" si="381"/>
        <v>74316.936564000003</v>
      </c>
      <c r="AE301" s="156">
        <f t="shared" si="382"/>
        <v>50163.932180699994</v>
      </c>
      <c r="AF301" s="156">
        <f t="shared" si="383"/>
        <v>22866.749712000001</v>
      </c>
      <c r="AG301" s="156">
        <f t="shared" si="384"/>
        <v>11433.374856</v>
      </c>
      <c r="AH301" s="156">
        <f t="shared" si="385"/>
        <v>11433.374856</v>
      </c>
      <c r="AI301" s="156">
        <f t="shared" si="386"/>
        <v>5716.6874280000002</v>
      </c>
      <c r="AJ301" s="156">
        <f t="shared" si="387"/>
        <v>11433.374856</v>
      </c>
      <c r="AK301" s="156">
        <f t="shared" si="388"/>
        <v>11433.374856</v>
      </c>
      <c r="AL301" s="156">
        <f t="shared" si="389"/>
        <v>40016.811996000004</v>
      </c>
      <c r="AM301" s="157">
        <f t="shared" si="390"/>
        <v>175931.05559670003</v>
      </c>
      <c r="AN301" s="158">
        <f t="shared" si="391"/>
        <v>2200</v>
      </c>
      <c r="AO301" s="159">
        <v>0.2</v>
      </c>
      <c r="AP301" s="160">
        <f t="shared" si="392"/>
        <v>4674552311.3040104</v>
      </c>
      <c r="AQ301" s="161">
        <f t="shared" si="393"/>
        <v>1298486.8570189432</v>
      </c>
      <c r="AR301" s="162">
        <f t="shared" si="394"/>
        <v>259697.37140378865</v>
      </c>
      <c r="AS301" s="163">
        <f t="shared" si="395"/>
        <v>37.057273316750667</v>
      </c>
      <c r="AT301" s="164">
        <f t="shared" si="396"/>
        <v>37.057273316750667</v>
      </c>
      <c r="AU301" s="165"/>
      <c r="AV301" s="166"/>
      <c r="AW301" s="167"/>
      <c r="AX301" s="146"/>
      <c r="AY301" s="168"/>
    </row>
    <row r="302" spans="1:51" s="139" customFormat="1" ht="11.25" x14ac:dyDescent="0.25">
      <c r="A302" s="1"/>
      <c r="B302" s="140">
        <v>17</v>
      </c>
      <c r="C302" s="335" t="s">
        <v>333</v>
      </c>
      <c r="D302" s="142"/>
      <c r="E302" s="143"/>
      <c r="F302" s="143"/>
      <c r="G302" s="143"/>
      <c r="H302" s="143"/>
      <c r="I302" s="143"/>
      <c r="J302" s="143"/>
      <c r="K302" s="143"/>
      <c r="L302" s="143"/>
      <c r="M302" s="143"/>
      <c r="N302" s="222"/>
      <c r="O302" s="222">
        <v>1538830</v>
      </c>
      <c r="P302" s="145"/>
      <c r="Q302" s="223">
        <f t="shared" si="376"/>
        <v>1538830</v>
      </c>
      <c r="R302" s="147">
        <f>Q302*$R$7</f>
        <v>364702.70999999996</v>
      </c>
      <c r="S302" s="147">
        <f t="shared" si="378"/>
        <v>999.18550684931495</v>
      </c>
      <c r="T302" s="148">
        <f>S302*$T$5*$T$7</f>
        <v>328232.43899999995</v>
      </c>
      <c r="U302" s="199"/>
      <c r="V302" s="150"/>
      <c r="W302" s="151"/>
      <c r="X302" s="151"/>
      <c r="Y302" s="152"/>
      <c r="Z302" s="153"/>
      <c r="AA302" s="153"/>
      <c r="AB302" s="154"/>
      <c r="AC302" s="155">
        <f t="shared" si="380"/>
        <v>190374.81461999996</v>
      </c>
      <c r="AD302" s="156">
        <f t="shared" si="381"/>
        <v>42670.217069999999</v>
      </c>
      <c r="AE302" s="156">
        <f t="shared" si="382"/>
        <v>28802.396522249994</v>
      </c>
      <c r="AF302" s="156">
        <f t="shared" si="383"/>
        <v>13129.297559999999</v>
      </c>
      <c r="AG302" s="156">
        <f t="shared" si="384"/>
        <v>6564.6487799999995</v>
      </c>
      <c r="AH302" s="156">
        <f t="shared" si="385"/>
        <v>6564.6487799999995</v>
      </c>
      <c r="AI302" s="156">
        <f t="shared" si="386"/>
        <v>3282.3243899999998</v>
      </c>
      <c r="AJ302" s="156">
        <f t="shared" si="387"/>
        <v>6564.6487799999995</v>
      </c>
      <c r="AK302" s="156">
        <f t="shared" si="388"/>
        <v>6564.6487799999995</v>
      </c>
      <c r="AL302" s="156">
        <f t="shared" si="389"/>
        <v>22976.27073</v>
      </c>
      <c r="AM302" s="157">
        <f t="shared" si="390"/>
        <v>101013.53310224999</v>
      </c>
      <c r="AN302" s="158">
        <f t="shared" si="391"/>
        <v>2200</v>
      </c>
      <c r="AO302" s="159">
        <v>0.2</v>
      </c>
      <c r="AP302" s="160">
        <f t="shared" si="392"/>
        <v>2683966415.3357348</v>
      </c>
      <c r="AQ302" s="161">
        <f t="shared" si="393"/>
        <v>745546.28612584667</v>
      </c>
      <c r="AR302" s="162">
        <f t="shared" si="394"/>
        <v>149109.25722516933</v>
      </c>
      <c r="AS302" s="163">
        <f t="shared" si="395"/>
        <v>21.277005882586948</v>
      </c>
      <c r="AT302" s="164">
        <f t="shared" si="396"/>
        <v>21.277005882586948</v>
      </c>
      <c r="AU302" s="165"/>
      <c r="AV302" s="166"/>
      <c r="AW302" s="167"/>
      <c r="AX302" s="146"/>
      <c r="AY302" s="168"/>
    </row>
    <row r="303" spans="1:51" s="139" customFormat="1" ht="11.25" x14ac:dyDescent="0.25">
      <c r="A303" s="1"/>
      <c r="B303" s="140">
        <v>18</v>
      </c>
      <c r="C303" s="337" t="s">
        <v>334</v>
      </c>
      <c r="D303" s="142"/>
      <c r="E303" s="143"/>
      <c r="F303" s="143"/>
      <c r="G303" s="143"/>
      <c r="H303" s="143"/>
      <c r="I303" s="143"/>
      <c r="J303" s="143"/>
      <c r="K303" s="143"/>
      <c r="L303" s="143"/>
      <c r="M303" s="143"/>
      <c r="N303" s="222"/>
      <c r="O303" s="222">
        <v>968295</v>
      </c>
      <c r="P303" s="145"/>
      <c r="Q303" s="223">
        <f t="shared" si="376"/>
        <v>968295</v>
      </c>
      <c r="R303" s="147">
        <f>Q303*$R$9</f>
        <v>141371.06999999998</v>
      </c>
      <c r="S303" s="147">
        <f t="shared" si="378"/>
        <v>387.31799999999993</v>
      </c>
      <c r="T303" s="148">
        <f>S303*$T$5*$T$9</f>
        <v>98959.748999999982</v>
      </c>
      <c r="U303" s="199"/>
      <c r="V303" s="150"/>
      <c r="W303" s="151"/>
      <c r="X303" s="151"/>
      <c r="Y303" s="152"/>
      <c r="Z303" s="153"/>
      <c r="AA303" s="153"/>
      <c r="AB303" s="154"/>
      <c r="AC303" s="155">
        <f t="shared" si="380"/>
        <v>57396.654419999984</v>
      </c>
      <c r="AD303" s="156">
        <f t="shared" si="381"/>
        <v>12864.767369999998</v>
      </c>
      <c r="AE303" s="156">
        <f t="shared" si="382"/>
        <v>8683.7179747499977</v>
      </c>
      <c r="AF303" s="156">
        <f t="shared" si="383"/>
        <v>3958.3899599999995</v>
      </c>
      <c r="AG303" s="156">
        <f t="shared" si="384"/>
        <v>1979.1949799999998</v>
      </c>
      <c r="AH303" s="156">
        <f t="shared" si="385"/>
        <v>1979.1949799999998</v>
      </c>
      <c r="AI303" s="156">
        <f t="shared" si="386"/>
        <v>989.59748999999988</v>
      </c>
      <c r="AJ303" s="156">
        <f t="shared" si="387"/>
        <v>1979.1949799999998</v>
      </c>
      <c r="AK303" s="156">
        <f t="shared" si="388"/>
        <v>1979.1949799999998</v>
      </c>
      <c r="AL303" s="156">
        <f t="shared" si="389"/>
        <v>6927.1824299999989</v>
      </c>
      <c r="AM303" s="157">
        <f t="shared" si="390"/>
        <v>30454.862754749996</v>
      </c>
      <c r="AN303" s="158">
        <f t="shared" si="391"/>
        <v>2200</v>
      </c>
      <c r="AO303" s="159">
        <v>0.2</v>
      </c>
      <c r="AP303" s="160">
        <f t="shared" si="392"/>
        <v>809196810.63593507</v>
      </c>
      <c r="AQ303" s="161">
        <f t="shared" si="393"/>
        <v>224776.90982546663</v>
      </c>
      <c r="AR303" s="162">
        <f t="shared" si="394"/>
        <v>44955.381965093329</v>
      </c>
      <c r="AS303" s="163">
        <f t="shared" si="395"/>
        <v>6.4148661479870617</v>
      </c>
      <c r="AT303" s="164">
        <f t="shared" si="396"/>
        <v>6.4148661479870617</v>
      </c>
      <c r="AU303" s="165"/>
      <c r="AV303" s="166"/>
      <c r="AW303" s="167"/>
      <c r="AX303" s="146"/>
      <c r="AY303" s="168"/>
    </row>
    <row r="304" spans="1:51" s="139" customFormat="1" ht="11.25" x14ac:dyDescent="0.25">
      <c r="A304" s="1"/>
      <c r="B304" s="140">
        <v>19</v>
      </c>
      <c r="C304" s="338" t="s">
        <v>335</v>
      </c>
      <c r="D304" s="142"/>
      <c r="E304" s="143"/>
      <c r="F304" s="143"/>
      <c r="G304" s="143"/>
      <c r="H304" s="143"/>
      <c r="I304" s="143"/>
      <c r="J304" s="143"/>
      <c r="K304" s="143"/>
      <c r="L304" s="143"/>
      <c r="M304" s="143"/>
      <c r="N304" s="222"/>
      <c r="O304" s="222">
        <v>304324</v>
      </c>
      <c r="P304" s="145"/>
      <c r="Q304" s="223">
        <f t="shared" si="376"/>
        <v>304324</v>
      </c>
      <c r="R304" s="147">
        <f>Q304*$R$10</f>
        <v>33475.64</v>
      </c>
      <c r="S304" s="147">
        <f t="shared" si="378"/>
        <v>91.714082191780818</v>
      </c>
      <c r="T304" s="148">
        <f>S304*$T$5*$T$10</f>
        <v>20085.383999999998</v>
      </c>
      <c r="U304" s="199"/>
      <c r="V304" s="150"/>
      <c r="W304" s="151"/>
      <c r="X304" s="151"/>
      <c r="Y304" s="152"/>
      <c r="Z304" s="153"/>
      <c r="AA304" s="153"/>
      <c r="AB304" s="154"/>
      <c r="AC304" s="155">
        <f t="shared" si="380"/>
        <v>11649.522719999999</v>
      </c>
      <c r="AD304" s="156">
        <f t="shared" si="381"/>
        <v>2611.0999199999997</v>
      </c>
      <c r="AE304" s="156">
        <f t="shared" si="382"/>
        <v>1762.4924459999997</v>
      </c>
      <c r="AF304" s="156">
        <f t="shared" si="383"/>
        <v>803.41535999999996</v>
      </c>
      <c r="AG304" s="156">
        <f t="shared" si="384"/>
        <v>401.70767999999998</v>
      </c>
      <c r="AH304" s="156">
        <f t="shared" si="385"/>
        <v>401.70767999999998</v>
      </c>
      <c r="AI304" s="156">
        <f t="shared" si="386"/>
        <v>200.85383999999999</v>
      </c>
      <c r="AJ304" s="156">
        <f t="shared" si="387"/>
        <v>401.70767999999998</v>
      </c>
      <c r="AK304" s="156">
        <f t="shared" si="388"/>
        <v>401.70767999999998</v>
      </c>
      <c r="AL304" s="156">
        <f t="shared" si="389"/>
        <v>1405.9768799999999</v>
      </c>
      <c r="AM304" s="157">
        <f t="shared" si="390"/>
        <v>6181.2769259999986</v>
      </c>
      <c r="AN304" s="158">
        <f t="shared" si="391"/>
        <v>2200</v>
      </c>
      <c r="AO304" s="159">
        <v>0.2</v>
      </c>
      <c r="AP304" s="160">
        <f t="shared" si="392"/>
        <v>164238782.30732015</v>
      </c>
      <c r="AQ304" s="161">
        <f t="shared" si="393"/>
        <v>45621.887624006311</v>
      </c>
      <c r="AR304" s="162">
        <f t="shared" si="394"/>
        <v>9124.3775248012626</v>
      </c>
      <c r="AS304" s="163">
        <f t="shared" si="395"/>
        <v>1.3019945098175318</v>
      </c>
      <c r="AT304" s="164">
        <f t="shared" si="396"/>
        <v>1.3019945098175318</v>
      </c>
      <c r="AU304" s="165"/>
      <c r="AV304" s="166"/>
      <c r="AW304" s="167"/>
      <c r="AX304" s="146"/>
      <c r="AY304" s="168"/>
    </row>
    <row r="305" spans="1:51" s="139" customFormat="1" ht="11.25" x14ac:dyDescent="0.25">
      <c r="A305" s="1"/>
      <c r="B305" s="140">
        <v>20</v>
      </c>
      <c r="C305" s="333" t="s">
        <v>336</v>
      </c>
      <c r="D305" s="142"/>
      <c r="E305" s="143"/>
      <c r="F305" s="143"/>
      <c r="G305" s="143"/>
      <c r="H305" s="143"/>
      <c r="I305" s="143"/>
      <c r="J305" s="143"/>
      <c r="K305" s="143"/>
      <c r="L305" s="143"/>
      <c r="M305" s="143"/>
      <c r="N305" s="222"/>
      <c r="O305" s="222">
        <v>2440136</v>
      </c>
      <c r="P305" s="145"/>
      <c r="Q305" s="223">
        <f t="shared" si="376"/>
        <v>2440136</v>
      </c>
      <c r="R305" s="147">
        <f>Q305*$R$7</f>
        <v>578312.23199999996</v>
      </c>
      <c r="S305" s="147">
        <f t="shared" si="378"/>
        <v>1584.4170739726026</v>
      </c>
      <c r="T305" s="148">
        <f>S305*$T$5*$T$7</f>
        <v>520481.00879999995</v>
      </c>
      <c r="U305" s="199"/>
      <c r="V305" s="150"/>
      <c r="W305" s="151"/>
      <c r="X305" s="151"/>
      <c r="Y305" s="152"/>
      <c r="Z305" s="153"/>
      <c r="AA305" s="153"/>
      <c r="AB305" s="154"/>
      <c r="AC305" s="155">
        <f t="shared" si="380"/>
        <v>301878.98510399996</v>
      </c>
      <c r="AD305" s="156">
        <f t="shared" si="381"/>
        <v>67662.531143999993</v>
      </c>
      <c r="AE305" s="156">
        <f t="shared" si="382"/>
        <v>45672.208522199995</v>
      </c>
      <c r="AF305" s="156">
        <f t="shared" si="383"/>
        <v>20819.240351999997</v>
      </c>
      <c r="AG305" s="156">
        <f t="shared" si="384"/>
        <v>10409.620175999999</v>
      </c>
      <c r="AH305" s="156">
        <f t="shared" si="385"/>
        <v>10409.620175999999</v>
      </c>
      <c r="AI305" s="156">
        <f t="shared" si="386"/>
        <v>5204.8100879999993</v>
      </c>
      <c r="AJ305" s="156">
        <f t="shared" si="387"/>
        <v>10409.620175999999</v>
      </c>
      <c r="AK305" s="156">
        <f t="shared" si="388"/>
        <v>10409.620175999999</v>
      </c>
      <c r="AL305" s="156">
        <f t="shared" si="389"/>
        <v>36433.670616000003</v>
      </c>
      <c r="AM305" s="157">
        <f t="shared" si="390"/>
        <v>160178.03045819997</v>
      </c>
      <c r="AN305" s="158">
        <f t="shared" si="391"/>
        <v>2200</v>
      </c>
      <c r="AO305" s="159">
        <v>0.2</v>
      </c>
      <c r="AP305" s="160">
        <f t="shared" si="392"/>
        <v>4255988688.0628009</v>
      </c>
      <c r="AQ305" s="161">
        <f t="shared" si="393"/>
        <v>1182219.1745949711</v>
      </c>
      <c r="AR305" s="162">
        <f t="shared" si="394"/>
        <v>236443.83491899422</v>
      </c>
      <c r="AS305" s="163">
        <f t="shared" si="395"/>
        <v>33.739131695061964</v>
      </c>
      <c r="AT305" s="164">
        <f t="shared" si="396"/>
        <v>33.739131695061964</v>
      </c>
      <c r="AU305" s="165"/>
      <c r="AV305" s="166"/>
      <c r="AW305" s="167"/>
      <c r="AX305" s="146"/>
      <c r="AY305" s="168"/>
    </row>
    <row r="306" spans="1:51" s="139" customFormat="1" ht="11.25" x14ac:dyDescent="0.25">
      <c r="A306" s="1"/>
      <c r="B306" s="140">
        <v>21</v>
      </c>
      <c r="C306" s="339" t="s">
        <v>337</v>
      </c>
      <c r="D306" s="142"/>
      <c r="E306" s="143"/>
      <c r="F306" s="143"/>
      <c r="G306" s="143"/>
      <c r="H306" s="143"/>
      <c r="I306" s="143"/>
      <c r="J306" s="143"/>
      <c r="K306" s="143"/>
      <c r="L306" s="143"/>
      <c r="M306" s="143"/>
      <c r="N306" s="222"/>
      <c r="O306" s="222">
        <v>301992</v>
      </c>
      <c r="P306" s="145"/>
      <c r="Q306" s="223">
        <f t="shared" si="376"/>
        <v>301992</v>
      </c>
      <c r="R306" s="147">
        <f>Q306*$R$10</f>
        <v>33219.120000000003</v>
      </c>
      <c r="S306" s="147">
        <f t="shared" si="378"/>
        <v>91.011287671232878</v>
      </c>
      <c r="T306" s="148">
        <f>S306*$T$5*$T$10</f>
        <v>19931.472000000002</v>
      </c>
      <c r="U306" s="199"/>
      <c r="V306" s="150"/>
      <c r="W306" s="151"/>
      <c r="X306" s="151"/>
      <c r="Y306" s="152"/>
      <c r="Z306" s="153"/>
      <c r="AA306" s="153"/>
      <c r="AB306" s="154"/>
      <c r="AC306" s="155">
        <f t="shared" si="380"/>
        <v>11560.25376</v>
      </c>
      <c r="AD306" s="156">
        <f t="shared" si="381"/>
        <v>2591.0913600000003</v>
      </c>
      <c r="AE306" s="156">
        <f t="shared" si="382"/>
        <v>1748.986668</v>
      </c>
      <c r="AF306" s="156">
        <f t="shared" si="383"/>
        <v>797.25888000000009</v>
      </c>
      <c r="AG306" s="156">
        <f t="shared" si="384"/>
        <v>398.62944000000005</v>
      </c>
      <c r="AH306" s="156">
        <f t="shared" si="385"/>
        <v>398.62944000000005</v>
      </c>
      <c r="AI306" s="156">
        <f t="shared" si="386"/>
        <v>199.31472000000002</v>
      </c>
      <c r="AJ306" s="156">
        <f t="shared" si="387"/>
        <v>398.62944000000005</v>
      </c>
      <c r="AK306" s="156">
        <f t="shared" si="388"/>
        <v>398.62944000000005</v>
      </c>
      <c r="AL306" s="156">
        <f t="shared" si="389"/>
        <v>1395.2030400000003</v>
      </c>
      <c r="AM306" s="157">
        <f t="shared" si="390"/>
        <v>6133.9105079999999</v>
      </c>
      <c r="AN306" s="158">
        <f t="shared" si="391"/>
        <v>2200</v>
      </c>
      <c r="AO306" s="159">
        <v>0.2</v>
      </c>
      <c r="AP306" s="160">
        <f t="shared" si="392"/>
        <v>162980239.30597728</v>
      </c>
      <c r="AQ306" s="161">
        <f t="shared" si="393"/>
        <v>45272.292317887899</v>
      </c>
      <c r="AR306" s="162">
        <f t="shared" si="394"/>
        <v>9054.4584635775809</v>
      </c>
      <c r="AS306" s="163">
        <f t="shared" si="395"/>
        <v>1.2920174748255679</v>
      </c>
      <c r="AT306" s="164">
        <f t="shared" si="396"/>
        <v>1.2920174748255679</v>
      </c>
      <c r="AU306" s="165"/>
      <c r="AV306" s="166"/>
      <c r="AW306" s="167"/>
      <c r="AX306" s="146"/>
      <c r="AY306" s="168"/>
    </row>
    <row r="307" spans="1:51" s="139" customFormat="1" ht="11.25" x14ac:dyDescent="0.25">
      <c r="A307" s="1"/>
      <c r="B307" s="140">
        <v>22</v>
      </c>
      <c r="C307" s="333" t="s">
        <v>338</v>
      </c>
      <c r="D307" s="142"/>
      <c r="E307" s="143"/>
      <c r="F307" s="143"/>
      <c r="G307" s="143"/>
      <c r="H307" s="143"/>
      <c r="I307" s="143"/>
      <c r="J307" s="143"/>
      <c r="K307" s="143"/>
      <c r="L307" s="143"/>
      <c r="M307" s="143"/>
      <c r="N307" s="222"/>
      <c r="O307" s="222">
        <v>2379000</v>
      </c>
      <c r="P307" s="145"/>
      <c r="Q307" s="223">
        <f t="shared" si="376"/>
        <v>2379000</v>
      </c>
      <c r="R307" s="147">
        <f>Q307*$R$7</f>
        <v>563823</v>
      </c>
      <c r="S307" s="147">
        <f t="shared" si="378"/>
        <v>1544.7205479452055</v>
      </c>
      <c r="T307" s="148">
        <f>S307*$T$5*$T$7</f>
        <v>507440.7</v>
      </c>
      <c r="U307" s="199"/>
      <c r="V307" s="150"/>
      <c r="W307" s="151"/>
      <c r="X307" s="151"/>
      <c r="Y307" s="152"/>
      <c r="Z307" s="153"/>
      <c r="AA307" s="153"/>
      <c r="AB307" s="154"/>
      <c r="AC307" s="155">
        <f t="shared" si="380"/>
        <v>294315.60599999997</v>
      </c>
      <c r="AD307" s="156">
        <f t="shared" si="381"/>
        <v>65967.290999999997</v>
      </c>
      <c r="AE307" s="156">
        <f t="shared" si="382"/>
        <v>44527.921425</v>
      </c>
      <c r="AF307" s="156">
        <f t="shared" si="383"/>
        <v>20297.628000000001</v>
      </c>
      <c r="AG307" s="156">
        <f t="shared" si="384"/>
        <v>10148.814</v>
      </c>
      <c r="AH307" s="156">
        <f t="shared" si="385"/>
        <v>10148.814</v>
      </c>
      <c r="AI307" s="156">
        <f t="shared" si="386"/>
        <v>5074.4070000000002</v>
      </c>
      <c r="AJ307" s="156">
        <f t="shared" si="387"/>
        <v>10148.814</v>
      </c>
      <c r="AK307" s="156">
        <f t="shared" si="388"/>
        <v>10148.814</v>
      </c>
      <c r="AL307" s="156">
        <f t="shared" si="389"/>
        <v>35520.849000000002</v>
      </c>
      <c r="AM307" s="157">
        <f t="shared" si="390"/>
        <v>156164.87542500003</v>
      </c>
      <c r="AN307" s="158">
        <f t="shared" si="391"/>
        <v>2200</v>
      </c>
      <c r="AO307" s="159">
        <v>0.2</v>
      </c>
      <c r="AP307" s="160">
        <f t="shared" si="392"/>
        <v>4149357695.1864176</v>
      </c>
      <c r="AQ307" s="161">
        <f t="shared" si="393"/>
        <v>1152599.4519819536</v>
      </c>
      <c r="AR307" s="162">
        <f t="shared" si="394"/>
        <v>230519.89039639072</v>
      </c>
      <c r="AS307" s="163">
        <f t="shared" si="395"/>
        <v>32.89381997665393</v>
      </c>
      <c r="AT307" s="164">
        <f t="shared" si="396"/>
        <v>32.89381997665393</v>
      </c>
      <c r="AU307" s="165"/>
      <c r="AV307" s="166"/>
      <c r="AW307" s="167"/>
      <c r="AX307" s="146"/>
      <c r="AY307" s="168"/>
    </row>
    <row r="308" spans="1:51" s="139" customFormat="1" ht="11.25" x14ac:dyDescent="0.25">
      <c r="A308" s="1"/>
      <c r="B308" s="140">
        <v>23</v>
      </c>
      <c r="C308" s="333" t="s">
        <v>339</v>
      </c>
      <c r="D308" s="142"/>
      <c r="E308" s="143"/>
      <c r="F308" s="143"/>
      <c r="G308" s="143"/>
      <c r="H308" s="143"/>
      <c r="I308" s="143"/>
      <c r="J308" s="143"/>
      <c r="K308" s="143"/>
      <c r="L308" s="143"/>
      <c r="M308" s="143"/>
      <c r="N308" s="222"/>
      <c r="O308" s="222">
        <v>1771428</v>
      </c>
      <c r="P308" s="145"/>
      <c r="Q308" s="223">
        <f t="shared" si="376"/>
        <v>1771428</v>
      </c>
      <c r="R308" s="147">
        <f>Q308*$R$7</f>
        <v>419828.43599999999</v>
      </c>
      <c r="S308" s="147">
        <f t="shared" si="378"/>
        <v>1150.2148931506849</v>
      </c>
      <c r="T308" s="148">
        <f>S308*$T$5*$T$7</f>
        <v>377845.59240000002</v>
      </c>
      <c r="U308" s="199"/>
      <c r="V308" s="150"/>
      <c r="W308" s="151"/>
      <c r="X308" s="151"/>
      <c r="Y308" s="152"/>
      <c r="Z308" s="153"/>
      <c r="AA308" s="153"/>
      <c r="AB308" s="154"/>
      <c r="AC308" s="155">
        <f t="shared" si="380"/>
        <v>219150.443592</v>
      </c>
      <c r="AD308" s="156">
        <f t="shared" si="381"/>
        <v>49119.927012000007</v>
      </c>
      <c r="AE308" s="156">
        <f t="shared" si="382"/>
        <v>33155.950733099999</v>
      </c>
      <c r="AF308" s="156">
        <f t="shared" si="383"/>
        <v>15113.823696000001</v>
      </c>
      <c r="AG308" s="156">
        <f t="shared" si="384"/>
        <v>7556.9118480000006</v>
      </c>
      <c r="AH308" s="156">
        <f t="shared" si="385"/>
        <v>7556.9118480000006</v>
      </c>
      <c r="AI308" s="156">
        <f t="shared" si="386"/>
        <v>3778.4559240000003</v>
      </c>
      <c r="AJ308" s="156">
        <f t="shared" si="387"/>
        <v>7556.9118480000006</v>
      </c>
      <c r="AK308" s="156">
        <f t="shared" si="388"/>
        <v>7556.9118480000006</v>
      </c>
      <c r="AL308" s="156">
        <f t="shared" si="389"/>
        <v>26449.191468000005</v>
      </c>
      <c r="AM308" s="157">
        <f t="shared" si="390"/>
        <v>116281.98106110001</v>
      </c>
      <c r="AN308" s="158">
        <f t="shared" si="391"/>
        <v>2200</v>
      </c>
      <c r="AO308" s="159">
        <v>0.2</v>
      </c>
      <c r="AP308" s="160">
        <f t="shared" si="392"/>
        <v>3089654646.1827183</v>
      </c>
      <c r="AQ308" s="161">
        <f t="shared" si="393"/>
        <v>858237.4703764139</v>
      </c>
      <c r="AR308" s="162">
        <f t="shared" si="394"/>
        <v>171647.4940752828</v>
      </c>
      <c r="AS308" s="163">
        <f t="shared" si="395"/>
        <v>24.493078492477569</v>
      </c>
      <c r="AT308" s="164">
        <f t="shared" si="396"/>
        <v>24.493078492477569</v>
      </c>
      <c r="AU308" s="165"/>
      <c r="AV308" s="166"/>
      <c r="AW308" s="167"/>
      <c r="AX308" s="146"/>
      <c r="AY308" s="168"/>
    </row>
    <row r="309" spans="1:51" s="139" customFormat="1" ht="11.25" x14ac:dyDescent="0.25">
      <c r="A309" s="1"/>
      <c r="B309" s="140">
        <v>24</v>
      </c>
      <c r="C309" s="339" t="s">
        <v>340</v>
      </c>
      <c r="D309" s="142"/>
      <c r="E309" s="143"/>
      <c r="F309" s="143"/>
      <c r="G309" s="143"/>
      <c r="H309" s="143"/>
      <c r="I309" s="143"/>
      <c r="J309" s="143"/>
      <c r="K309" s="143"/>
      <c r="L309" s="143"/>
      <c r="M309" s="143"/>
      <c r="N309" s="222"/>
      <c r="O309" s="222">
        <v>647473</v>
      </c>
      <c r="P309" s="145"/>
      <c r="Q309" s="223">
        <f t="shared" si="376"/>
        <v>647473</v>
      </c>
      <c r="R309" s="147">
        <f>Q309*$R$9</f>
        <v>94531.05799999999</v>
      </c>
      <c r="S309" s="147">
        <f t="shared" si="378"/>
        <v>258.98919999999998</v>
      </c>
      <c r="T309" s="148">
        <f>S309*$T$5*$T$9</f>
        <v>66171.74059999999</v>
      </c>
      <c r="U309" s="199"/>
      <c r="V309" s="150"/>
      <c r="W309" s="151"/>
      <c r="X309" s="151"/>
      <c r="Y309" s="152"/>
      <c r="Z309" s="153"/>
      <c r="AA309" s="153"/>
      <c r="AB309" s="154"/>
      <c r="AC309" s="155">
        <f t="shared" si="380"/>
        <v>38379.609547999993</v>
      </c>
      <c r="AD309" s="156">
        <f t="shared" si="381"/>
        <v>8602.3262779999986</v>
      </c>
      <c r="AE309" s="156">
        <f t="shared" si="382"/>
        <v>5806.5702376499985</v>
      </c>
      <c r="AF309" s="156">
        <f t="shared" si="383"/>
        <v>2646.8696239999995</v>
      </c>
      <c r="AG309" s="156">
        <f t="shared" si="384"/>
        <v>1323.4348119999997</v>
      </c>
      <c r="AH309" s="156">
        <f t="shared" si="385"/>
        <v>1323.4348119999997</v>
      </c>
      <c r="AI309" s="156">
        <f t="shared" si="386"/>
        <v>661.71740599999987</v>
      </c>
      <c r="AJ309" s="156">
        <f t="shared" si="387"/>
        <v>1323.4348119999997</v>
      </c>
      <c r="AK309" s="156">
        <f t="shared" si="388"/>
        <v>1323.4348119999997</v>
      </c>
      <c r="AL309" s="156">
        <f t="shared" si="389"/>
        <v>4632.0218420000001</v>
      </c>
      <c r="AM309" s="157">
        <f t="shared" si="390"/>
        <v>20364.353169649996</v>
      </c>
      <c r="AN309" s="158">
        <f t="shared" si="391"/>
        <v>2200</v>
      </c>
      <c r="AO309" s="159">
        <v>0.2</v>
      </c>
      <c r="AP309" s="160">
        <f t="shared" si="392"/>
        <v>541088290.83376539</v>
      </c>
      <c r="AQ309" s="161">
        <f t="shared" si="393"/>
        <v>150302.3150335635</v>
      </c>
      <c r="AR309" s="162">
        <f t="shared" si="394"/>
        <v>30060.4630067127</v>
      </c>
      <c r="AS309" s="163">
        <f t="shared" si="395"/>
        <v>4.289449629953296</v>
      </c>
      <c r="AT309" s="164">
        <f t="shared" si="396"/>
        <v>4.289449629953296</v>
      </c>
      <c r="AU309" s="165"/>
      <c r="AV309" s="166"/>
      <c r="AW309" s="167"/>
      <c r="AX309" s="146"/>
      <c r="AY309" s="168"/>
    </row>
    <row r="310" spans="1:51" s="139" customFormat="1" ht="11.25" x14ac:dyDescent="0.25">
      <c r="A310" s="1"/>
      <c r="B310" s="140">
        <v>25</v>
      </c>
      <c r="C310" s="339" t="s">
        <v>341</v>
      </c>
      <c r="D310" s="142"/>
      <c r="E310" s="143"/>
      <c r="F310" s="143"/>
      <c r="G310" s="143"/>
      <c r="H310" s="143"/>
      <c r="I310" s="143"/>
      <c r="J310" s="143"/>
      <c r="K310" s="143"/>
      <c r="L310" s="143"/>
      <c r="M310" s="143"/>
      <c r="N310" s="222"/>
      <c r="O310" s="222">
        <v>551405</v>
      </c>
      <c r="P310" s="145"/>
      <c r="Q310" s="223">
        <f t="shared" si="376"/>
        <v>551405</v>
      </c>
      <c r="R310" s="147">
        <f>Q310*$R$9</f>
        <v>80505.12999999999</v>
      </c>
      <c r="S310" s="147">
        <f t="shared" si="378"/>
        <v>220.56199999999998</v>
      </c>
      <c r="T310" s="148">
        <f>S310*$T$5*$T$9</f>
        <v>56353.590999999993</v>
      </c>
      <c r="U310" s="199"/>
      <c r="V310" s="150"/>
      <c r="W310" s="151"/>
      <c r="X310" s="151"/>
      <c r="Y310" s="152"/>
      <c r="Z310" s="153"/>
      <c r="AA310" s="153"/>
      <c r="AB310" s="154"/>
      <c r="AC310" s="155">
        <f t="shared" si="380"/>
        <v>32685.082779999993</v>
      </c>
      <c r="AD310" s="156">
        <f t="shared" si="381"/>
        <v>7325.9668299999994</v>
      </c>
      <c r="AE310" s="156">
        <f t="shared" si="382"/>
        <v>4945.0276102499993</v>
      </c>
      <c r="AF310" s="156">
        <f t="shared" si="383"/>
        <v>2254.1436399999998</v>
      </c>
      <c r="AG310" s="156">
        <f t="shared" si="384"/>
        <v>1127.0718199999999</v>
      </c>
      <c r="AH310" s="156">
        <f t="shared" si="385"/>
        <v>1127.0718199999999</v>
      </c>
      <c r="AI310" s="156">
        <f t="shared" si="386"/>
        <v>563.53590999999994</v>
      </c>
      <c r="AJ310" s="156">
        <f t="shared" si="387"/>
        <v>1127.0718199999999</v>
      </c>
      <c r="AK310" s="156">
        <f t="shared" si="388"/>
        <v>1127.0718199999999</v>
      </c>
      <c r="AL310" s="156">
        <f t="shared" si="389"/>
        <v>3944.75137</v>
      </c>
      <c r="AM310" s="157">
        <f t="shared" si="390"/>
        <v>17342.817630249996</v>
      </c>
      <c r="AN310" s="158">
        <f t="shared" si="391"/>
        <v>2200</v>
      </c>
      <c r="AO310" s="159">
        <v>0.2</v>
      </c>
      <c r="AP310" s="160">
        <f t="shared" si="392"/>
        <v>460804989.56279624</v>
      </c>
      <c r="AQ310" s="161">
        <f t="shared" si="393"/>
        <v>128001.3962297765</v>
      </c>
      <c r="AR310" s="162">
        <f t="shared" si="394"/>
        <v>25600.279245955302</v>
      </c>
      <c r="AS310" s="163">
        <f t="shared" si="395"/>
        <v>3.6530078832698774</v>
      </c>
      <c r="AT310" s="164">
        <f t="shared" si="396"/>
        <v>3.6530078832698774</v>
      </c>
      <c r="AU310" s="165"/>
      <c r="AV310" s="166"/>
      <c r="AW310" s="167"/>
      <c r="AX310" s="146"/>
      <c r="AY310" s="168"/>
    </row>
    <row r="311" spans="1:51" s="139" customFormat="1" ht="11.25" x14ac:dyDescent="0.25">
      <c r="A311" s="1"/>
      <c r="B311" s="140">
        <v>26</v>
      </c>
      <c r="C311" s="339" t="s">
        <v>342</v>
      </c>
      <c r="D311" s="142"/>
      <c r="E311" s="143"/>
      <c r="F311" s="143"/>
      <c r="G311" s="143"/>
      <c r="H311" s="143"/>
      <c r="I311" s="143"/>
      <c r="J311" s="143"/>
      <c r="K311" s="143"/>
      <c r="L311" s="143"/>
      <c r="M311" s="143"/>
      <c r="N311" s="222"/>
      <c r="O311" s="222">
        <v>178467</v>
      </c>
      <c r="P311" s="145"/>
      <c r="Q311" s="223">
        <f t="shared" si="376"/>
        <v>178467</v>
      </c>
      <c r="R311" s="147">
        <f>Q311*$R$10</f>
        <v>19631.37</v>
      </c>
      <c r="S311" s="147">
        <f t="shared" si="378"/>
        <v>53.78457534246575</v>
      </c>
      <c r="T311" s="148">
        <f>S311*$T$5*$T$10</f>
        <v>11778.821999999998</v>
      </c>
      <c r="U311" s="199"/>
      <c r="V311" s="150"/>
      <c r="W311" s="151"/>
      <c r="X311" s="151"/>
      <c r="Y311" s="152"/>
      <c r="Z311" s="153"/>
      <c r="AA311" s="153"/>
      <c r="AB311" s="154"/>
      <c r="AC311" s="155">
        <f t="shared" si="380"/>
        <v>6831.7167599999984</v>
      </c>
      <c r="AD311" s="156">
        <f t="shared" si="381"/>
        <v>1531.2468599999997</v>
      </c>
      <c r="AE311" s="156">
        <f t="shared" si="382"/>
        <v>1033.5916304999998</v>
      </c>
      <c r="AF311" s="156">
        <f t="shared" si="383"/>
        <v>471.15287999999993</v>
      </c>
      <c r="AG311" s="156">
        <f t="shared" si="384"/>
        <v>235.57643999999996</v>
      </c>
      <c r="AH311" s="156">
        <f t="shared" si="385"/>
        <v>235.57643999999996</v>
      </c>
      <c r="AI311" s="156">
        <f t="shared" si="386"/>
        <v>117.78821999999998</v>
      </c>
      <c r="AJ311" s="156">
        <f t="shared" si="387"/>
        <v>235.57643999999996</v>
      </c>
      <c r="AK311" s="156">
        <f t="shared" si="388"/>
        <v>235.57643999999996</v>
      </c>
      <c r="AL311" s="156">
        <f t="shared" si="389"/>
        <v>824.51753999999994</v>
      </c>
      <c r="AM311" s="157">
        <f t="shared" si="390"/>
        <v>3624.932470499999</v>
      </c>
      <c r="AN311" s="158">
        <f t="shared" si="391"/>
        <v>2200</v>
      </c>
      <c r="AO311" s="159">
        <v>0.2</v>
      </c>
      <c r="AP311" s="160">
        <f t="shared" si="392"/>
        <v>96315777.796166256</v>
      </c>
      <c r="AQ311" s="161">
        <f t="shared" si="393"/>
        <v>26754.384861507911</v>
      </c>
      <c r="AR311" s="162">
        <f t="shared" si="394"/>
        <v>5350.876972301583</v>
      </c>
      <c r="AS311" s="163">
        <f t="shared" si="395"/>
        <v>0.76353838075079661</v>
      </c>
      <c r="AT311" s="164">
        <f t="shared" si="396"/>
        <v>0.76353838075079661</v>
      </c>
      <c r="AU311" s="165"/>
      <c r="AV311" s="166"/>
      <c r="AW311" s="167"/>
      <c r="AX311" s="146"/>
      <c r="AY311" s="168"/>
    </row>
    <row r="312" spans="1:51" s="190" customFormat="1" ht="16.7" customHeight="1" x14ac:dyDescent="0.25">
      <c r="A312" s="173"/>
      <c r="B312" s="120"/>
      <c r="C312" s="121" t="s">
        <v>343</v>
      </c>
      <c r="D312" s="240">
        <f t="shared" ref="D312:U312" si="397">SUM(D286:D311)</f>
        <v>0</v>
      </c>
      <c r="E312" s="240">
        <f t="shared" si="397"/>
        <v>0</v>
      </c>
      <c r="F312" s="240">
        <f t="shared" si="397"/>
        <v>0</v>
      </c>
      <c r="G312" s="240">
        <f t="shared" si="397"/>
        <v>0</v>
      </c>
      <c r="H312" s="240">
        <f t="shared" si="397"/>
        <v>0</v>
      </c>
      <c r="I312" s="240">
        <f t="shared" si="397"/>
        <v>0</v>
      </c>
      <c r="J312" s="240">
        <f t="shared" si="397"/>
        <v>0</v>
      </c>
      <c r="K312" s="240">
        <f t="shared" si="397"/>
        <v>0</v>
      </c>
      <c r="L312" s="240">
        <f t="shared" si="397"/>
        <v>0</v>
      </c>
      <c r="M312" s="240">
        <f t="shared" si="397"/>
        <v>0</v>
      </c>
      <c r="N312" s="240">
        <f t="shared" si="397"/>
        <v>0</v>
      </c>
      <c r="O312" s="240">
        <f t="shared" si="397"/>
        <v>43867447</v>
      </c>
      <c r="P312" s="240">
        <f t="shared" si="397"/>
        <v>0</v>
      </c>
      <c r="Q312" s="240">
        <f t="shared" si="397"/>
        <v>43867447</v>
      </c>
      <c r="R312" s="240">
        <f t="shared" si="397"/>
        <v>9775528.4010000005</v>
      </c>
      <c r="S312" s="240">
        <f t="shared" si="397"/>
        <v>26782.269591780827</v>
      </c>
      <c r="T312" s="240">
        <f t="shared" si="397"/>
        <v>8628361.6990999989</v>
      </c>
      <c r="U312" s="199">
        <f t="shared" si="397"/>
        <v>0</v>
      </c>
      <c r="V312" s="241"/>
      <c r="W312" s="242">
        <f>SUM(W286:W311)</f>
        <v>0</v>
      </c>
      <c r="X312" s="242">
        <f>SUM(X286:X311)</f>
        <v>0</v>
      </c>
      <c r="Y312" s="242">
        <f>SUM(Y286:Y311)</f>
        <v>0</v>
      </c>
      <c r="Z312" s="199"/>
      <c r="AA312" s="199"/>
      <c r="AB312" s="243"/>
      <c r="AC312" s="240">
        <f t="shared" ref="AC312:AM312" si="398">SUM(AC286:AC311)</f>
        <v>5004449.7854779977</v>
      </c>
      <c r="AD312" s="244">
        <f t="shared" si="398"/>
        <v>1121687.0208829998</v>
      </c>
      <c r="AE312" s="244">
        <f t="shared" si="398"/>
        <v>757138.73909602489</v>
      </c>
      <c r="AF312" s="244">
        <f t="shared" si="398"/>
        <v>345134.46796399989</v>
      </c>
      <c r="AG312" s="244">
        <f t="shared" si="398"/>
        <v>172567.23398199995</v>
      </c>
      <c r="AH312" s="244">
        <f t="shared" si="398"/>
        <v>172567.23398199995</v>
      </c>
      <c r="AI312" s="244">
        <f t="shared" si="398"/>
        <v>86283.616990999973</v>
      </c>
      <c r="AJ312" s="244">
        <f t="shared" si="398"/>
        <v>172567.23398199995</v>
      </c>
      <c r="AK312" s="244">
        <f t="shared" si="398"/>
        <v>172567.23398199995</v>
      </c>
      <c r="AL312" s="244">
        <f t="shared" si="398"/>
        <v>603985.31893699989</v>
      </c>
      <c r="AM312" s="245">
        <f t="shared" si="398"/>
        <v>2655378.3128980245</v>
      </c>
      <c r="AN312" s="158"/>
      <c r="AO312" s="183"/>
      <c r="AP312" s="184">
        <f>SUM(AP286:AP311)</f>
        <v>70554370221.017609</v>
      </c>
      <c r="AQ312" s="184">
        <f>SUM(AQ286:AQ311)</f>
        <v>19598437.740379792</v>
      </c>
      <c r="AR312" s="184">
        <f>SUM(AR286:AR311)</f>
        <v>3919687.5480759572</v>
      </c>
      <c r="AS312" s="185">
        <f>SUM(AS286:AS311)</f>
        <v>559.316145558784</v>
      </c>
      <c r="AT312" s="186">
        <f>SUM(AT286:AT311)</f>
        <v>559.316145558784</v>
      </c>
      <c r="AU312" s="187"/>
      <c r="AV312" s="246">
        <f>SUM(AV290:AV311)</f>
        <v>0</v>
      </c>
      <c r="AW312" s="246"/>
      <c r="AX312" s="185">
        <f>SUM(AX290:AX311)</f>
        <v>0</v>
      </c>
      <c r="AY312" s="189"/>
    </row>
    <row r="314" spans="1:51" s="139" customFormat="1" ht="15" customHeight="1" x14ac:dyDescent="0.25">
      <c r="A314" s="1"/>
      <c r="B314" s="120"/>
      <c r="C314" s="121" t="s">
        <v>344</v>
      </c>
      <c r="D314" s="122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213"/>
      <c r="Q314" s="76"/>
      <c r="R314" s="108"/>
      <c r="S314" s="108"/>
      <c r="T314" s="94"/>
      <c r="U314" s="199"/>
      <c r="V314" s="179"/>
      <c r="W314" s="180"/>
      <c r="X314" s="180"/>
      <c r="Y314" s="214"/>
      <c r="Z314" s="181"/>
      <c r="AA314" s="181"/>
      <c r="AB314" s="182"/>
      <c r="AC314" s="62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125"/>
      <c r="AN314" s="75"/>
      <c r="AO314" s="216"/>
      <c r="AP314" s="75"/>
      <c r="AQ314" s="51"/>
      <c r="AR314" s="217"/>
      <c r="AS314" s="218"/>
      <c r="AT314" s="219"/>
      <c r="AU314" s="220"/>
      <c r="AV314" s="135"/>
      <c r="AW314" s="136"/>
      <c r="AX314" s="137"/>
      <c r="AY314" s="138"/>
    </row>
    <row r="315" spans="1:51" s="139" customFormat="1" ht="11.25" x14ac:dyDescent="0.25">
      <c r="A315" s="1"/>
      <c r="B315" s="140">
        <v>1</v>
      </c>
      <c r="C315" s="340" t="s">
        <v>345</v>
      </c>
      <c r="D315" s="142"/>
      <c r="E315" s="143"/>
      <c r="F315" s="143"/>
      <c r="G315" s="143"/>
      <c r="H315" s="143"/>
      <c r="I315" s="143"/>
      <c r="J315" s="143"/>
      <c r="K315" s="143"/>
      <c r="L315" s="143"/>
      <c r="M315" s="143"/>
      <c r="N315" s="222"/>
      <c r="O315" s="222">
        <v>1642107</v>
      </c>
      <c r="P315" s="145"/>
      <c r="Q315" s="223">
        <f>MAX(D315:P315)</f>
        <v>1642107</v>
      </c>
      <c r="R315" s="147">
        <f>Q315*$R$7</f>
        <v>389179.359</v>
      </c>
      <c r="S315" s="147">
        <f t="shared" ref="S315:S349" si="399">R315/$S$5</f>
        <v>1066.2448191780823</v>
      </c>
      <c r="T315" s="148">
        <f>S315*$T$5*$T$7</f>
        <v>350261.42310000001</v>
      </c>
      <c r="U315" s="199"/>
      <c r="V315" s="150"/>
      <c r="W315" s="151"/>
      <c r="X315" s="151"/>
      <c r="Y315" s="152"/>
      <c r="Z315" s="153"/>
      <c r="AA315" s="153"/>
      <c r="AB315" s="154"/>
      <c r="AC315" s="155">
        <f t="shared" ref="AC315:AC349" si="400">T315*$AC$5</f>
        <v>203151.625398</v>
      </c>
      <c r="AD315" s="156">
        <f t="shared" ref="AD315:AD349" si="401">T315*$AD$5</f>
        <v>45533.985003000002</v>
      </c>
      <c r="AE315" s="156">
        <f t="shared" ref="AE315:AE349" si="402">T315*$AE$5</f>
        <v>30735.439877025001</v>
      </c>
      <c r="AF315" s="156">
        <f t="shared" ref="AF315:AF349" si="403">T315*$AF$5</f>
        <v>14010.456924</v>
      </c>
      <c r="AG315" s="156">
        <f t="shared" ref="AG315:AG349" si="404">T315*$AG$5</f>
        <v>7005.228462</v>
      </c>
      <c r="AH315" s="156">
        <f t="shared" ref="AH315:AH349" si="405">T315*$AH$5</f>
        <v>7005.228462</v>
      </c>
      <c r="AI315" s="156">
        <f t="shared" ref="AI315:AI349" si="406">T315*$AI$5</f>
        <v>3502.614231</v>
      </c>
      <c r="AJ315" s="156">
        <f t="shared" ref="AJ315:AJ349" si="407">T315*$AJ$5</f>
        <v>7005.228462</v>
      </c>
      <c r="AK315" s="156">
        <f t="shared" ref="AK315:AK349" si="408">T315*$AK$5</f>
        <v>7005.228462</v>
      </c>
      <c r="AL315" s="156">
        <f t="shared" ref="AL315:AL349" si="409">T315*$AL$5</f>
        <v>24518.299617000004</v>
      </c>
      <c r="AM315" s="157">
        <f t="shared" ref="AM315:AM349" si="410">SUM(AD315:AI315)</f>
        <v>107792.952959025</v>
      </c>
      <c r="AN315" s="158">
        <f t="shared" ref="AN315:AN349" si="411">$AN$5</f>
        <v>2200</v>
      </c>
      <c r="AO315" s="159">
        <v>0.2</v>
      </c>
      <c r="AP315" s="160">
        <f t="shared" ref="AP315:AP349" si="412">(AC315+AM315)*AN315*$AP$5</f>
        <v>2864098073.4634228</v>
      </c>
      <c r="AQ315" s="161">
        <f t="shared" ref="AQ315:AQ349" si="413">AP315*$AQ$5</f>
        <v>795582.86183090799</v>
      </c>
      <c r="AR315" s="162">
        <f t="shared" ref="AR315:AR349" si="414">AQ315*$AR$5</f>
        <v>159116.57236618162</v>
      </c>
      <c r="AS315" s="163">
        <f t="shared" ref="AS315:AS349" si="415">AR315/$AS$5</f>
        <v>22.704990349055596</v>
      </c>
      <c r="AT315" s="164">
        <f t="shared" ref="AT315:AT349" si="416">AS315</f>
        <v>22.704990349055596</v>
      </c>
      <c r="AU315" s="165"/>
      <c r="AV315" s="166"/>
      <c r="AW315" s="167"/>
      <c r="AX315" s="146"/>
      <c r="AY315" s="168"/>
    </row>
    <row r="316" spans="1:51" s="139" customFormat="1" ht="11.25" x14ac:dyDescent="0.25">
      <c r="A316" s="1"/>
      <c r="B316" s="140">
        <v>2</v>
      </c>
      <c r="C316" s="340" t="s">
        <v>346</v>
      </c>
      <c r="D316" s="142"/>
      <c r="E316" s="143"/>
      <c r="F316" s="143"/>
      <c r="G316" s="143"/>
      <c r="H316" s="143"/>
      <c r="I316" s="143"/>
      <c r="J316" s="143"/>
      <c r="K316" s="143"/>
      <c r="L316" s="143"/>
      <c r="M316" s="143"/>
      <c r="N316" s="222"/>
      <c r="O316" s="222">
        <v>1554527</v>
      </c>
      <c r="P316" s="145"/>
      <c r="Q316" s="223">
        <f t="shared" ref="Q316:Q349" si="417">MAX(D316:P316)</f>
        <v>1554527</v>
      </c>
      <c r="R316" s="147">
        <f>Q316*$R$7</f>
        <v>368422.89899999998</v>
      </c>
      <c r="S316" s="147">
        <f t="shared" si="399"/>
        <v>1009.377805479452</v>
      </c>
      <c r="T316" s="148">
        <f>S316*$T$5*$T$7</f>
        <v>331580.6091</v>
      </c>
      <c r="U316" s="199"/>
      <c r="V316" s="150"/>
      <c r="W316" s="151"/>
      <c r="X316" s="151"/>
      <c r="Y316" s="152"/>
      <c r="Z316" s="153"/>
      <c r="AA316" s="153"/>
      <c r="AB316" s="154"/>
      <c r="AC316" s="155">
        <f t="shared" si="400"/>
        <v>192316.75327799999</v>
      </c>
      <c r="AD316" s="156">
        <f t="shared" si="401"/>
        <v>43105.479183000003</v>
      </c>
      <c r="AE316" s="156">
        <f t="shared" si="402"/>
        <v>29096.198448525</v>
      </c>
      <c r="AF316" s="156">
        <f t="shared" si="403"/>
        <v>13263.224364</v>
      </c>
      <c r="AG316" s="156">
        <f t="shared" si="404"/>
        <v>6631.6121819999998</v>
      </c>
      <c r="AH316" s="156">
        <f t="shared" si="405"/>
        <v>6631.6121819999998</v>
      </c>
      <c r="AI316" s="156">
        <f t="shared" si="406"/>
        <v>3315.8060909999999</v>
      </c>
      <c r="AJ316" s="156">
        <f t="shared" si="407"/>
        <v>6631.6121819999998</v>
      </c>
      <c r="AK316" s="156">
        <f t="shared" si="408"/>
        <v>6631.6121819999998</v>
      </c>
      <c r="AL316" s="156">
        <f t="shared" si="409"/>
        <v>23210.642637000001</v>
      </c>
      <c r="AM316" s="157">
        <f t="shared" si="410"/>
        <v>102043.932450525</v>
      </c>
      <c r="AN316" s="158">
        <f t="shared" si="411"/>
        <v>2200</v>
      </c>
      <c r="AO316" s="159">
        <v>0.2</v>
      </c>
      <c r="AP316" s="160">
        <f t="shared" si="412"/>
        <v>2711344501.8180141</v>
      </c>
      <c r="AQ316" s="161">
        <f t="shared" si="413"/>
        <v>753151.31075710396</v>
      </c>
      <c r="AR316" s="162">
        <f t="shared" si="414"/>
        <v>150630.26215142079</v>
      </c>
      <c r="AS316" s="163">
        <f t="shared" si="415"/>
        <v>21.494044256766664</v>
      </c>
      <c r="AT316" s="164">
        <f t="shared" si="416"/>
        <v>21.494044256766664</v>
      </c>
      <c r="AU316" s="165"/>
      <c r="AV316" s="166"/>
      <c r="AW316" s="167"/>
      <c r="AX316" s="146"/>
      <c r="AY316" s="168"/>
    </row>
    <row r="317" spans="1:51" s="139" customFormat="1" ht="11.25" x14ac:dyDescent="0.25">
      <c r="A317" s="1"/>
      <c r="B317" s="140">
        <v>3</v>
      </c>
      <c r="C317" s="340" t="s">
        <v>347</v>
      </c>
      <c r="D317" s="142"/>
      <c r="E317" s="143"/>
      <c r="F317" s="143"/>
      <c r="G317" s="143"/>
      <c r="H317" s="143"/>
      <c r="I317" s="143"/>
      <c r="J317" s="143"/>
      <c r="K317" s="143"/>
      <c r="L317" s="143"/>
      <c r="M317" s="143"/>
      <c r="N317" s="222"/>
      <c r="O317" s="222">
        <v>848952</v>
      </c>
      <c r="P317" s="145"/>
      <c r="Q317" s="223">
        <f t="shared" si="417"/>
        <v>848952</v>
      </c>
      <c r="R317" s="147">
        <f>Q317*$R$9</f>
        <v>123946.992</v>
      </c>
      <c r="S317" s="147">
        <f t="shared" si="399"/>
        <v>339.58080000000001</v>
      </c>
      <c r="T317" s="148">
        <f>S317*$T$5*$T$9</f>
        <v>86762.89439999999</v>
      </c>
      <c r="U317" s="199"/>
      <c r="V317" s="150"/>
      <c r="W317" s="151"/>
      <c r="X317" s="151"/>
      <c r="Y317" s="152"/>
      <c r="Z317" s="153"/>
      <c r="AA317" s="153"/>
      <c r="AB317" s="154"/>
      <c r="AC317" s="155">
        <f t="shared" si="400"/>
        <v>50322.478751999988</v>
      </c>
      <c r="AD317" s="156">
        <f t="shared" si="401"/>
        <v>11279.176271999999</v>
      </c>
      <c r="AE317" s="156">
        <f t="shared" si="402"/>
        <v>7613.4439835999983</v>
      </c>
      <c r="AF317" s="156">
        <f t="shared" si="403"/>
        <v>3470.5157759999997</v>
      </c>
      <c r="AG317" s="156">
        <f t="shared" si="404"/>
        <v>1735.2578879999999</v>
      </c>
      <c r="AH317" s="156">
        <f t="shared" si="405"/>
        <v>1735.2578879999999</v>
      </c>
      <c r="AI317" s="156">
        <f t="shared" si="406"/>
        <v>867.62894399999993</v>
      </c>
      <c r="AJ317" s="156">
        <f t="shared" si="407"/>
        <v>1735.2578879999999</v>
      </c>
      <c r="AK317" s="156">
        <f t="shared" si="408"/>
        <v>1735.2578879999999</v>
      </c>
      <c r="AL317" s="156">
        <f t="shared" si="409"/>
        <v>6073.4026080000003</v>
      </c>
      <c r="AM317" s="157">
        <f t="shared" si="410"/>
        <v>26701.280751599999</v>
      </c>
      <c r="AN317" s="158">
        <f t="shared" si="411"/>
        <v>2200</v>
      </c>
      <c r="AO317" s="159">
        <v>0.2</v>
      </c>
      <c r="AP317" s="160">
        <f t="shared" si="412"/>
        <v>709462767.83727932</v>
      </c>
      <c r="AQ317" s="161">
        <f t="shared" si="413"/>
        <v>197073.00683175022</v>
      </c>
      <c r="AR317" s="162">
        <f t="shared" si="414"/>
        <v>39414.601366350049</v>
      </c>
      <c r="AS317" s="163">
        <f t="shared" si="415"/>
        <v>5.6242296470248361</v>
      </c>
      <c r="AT317" s="164">
        <f t="shared" si="416"/>
        <v>5.6242296470248361</v>
      </c>
      <c r="AU317" s="165"/>
      <c r="AV317" s="166"/>
      <c r="AW317" s="167"/>
      <c r="AX317" s="146"/>
      <c r="AY317" s="168"/>
    </row>
    <row r="318" spans="1:51" s="139" customFormat="1" ht="11.25" x14ac:dyDescent="0.25">
      <c r="A318" s="1"/>
      <c r="B318" s="140">
        <v>4</v>
      </c>
      <c r="C318" s="340" t="s">
        <v>348</v>
      </c>
      <c r="D318" s="142"/>
      <c r="E318" s="143"/>
      <c r="F318" s="143"/>
      <c r="G318" s="143"/>
      <c r="H318" s="143"/>
      <c r="I318" s="143"/>
      <c r="J318" s="143"/>
      <c r="K318" s="143"/>
      <c r="L318" s="143"/>
      <c r="M318" s="143"/>
      <c r="N318" s="222"/>
      <c r="O318" s="222">
        <v>868913</v>
      </c>
      <c r="P318" s="145"/>
      <c r="Q318" s="223">
        <f t="shared" si="417"/>
        <v>868913</v>
      </c>
      <c r="R318" s="147">
        <f>Q318*$R$9</f>
        <v>126861.298</v>
      </c>
      <c r="S318" s="147">
        <f t="shared" si="399"/>
        <v>347.5652</v>
      </c>
      <c r="T318" s="148">
        <f>S318*$T$5*$T$9</f>
        <v>88802.908599999995</v>
      </c>
      <c r="U318" s="199"/>
      <c r="V318" s="150"/>
      <c r="W318" s="151"/>
      <c r="X318" s="151"/>
      <c r="Y318" s="152"/>
      <c r="Z318" s="153"/>
      <c r="AA318" s="153"/>
      <c r="AB318" s="154"/>
      <c r="AC318" s="155">
        <f t="shared" si="400"/>
        <v>51505.686987999994</v>
      </c>
      <c r="AD318" s="156">
        <f t="shared" si="401"/>
        <v>11544.378118000001</v>
      </c>
      <c r="AE318" s="156">
        <f t="shared" si="402"/>
        <v>7792.4552296499987</v>
      </c>
      <c r="AF318" s="156">
        <f t="shared" si="403"/>
        <v>3552.116344</v>
      </c>
      <c r="AG318" s="156">
        <f t="shared" si="404"/>
        <v>1776.058172</v>
      </c>
      <c r="AH318" s="156">
        <f t="shared" si="405"/>
        <v>1776.058172</v>
      </c>
      <c r="AI318" s="156">
        <f t="shared" si="406"/>
        <v>888.02908600000001</v>
      </c>
      <c r="AJ318" s="156">
        <f t="shared" si="407"/>
        <v>1776.058172</v>
      </c>
      <c r="AK318" s="156">
        <f t="shared" si="408"/>
        <v>1776.058172</v>
      </c>
      <c r="AL318" s="156">
        <f t="shared" si="409"/>
        <v>6216.2036020000005</v>
      </c>
      <c r="AM318" s="157">
        <f t="shared" si="410"/>
        <v>27329.09512165</v>
      </c>
      <c r="AN318" s="158">
        <f t="shared" si="411"/>
        <v>2200</v>
      </c>
      <c r="AO318" s="159">
        <v>0.2</v>
      </c>
      <c r="AP318" s="160">
        <f t="shared" si="412"/>
        <v>726144024.62070167</v>
      </c>
      <c r="AQ318" s="161">
        <f t="shared" si="413"/>
        <v>201706.68964228433</v>
      </c>
      <c r="AR318" s="162">
        <f t="shared" si="414"/>
        <v>40341.337928456865</v>
      </c>
      <c r="AS318" s="163">
        <f t="shared" si="415"/>
        <v>5.7564694532615386</v>
      </c>
      <c r="AT318" s="164">
        <f t="shared" si="416"/>
        <v>5.7564694532615386</v>
      </c>
      <c r="AU318" s="165"/>
      <c r="AV318" s="166"/>
      <c r="AW318" s="167"/>
      <c r="AX318" s="146"/>
      <c r="AY318" s="168"/>
    </row>
    <row r="319" spans="1:51" s="139" customFormat="1" ht="11.25" x14ac:dyDescent="0.25">
      <c r="A319" s="1"/>
      <c r="B319" s="140">
        <v>5</v>
      </c>
      <c r="C319" s="341" t="s">
        <v>349</v>
      </c>
      <c r="D319" s="142"/>
      <c r="E319" s="143"/>
      <c r="F319" s="143"/>
      <c r="G319" s="143"/>
      <c r="H319" s="143"/>
      <c r="I319" s="143"/>
      <c r="J319" s="143"/>
      <c r="K319" s="143"/>
      <c r="L319" s="143"/>
      <c r="M319" s="143"/>
      <c r="N319" s="222"/>
      <c r="O319" s="222">
        <v>1159926</v>
      </c>
      <c r="P319" s="145"/>
      <c r="Q319" s="223">
        <f t="shared" si="417"/>
        <v>1159926</v>
      </c>
      <c r="R319" s="147">
        <f>Q319*$R$8</f>
        <v>190227.864</v>
      </c>
      <c r="S319" s="147">
        <f t="shared" si="399"/>
        <v>521.17223013698629</v>
      </c>
      <c r="T319" s="148">
        <f>S319*$T$5*$T$8</f>
        <v>152182.29120000001</v>
      </c>
      <c r="U319" s="199"/>
      <c r="V319" s="150"/>
      <c r="W319" s="151"/>
      <c r="X319" s="151"/>
      <c r="Y319" s="152"/>
      <c r="Z319" s="153"/>
      <c r="AA319" s="153"/>
      <c r="AB319" s="154"/>
      <c r="AC319" s="155">
        <f t="shared" si="400"/>
        <v>88265.728896000001</v>
      </c>
      <c r="AD319" s="156">
        <f t="shared" si="401"/>
        <v>19783.697856000003</v>
      </c>
      <c r="AE319" s="156">
        <f t="shared" si="402"/>
        <v>13353.996052799999</v>
      </c>
      <c r="AF319" s="156">
        <f t="shared" si="403"/>
        <v>6087.2916480000004</v>
      </c>
      <c r="AG319" s="156">
        <f t="shared" si="404"/>
        <v>3043.6458240000002</v>
      </c>
      <c r="AH319" s="156">
        <f t="shared" si="405"/>
        <v>3043.6458240000002</v>
      </c>
      <c r="AI319" s="156">
        <f t="shared" si="406"/>
        <v>1521.8229120000001</v>
      </c>
      <c r="AJ319" s="156">
        <f t="shared" si="407"/>
        <v>3043.6458240000002</v>
      </c>
      <c r="AK319" s="156">
        <f t="shared" si="408"/>
        <v>3043.6458240000002</v>
      </c>
      <c r="AL319" s="156">
        <f t="shared" si="409"/>
        <v>10652.760384000001</v>
      </c>
      <c r="AM319" s="157">
        <f t="shared" si="410"/>
        <v>46834.1001168</v>
      </c>
      <c r="AN319" s="158">
        <f t="shared" si="411"/>
        <v>2200</v>
      </c>
      <c r="AO319" s="159">
        <v>0.2</v>
      </c>
      <c r="AP319" s="160">
        <f t="shared" si="412"/>
        <v>1244399121.0437405</v>
      </c>
      <c r="AQ319" s="161">
        <f t="shared" si="413"/>
        <v>345666.45016546396</v>
      </c>
      <c r="AR319" s="162">
        <f t="shared" si="414"/>
        <v>69133.290033092795</v>
      </c>
      <c r="AS319" s="163">
        <f t="shared" si="415"/>
        <v>9.8649101074618706</v>
      </c>
      <c r="AT319" s="164">
        <f t="shared" si="416"/>
        <v>9.8649101074618706</v>
      </c>
      <c r="AU319" s="165"/>
      <c r="AV319" s="166"/>
      <c r="AW319" s="167"/>
      <c r="AX319" s="146"/>
      <c r="AY319" s="168"/>
    </row>
    <row r="320" spans="1:51" s="139" customFormat="1" ht="11.25" x14ac:dyDescent="0.25">
      <c r="A320" s="1"/>
      <c r="B320" s="140">
        <v>6</v>
      </c>
      <c r="C320" s="342" t="s">
        <v>350</v>
      </c>
      <c r="D320" s="142"/>
      <c r="E320" s="143"/>
      <c r="F320" s="143"/>
      <c r="G320" s="143"/>
      <c r="H320" s="143"/>
      <c r="I320" s="143"/>
      <c r="J320" s="143"/>
      <c r="K320" s="143"/>
      <c r="L320" s="143"/>
      <c r="M320" s="143"/>
      <c r="N320" s="222"/>
      <c r="O320" s="222">
        <v>695427</v>
      </c>
      <c r="P320" s="145"/>
      <c r="Q320" s="223">
        <f t="shared" si="417"/>
        <v>695427</v>
      </c>
      <c r="R320" s="147">
        <f>Q320*$R$9</f>
        <v>101532.34199999999</v>
      </c>
      <c r="S320" s="147">
        <f t="shared" si="399"/>
        <v>278.17079999999999</v>
      </c>
      <c r="T320" s="148">
        <f>S320*$T$5*$T$9</f>
        <v>71072.639399999985</v>
      </c>
      <c r="U320" s="199"/>
      <c r="V320" s="150"/>
      <c r="W320" s="151"/>
      <c r="X320" s="151"/>
      <c r="Y320" s="152"/>
      <c r="Z320" s="153"/>
      <c r="AA320" s="153"/>
      <c r="AB320" s="154"/>
      <c r="AC320" s="155">
        <f t="shared" si="400"/>
        <v>41222.130851999987</v>
      </c>
      <c r="AD320" s="156">
        <f t="shared" si="401"/>
        <v>9239.4431219999988</v>
      </c>
      <c r="AE320" s="156">
        <f t="shared" si="402"/>
        <v>6236.6241073499987</v>
      </c>
      <c r="AF320" s="156">
        <f t="shared" si="403"/>
        <v>2842.9055759999997</v>
      </c>
      <c r="AG320" s="156">
        <f t="shared" si="404"/>
        <v>1421.4527879999998</v>
      </c>
      <c r="AH320" s="156">
        <f t="shared" si="405"/>
        <v>1421.4527879999998</v>
      </c>
      <c r="AI320" s="156">
        <f t="shared" si="406"/>
        <v>710.72639399999991</v>
      </c>
      <c r="AJ320" s="156">
        <f t="shared" si="407"/>
        <v>1421.4527879999998</v>
      </c>
      <c r="AK320" s="156">
        <f t="shared" si="408"/>
        <v>1421.4527879999998</v>
      </c>
      <c r="AL320" s="156">
        <f t="shared" si="409"/>
        <v>4975.0847579999991</v>
      </c>
      <c r="AM320" s="157">
        <f t="shared" si="410"/>
        <v>21872.604775349995</v>
      </c>
      <c r="AN320" s="158">
        <f t="shared" si="411"/>
        <v>2200</v>
      </c>
      <c r="AO320" s="159">
        <v>0.2</v>
      </c>
      <c r="AP320" s="160">
        <f t="shared" si="412"/>
        <v>581163086.07409561</v>
      </c>
      <c r="AQ320" s="161">
        <f t="shared" si="413"/>
        <v>161434.20349087293</v>
      </c>
      <c r="AR320" s="162">
        <f t="shared" si="414"/>
        <v>32286.840698174587</v>
      </c>
      <c r="AS320" s="163">
        <f t="shared" si="415"/>
        <v>4.6071405105842729</v>
      </c>
      <c r="AT320" s="164">
        <f t="shared" si="416"/>
        <v>4.6071405105842729</v>
      </c>
      <c r="AU320" s="165"/>
      <c r="AV320" s="166"/>
      <c r="AW320" s="167"/>
      <c r="AX320" s="146"/>
      <c r="AY320" s="168"/>
    </row>
    <row r="321" spans="1:51" s="139" customFormat="1" ht="11.25" x14ac:dyDescent="0.25">
      <c r="A321" s="1"/>
      <c r="B321" s="140">
        <v>7</v>
      </c>
      <c r="C321" s="342" t="s">
        <v>351</v>
      </c>
      <c r="D321" s="142"/>
      <c r="E321" s="143"/>
      <c r="F321" s="143"/>
      <c r="G321" s="143"/>
      <c r="H321" s="143"/>
      <c r="I321" s="143"/>
      <c r="J321" s="143"/>
      <c r="K321" s="143"/>
      <c r="L321" s="143"/>
      <c r="M321" s="143"/>
      <c r="N321" s="222"/>
      <c r="O321" s="222">
        <v>754883</v>
      </c>
      <c r="P321" s="145"/>
      <c r="Q321" s="223">
        <f t="shared" si="417"/>
        <v>754883</v>
      </c>
      <c r="R321" s="147">
        <f>Q321*$R$9</f>
        <v>110212.91799999999</v>
      </c>
      <c r="S321" s="147">
        <f t="shared" si="399"/>
        <v>301.95319999999998</v>
      </c>
      <c r="T321" s="148">
        <f>S321*$T$5*$T$9</f>
        <v>77149.042599999986</v>
      </c>
      <c r="U321" s="199"/>
      <c r="V321" s="150"/>
      <c r="W321" s="151"/>
      <c r="X321" s="151"/>
      <c r="Y321" s="152"/>
      <c r="Z321" s="153"/>
      <c r="AA321" s="153"/>
      <c r="AB321" s="154"/>
      <c r="AC321" s="155">
        <f t="shared" si="400"/>
        <v>44746.444707999988</v>
      </c>
      <c r="AD321" s="156">
        <f t="shared" si="401"/>
        <v>10029.375537999998</v>
      </c>
      <c r="AE321" s="156">
        <f t="shared" si="402"/>
        <v>6769.8284881499985</v>
      </c>
      <c r="AF321" s="156">
        <f t="shared" si="403"/>
        <v>3085.9617039999994</v>
      </c>
      <c r="AG321" s="156">
        <f t="shared" si="404"/>
        <v>1542.9808519999997</v>
      </c>
      <c r="AH321" s="156">
        <f t="shared" si="405"/>
        <v>1542.9808519999997</v>
      </c>
      <c r="AI321" s="156">
        <f t="shared" si="406"/>
        <v>771.49042599999984</v>
      </c>
      <c r="AJ321" s="156">
        <f t="shared" si="407"/>
        <v>1542.9808519999997</v>
      </c>
      <c r="AK321" s="156">
        <f t="shared" si="408"/>
        <v>1542.9808519999997</v>
      </c>
      <c r="AL321" s="156">
        <f t="shared" si="409"/>
        <v>5400.4329819999994</v>
      </c>
      <c r="AM321" s="157">
        <f t="shared" si="410"/>
        <v>23742.617860149996</v>
      </c>
      <c r="AN321" s="158">
        <f t="shared" si="411"/>
        <v>2200</v>
      </c>
      <c r="AO321" s="159">
        <v>0.2</v>
      </c>
      <c r="AP321" s="160">
        <f t="shared" si="412"/>
        <v>630850015.75272679</v>
      </c>
      <c r="AQ321" s="161">
        <f t="shared" si="413"/>
        <v>175236.1295057578</v>
      </c>
      <c r="AR321" s="162">
        <f t="shared" si="414"/>
        <v>35047.225901151563</v>
      </c>
      <c r="AS321" s="163">
        <f t="shared" si="415"/>
        <v>5.0010310932008508</v>
      </c>
      <c r="AT321" s="164">
        <f t="shared" si="416"/>
        <v>5.0010310932008508</v>
      </c>
      <c r="AU321" s="165"/>
      <c r="AV321" s="166"/>
      <c r="AW321" s="167"/>
      <c r="AX321" s="146"/>
      <c r="AY321" s="168"/>
    </row>
    <row r="322" spans="1:51" s="139" customFormat="1" ht="11.25" x14ac:dyDescent="0.25">
      <c r="A322" s="1"/>
      <c r="B322" s="140">
        <v>8</v>
      </c>
      <c r="C322" s="343" t="s">
        <v>352</v>
      </c>
      <c r="D322" s="142"/>
      <c r="E322" s="143"/>
      <c r="F322" s="143"/>
      <c r="G322" s="143"/>
      <c r="H322" s="143"/>
      <c r="I322" s="143"/>
      <c r="J322" s="143"/>
      <c r="K322" s="143"/>
      <c r="L322" s="143"/>
      <c r="M322" s="143"/>
      <c r="N322" s="222"/>
      <c r="O322" s="222">
        <v>1181723</v>
      </c>
      <c r="P322" s="145"/>
      <c r="Q322" s="223">
        <f t="shared" si="417"/>
        <v>1181723</v>
      </c>
      <c r="R322" s="147">
        <f>Q322*$R$8</f>
        <v>193802.57200000001</v>
      </c>
      <c r="S322" s="147">
        <f t="shared" si="399"/>
        <v>530.9659506849315</v>
      </c>
      <c r="T322" s="148">
        <f>S322*$T$5*$T$8</f>
        <v>155042.0576</v>
      </c>
      <c r="U322" s="199"/>
      <c r="V322" s="150"/>
      <c r="W322" s="151"/>
      <c r="X322" s="151"/>
      <c r="Y322" s="152"/>
      <c r="Z322" s="153"/>
      <c r="AA322" s="153"/>
      <c r="AB322" s="154"/>
      <c r="AC322" s="155">
        <f t="shared" si="400"/>
        <v>89924.393407999989</v>
      </c>
      <c r="AD322" s="156">
        <f t="shared" si="401"/>
        <v>20155.467488000002</v>
      </c>
      <c r="AE322" s="156">
        <f t="shared" si="402"/>
        <v>13604.940554399998</v>
      </c>
      <c r="AF322" s="156">
        <f t="shared" si="403"/>
        <v>6201.6823039999999</v>
      </c>
      <c r="AG322" s="156">
        <f t="shared" si="404"/>
        <v>3100.841152</v>
      </c>
      <c r="AH322" s="156">
        <f t="shared" si="405"/>
        <v>3100.841152</v>
      </c>
      <c r="AI322" s="156">
        <f t="shared" si="406"/>
        <v>1550.420576</v>
      </c>
      <c r="AJ322" s="156">
        <f t="shared" si="407"/>
        <v>3100.841152</v>
      </c>
      <c r="AK322" s="156">
        <f t="shared" si="408"/>
        <v>3100.841152</v>
      </c>
      <c r="AL322" s="156">
        <f t="shared" si="409"/>
        <v>10852.944032000001</v>
      </c>
      <c r="AM322" s="157">
        <f t="shared" si="410"/>
        <v>47714.193226399999</v>
      </c>
      <c r="AN322" s="158">
        <f t="shared" si="411"/>
        <v>2200</v>
      </c>
      <c r="AO322" s="159">
        <v>0.2</v>
      </c>
      <c r="AP322" s="160">
        <f t="shared" si="412"/>
        <v>1267783515.9459927</v>
      </c>
      <c r="AQ322" s="161">
        <f t="shared" si="413"/>
        <v>352162.11593574274</v>
      </c>
      <c r="AR322" s="162">
        <f t="shared" si="414"/>
        <v>70432.423187148554</v>
      </c>
      <c r="AS322" s="163">
        <f t="shared" si="415"/>
        <v>10.050288696796311</v>
      </c>
      <c r="AT322" s="164">
        <f t="shared" si="416"/>
        <v>10.050288696796311</v>
      </c>
      <c r="AU322" s="165"/>
      <c r="AV322" s="166"/>
      <c r="AW322" s="167"/>
      <c r="AX322" s="146"/>
      <c r="AY322" s="168"/>
    </row>
    <row r="323" spans="1:51" s="139" customFormat="1" ht="11.25" x14ac:dyDescent="0.25">
      <c r="A323" s="1"/>
      <c r="B323" s="140">
        <v>9</v>
      </c>
      <c r="C323" s="344" t="s">
        <v>353</v>
      </c>
      <c r="D323" s="142"/>
      <c r="E323" s="143"/>
      <c r="F323" s="143"/>
      <c r="G323" s="143"/>
      <c r="H323" s="143"/>
      <c r="I323" s="143"/>
      <c r="J323" s="143"/>
      <c r="K323" s="143"/>
      <c r="L323" s="143"/>
      <c r="M323" s="143"/>
      <c r="N323" s="222"/>
      <c r="O323" s="222">
        <v>930531</v>
      </c>
      <c r="P323" s="145"/>
      <c r="Q323" s="223">
        <f t="shared" si="417"/>
        <v>930531</v>
      </c>
      <c r="R323" s="147">
        <f>Q323*$R$9</f>
        <v>135857.52599999998</v>
      </c>
      <c r="S323" s="147">
        <f t="shared" si="399"/>
        <v>372.21239999999995</v>
      </c>
      <c r="T323" s="148">
        <f>S323*$T$5*$T$9</f>
        <v>95100.268199999977</v>
      </c>
      <c r="U323" s="199"/>
      <c r="V323" s="150"/>
      <c r="W323" s="151"/>
      <c r="X323" s="151"/>
      <c r="Y323" s="152"/>
      <c r="Z323" s="153"/>
      <c r="AA323" s="153"/>
      <c r="AB323" s="154"/>
      <c r="AC323" s="155">
        <f t="shared" si="400"/>
        <v>55158.155555999983</v>
      </c>
      <c r="AD323" s="156">
        <f t="shared" si="401"/>
        <v>12363.034865999998</v>
      </c>
      <c r="AE323" s="156">
        <f t="shared" si="402"/>
        <v>8345.0485345499983</v>
      </c>
      <c r="AF323" s="156">
        <f t="shared" si="403"/>
        <v>3804.0107279999993</v>
      </c>
      <c r="AG323" s="156">
        <f t="shared" si="404"/>
        <v>1902.0053639999996</v>
      </c>
      <c r="AH323" s="156">
        <f t="shared" si="405"/>
        <v>1902.0053639999996</v>
      </c>
      <c r="AI323" s="156">
        <f t="shared" si="406"/>
        <v>951.00268199999982</v>
      </c>
      <c r="AJ323" s="156">
        <f t="shared" si="407"/>
        <v>1902.0053639999996</v>
      </c>
      <c r="AK323" s="156">
        <f t="shared" si="408"/>
        <v>1902.0053639999996</v>
      </c>
      <c r="AL323" s="156">
        <f t="shared" si="409"/>
        <v>6657.0187739999992</v>
      </c>
      <c r="AM323" s="157">
        <f t="shared" si="410"/>
        <v>29267.107538549993</v>
      </c>
      <c r="AN323" s="158">
        <f t="shared" si="411"/>
        <v>2200</v>
      </c>
      <c r="AO323" s="159">
        <v>0.2</v>
      </c>
      <c r="AP323" s="160">
        <f t="shared" si="412"/>
        <v>777637721.35337591</v>
      </c>
      <c r="AQ323" s="161">
        <f t="shared" si="413"/>
        <v>216010.49543455377</v>
      </c>
      <c r="AR323" s="162">
        <f t="shared" si="414"/>
        <v>43202.099086910755</v>
      </c>
      <c r="AS323" s="163">
        <f t="shared" si="415"/>
        <v>6.164683088885667</v>
      </c>
      <c r="AT323" s="233">
        <f t="shared" si="416"/>
        <v>6.164683088885667</v>
      </c>
      <c r="AU323" s="187"/>
      <c r="AV323" s="166"/>
      <c r="AW323" s="167"/>
      <c r="AX323" s="146"/>
      <c r="AY323" s="168"/>
    </row>
    <row r="324" spans="1:51" s="139" customFormat="1" ht="11.25" x14ac:dyDescent="0.25">
      <c r="A324" s="1"/>
      <c r="B324" s="140">
        <v>10</v>
      </c>
      <c r="C324" s="344" t="s">
        <v>354</v>
      </c>
      <c r="D324" s="142"/>
      <c r="E324" s="143"/>
      <c r="F324" s="143"/>
      <c r="G324" s="143"/>
      <c r="H324" s="143"/>
      <c r="I324" s="143"/>
      <c r="J324" s="143"/>
      <c r="K324" s="143"/>
      <c r="L324" s="143"/>
      <c r="M324" s="143"/>
      <c r="N324" s="222"/>
      <c r="O324" s="222">
        <v>1130047</v>
      </c>
      <c r="P324" s="145"/>
      <c r="Q324" s="223">
        <f t="shared" si="417"/>
        <v>1130047</v>
      </c>
      <c r="R324" s="147">
        <f>Q324*$R$8</f>
        <v>185327.70800000001</v>
      </c>
      <c r="S324" s="147">
        <f t="shared" si="399"/>
        <v>507.74714520547951</v>
      </c>
      <c r="T324" s="148">
        <f>S324*$T$5*$T$8</f>
        <v>148262.16640000002</v>
      </c>
      <c r="U324" s="199"/>
      <c r="V324" s="150"/>
      <c r="W324" s="151"/>
      <c r="X324" s="151"/>
      <c r="Y324" s="152"/>
      <c r="Z324" s="153"/>
      <c r="AA324" s="153"/>
      <c r="AB324" s="154"/>
      <c r="AC324" s="155">
        <f t="shared" si="400"/>
        <v>85992.05651200001</v>
      </c>
      <c r="AD324" s="156">
        <f t="shared" si="401"/>
        <v>19274.081632000001</v>
      </c>
      <c r="AE324" s="156">
        <f t="shared" si="402"/>
        <v>13010.0051016</v>
      </c>
      <c r="AF324" s="156">
        <f t="shared" si="403"/>
        <v>5930.4866560000009</v>
      </c>
      <c r="AG324" s="156">
        <f t="shared" si="404"/>
        <v>2965.2433280000005</v>
      </c>
      <c r="AH324" s="156">
        <f t="shared" si="405"/>
        <v>2965.2433280000005</v>
      </c>
      <c r="AI324" s="156">
        <f t="shared" si="406"/>
        <v>1482.6216640000002</v>
      </c>
      <c r="AJ324" s="156">
        <f t="shared" si="407"/>
        <v>2965.2433280000005</v>
      </c>
      <c r="AK324" s="156">
        <f t="shared" si="408"/>
        <v>2965.2433280000005</v>
      </c>
      <c r="AL324" s="156">
        <f t="shared" si="409"/>
        <v>10378.351648000002</v>
      </c>
      <c r="AM324" s="157">
        <f t="shared" si="410"/>
        <v>45627.681709599994</v>
      </c>
      <c r="AN324" s="158">
        <f t="shared" si="411"/>
        <v>2200</v>
      </c>
      <c r="AO324" s="159">
        <v>0.2</v>
      </c>
      <c r="AP324" s="160">
        <f t="shared" si="412"/>
        <v>1212344143.9696288</v>
      </c>
      <c r="AQ324" s="161">
        <f t="shared" si="413"/>
        <v>336762.28915476677</v>
      </c>
      <c r="AR324" s="162">
        <f t="shared" si="414"/>
        <v>67352.457830953354</v>
      </c>
      <c r="AS324" s="163">
        <f t="shared" si="415"/>
        <v>9.6107959233666307</v>
      </c>
      <c r="AT324" s="164">
        <f t="shared" si="416"/>
        <v>9.6107959233666307</v>
      </c>
      <c r="AU324" s="165"/>
      <c r="AV324" s="166"/>
      <c r="AW324" s="167"/>
      <c r="AX324" s="146"/>
      <c r="AY324" s="168"/>
    </row>
    <row r="325" spans="1:51" s="139" customFormat="1" ht="11.25" x14ac:dyDescent="0.25">
      <c r="A325" s="1"/>
      <c r="B325" s="140">
        <v>11</v>
      </c>
      <c r="C325" s="335" t="s">
        <v>355</v>
      </c>
      <c r="D325" s="142"/>
      <c r="E325" s="143"/>
      <c r="F325" s="143"/>
      <c r="G325" s="143"/>
      <c r="H325" s="143"/>
      <c r="I325" s="143"/>
      <c r="J325" s="143"/>
      <c r="K325" s="143"/>
      <c r="L325" s="143"/>
      <c r="M325" s="143"/>
      <c r="N325" s="222"/>
      <c r="O325" s="222">
        <v>824238</v>
      </c>
      <c r="P325" s="145"/>
      <c r="Q325" s="223">
        <f t="shared" si="417"/>
        <v>824238</v>
      </c>
      <c r="R325" s="147">
        <f>Q325*$R$9</f>
        <v>120338.74799999999</v>
      </c>
      <c r="S325" s="147">
        <f t="shared" si="399"/>
        <v>329.6952</v>
      </c>
      <c r="T325" s="148">
        <f>S325*$T$5*$T$9</f>
        <v>84237.123600000006</v>
      </c>
      <c r="U325" s="199"/>
      <c r="V325" s="150"/>
      <c r="W325" s="151"/>
      <c r="X325" s="151"/>
      <c r="Y325" s="152"/>
      <c r="Z325" s="153"/>
      <c r="AA325" s="153"/>
      <c r="AB325" s="154"/>
      <c r="AC325" s="155">
        <f t="shared" si="400"/>
        <v>48857.531688000003</v>
      </c>
      <c r="AD325" s="156">
        <f t="shared" si="401"/>
        <v>10950.826068</v>
      </c>
      <c r="AE325" s="156">
        <f t="shared" si="402"/>
        <v>7391.8075958999998</v>
      </c>
      <c r="AF325" s="156">
        <f t="shared" si="403"/>
        <v>3369.4849440000003</v>
      </c>
      <c r="AG325" s="156">
        <f t="shared" si="404"/>
        <v>1684.7424720000001</v>
      </c>
      <c r="AH325" s="156">
        <f t="shared" si="405"/>
        <v>1684.7424720000001</v>
      </c>
      <c r="AI325" s="156">
        <f t="shared" si="406"/>
        <v>842.37123600000007</v>
      </c>
      <c r="AJ325" s="156">
        <f t="shared" si="407"/>
        <v>1684.7424720000001</v>
      </c>
      <c r="AK325" s="156">
        <f t="shared" si="408"/>
        <v>1684.7424720000001</v>
      </c>
      <c r="AL325" s="156">
        <f t="shared" si="409"/>
        <v>5896.5986520000006</v>
      </c>
      <c r="AM325" s="157">
        <f t="shared" si="410"/>
        <v>25923.974787900002</v>
      </c>
      <c r="AN325" s="158">
        <f t="shared" si="411"/>
        <v>2200</v>
      </c>
      <c r="AO325" s="159">
        <v>0.2</v>
      </c>
      <c r="AP325" s="160">
        <f t="shared" si="412"/>
        <v>688809464.88925588</v>
      </c>
      <c r="AQ325" s="161">
        <f t="shared" si="413"/>
        <v>191335.97777611474</v>
      </c>
      <c r="AR325" s="162">
        <f t="shared" si="414"/>
        <v>38267.195555222948</v>
      </c>
      <c r="AS325" s="163">
        <f t="shared" si="415"/>
        <v>5.4605016488617224</v>
      </c>
      <c r="AT325" s="164">
        <f t="shared" si="416"/>
        <v>5.4605016488617224</v>
      </c>
      <c r="AU325" s="165"/>
      <c r="AV325" s="166"/>
      <c r="AW325" s="167"/>
      <c r="AX325" s="146"/>
      <c r="AY325" s="168"/>
    </row>
    <row r="326" spans="1:51" s="139" customFormat="1" ht="11.25" x14ac:dyDescent="0.25">
      <c r="A326" s="1"/>
      <c r="B326" s="140">
        <v>12</v>
      </c>
      <c r="C326" s="335" t="s">
        <v>356</v>
      </c>
      <c r="D326" s="142"/>
      <c r="E326" s="143"/>
      <c r="F326" s="143"/>
      <c r="G326" s="143"/>
      <c r="H326" s="143"/>
      <c r="I326" s="143"/>
      <c r="J326" s="143"/>
      <c r="K326" s="143"/>
      <c r="L326" s="143"/>
      <c r="M326" s="143"/>
      <c r="N326" s="222"/>
      <c r="O326" s="222">
        <v>928904</v>
      </c>
      <c r="P326" s="145"/>
      <c r="Q326" s="223">
        <f t="shared" si="417"/>
        <v>928904</v>
      </c>
      <c r="R326" s="147">
        <f>Q326*$R$9</f>
        <v>135619.984</v>
      </c>
      <c r="S326" s="147">
        <f t="shared" si="399"/>
        <v>371.5616</v>
      </c>
      <c r="T326" s="148">
        <f>S326*$T$5*$T$9</f>
        <v>94933.988799999992</v>
      </c>
      <c r="U326" s="199"/>
      <c r="V326" s="150"/>
      <c r="W326" s="151"/>
      <c r="X326" s="151"/>
      <c r="Y326" s="152"/>
      <c r="Z326" s="153"/>
      <c r="AA326" s="153"/>
      <c r="AB326" s="154"/>
      <c r="AC326" s="155">
        <f t="shared" si="400"/>
        <v>55061.713503999992</v>
      </c>
      <c r="AD326" s="156">
        <f t="shared" si="401"/>
        <v>12341.418544</v>
      </c>
      <c r="AE326" s="156">
        <f t="shared" si="402"/>
        <v>8330.4575171999986</v>
      </c>
      <c r="AF326" s="156">
        <f t="shared" si="403"/>
        <v>3797.3595519999999</v>
      </c>
      <c r="AG326" s="156">
        <f t="shared" si="404"/>
        <v>1898.6797759999999</v>
      </c>
      <c r="AH326" s="156">
        <f t="shared" si="405"/>
        <v>1898.6797759999999</v>
      </c>
      <c r="AI326" s="156">
        <f t="shared" si="406"/>
        <v>949.33988799999997</v>
      </c>
      <c r="AJ326" s="156">
        <f t="shared" si="407"/>
        <v>1898.6797759999999</v>
      </c>
      <c r="AK326" s="156">
        <f t="shared" si="408"/>
        <v>1898.6797759999999</v>
      </c>
      <c r="AL326" s="156">
        <f t="shared" si="409"/>
        <v>6645.3792160000003</v>
      </c>
      <c r="AM326" s="157">
        <f t="shared" si="410"/>
        <v>29215.935053199999</v>
      </c>
      <c r="AN326" s="158">
        <f t="shared" si="411"/>
        <v>2200</v>
      </c>
      <c r="AO326" s="159">
        <v>0.2</v>
      </c>
      <c r="AP326" s="160">
        <f t="shared" si="412"/>
        <v>776278049.75442684</v>
      </c>
      <c r="AQ326" s="161">
        <f t="shared" si="413"/>
        <v>215632.80884907523</v>
      </c>
      <c r="AR326" s="162">
        <f t="shared" si="414"/>
        <v>43126.561769815045</v>
      </c>
      <c r="AS326" s="163">
        <f t="shared" si="415"/>
        <v>6.1539043621311427</v>
      </c>
      <c r="AT326" s="164">
        <f t="shared" si="416"/>
        <v>6.1539043621311427</v>
      </c>
      <c r="AU326" s="165"/>
      <c r="AV326" s="166"/>
      <c r="AW326" s="167"/>
      <c r="AX326" s="146"/>
      <c r="AY326" s="168"/>
    </row>
    <row r="327" spans="1:51" s="139" customFormat="1" ht="11.25" x14ac:dyDescent="0.25">
      <c r="A327" s="1"/>
      <c r="B327" s="140">
        <v>13</v>
      </c>
      <c r="C327" s="335" t="s">
        <v>357</v>
      </c>
      <c r="D327" s="142"/>
      <c r="E327" s="143"/>
      <c r="F327" s="143"/>
      <c r="G327" s="143"/>
      <c r="H327" s="143"/>
      <c r="I327" s="143"/>
      <c r="J327" s="143"/>
      <c r="K327" s="143"/>
      <c r="L327" s="143"/>
      <c r="M327" s="143"/>
      <c r="N327" s="222"/>
      <c r="O327" s="222">
        <v>813196</v>
      </c>
      <c r="P327" s="145"/>
      <c r="Q327" s="223">
        <f t="shared" si="417"/>
        <v>813196</v>
      </c>
      <c r="R327" s="147">
        <f>Q327*$R$9</f>
        <v>118726.61599999999</v>
      </c>
      <c r="S327" s="147">
        <f t="shared" si="399"/>
        <v>325.27839999999998</v>
      </c>
      <c r="T327" s="148">
        <f>S327*$T$5*$T$9</f>
        <v>83108.631199999989</v>
      </c>
      <c r="U327" s="199"/>
      <c r="V327" s="150"/>
      <c r="W327" s="151"/>
      <c r="X327" s="151"/>
      <c r="Y327" s="152"/>
      <c r="Z327" s="153"/>
      <c r="AA327" s="153"/>
      <c r="AB327" s="154"/>
      <c r="AC327" s="155">
        <f t="shared" si="400"/>
        <v>48203.00609599999</v>
      </c>
      <c r="AD327" s="156">
        <f t="shared" si="401"/>
        <v>10804.122055999998</v>
      </c>
      <c r="AE327" s="156">
        <f t="shared" si="402"/>
        <v>7292.782387799999</v>
      </c>
      <c r="AF327" s="156">
        <f t="shared" si="403"/>
        <v>3324.3452479999996</v>
      </c>
      <c r="AG327" s="156">
        <f t="shared" si="404"/>
        <v>1662.1726239999998</v>
      </c>
      <c r="AH327" s="156">
        <f t="shared" si="405"/>
        <v>1662.1726239999998</v>
      </c>
      <c r="AI327" s="156">
        <f t="shared" si="406"/>
        <v>831.08631199999991</v>
      </c>
      <c r="AJ327" s="156">
        <f t="shared" si="407"/>
        <v>1662.1726239999998</v>
      </c>
      <c r="AK327" s="156">
        <f t="shared" si="408"/>
        <v>1662.1726239999998</v>
      </c>
      <c r="AL327" s="156">
        <f t="shared" si="409"/>
        <v>5817.6041839999998</v>
      </c>
      <c r="AM327" s="157">
        <f t="shared" si="410"/>
        <v>25576.681251799993</v>
      </c>
      <c r="AN327" s="158">
        <f t="shared" si="411"/>
        <v>2200</v>
      </c>
      <c r="AO327" s="159">
        <v>0.2</v>
      </c>
      <c r="AP327" s="160">
        <f t="shared" si="412"/>
        <v>679581748.9730916</v>
      </c>
      <c r="AQ327" s="161">
        <f t="shared" si="413"/>
        <v>188772.72314989765</v>
      </c>
      <c r="AR327" s="162">
        <f t="shared" si="414"/>
        <v>37754.544629979529</v>
      </c>
      <c r="AS327" s="163">
        <f t="shared" si="415"/>
        <v>5.3873494049628325</v>
      </c>
      <c r="AT327" s="164">
        <f t="shared" si="416"/>
        <v>5.3873494049628325</v>
      </c>
      <c r="AU327" s="165"/>
      <c r="AV327" s="166"/>
      <c r="AW327" s="167"/>
      <c r="AX327" s="146"/>
      <c r="AY327" s="168"/>
    </row>
    <row r="328" spans="1:51" s="139" customFormat="1" ht="11.25" x14ac:dyDescent="0.25">
      <c r="A328" s="1"/>
      <c r="B328" s="140">
        <v>14</v>
      </c>
      <c r="C328" s="343" t="s">
        <v>358</v>
      </c>
      <c r="D328" s="142"/>
      <c r="E328" s="143"/>
      <c r="F328" s="143"/>
      <c r="G328" s="143"/>
      <c r="H328" s="143"/>
      <c r="I328" s="143"/>
      <c r="J328" s="143"/>
      <c r="K328" s="143"/>
      <c r="L328" s="143"/>
      <c r="M328" s="143"/>
      <c r="N328" s="222"/>
      <c r="O328" s="222">
        <v>858266</v>
      </c>
      <c r="P328" s="145"/>
      <c r="Q328" s="223">
        <f t="shared" si="417"/>
        <v>858266</v>
      </c>
      <c r="R328" s="147">
        <f>Q328*$R$9</f>
        <v>125306.836</v>
      </c>
      <c r="S328" s="147">
        <f t="shared" si="399"/>
        <v>343.3064</v>
      </c>
      <c r="T328" s="148">
        <f>S328*$T$5*$T$9</f>
        <v>87714.785199999998</v>
      </c>
      <c r="U328" s="199"/>
      <c r="V328" s="150"/>
      <c r="W328" s="151"/>
      <c r="X328" s="151"/>
      <c r="Y328" s="152"/>
      <c r="Z328" s="153"/>
      <c r="AA328" s="153"/>
      <c r="AB328" s="154"/>
      <c r="AC328" s="155">
        <f t="shared" si="400"/>
        <v>50874.575415999992</v>
      </c>
      <c r="AD328" s="156">
        <f t="shared" si="401"/>
        <v>11402.922076000001</v>
      </c>
      <c r="AE328" s="156">
        <f t="shared" si="402"/>
        <v>7696.9724012999995</v>
      </c>
      <c r="AF328" s="156">
        <f t="shared" si="403"/>
        <v>3508.5914080000002</v>
      </c>
      <c r="AG328" s="156">
        <f t="shared" si="404"/>
        <v>1754.2957040000001</v>
      </c>
      <c r="AH328" s="156">
        <f t="shared" si="405"/>
        <v>1754.2957040000001</v>
      </c>
      <c r="AI328" s="156">
        <f t="shared" si="406"/>
        <v>877.14785200000006</v>
      </c>
      <c r="AJ328" s="156">
        <f t="shared" si="407"/>
        <v>1754.2957040000001</v>
      </c>
      <c r="AK328" s="156">
        <f t="shared" si="408"/>
        <v>1754.2957040000001</v>
      </c>
      <c r="AL328" s="156">
        <f t="shared" si="409"/>
        <v>6140.0349640000004</v>
      </c>
      <c r="AM328" s="157">
        <f t="shared" si="410"/>
        <v>26994.225145299999</v>
      </c>
      <c r="AN328" s="158">
        <f t="shared" si="411"/>
        <v>2200</v>
      </c>
      <c r="AO328" s="159">
        <v>0.2</v>
      </c>
      <c r="AP328" s="160">
        <f t="shared" si="412"/>
        <v>717246407.21811175</v>
      </c>
      <c r="AQ328" s="161">
        <f t="shared" si="413"/>
        <v>199235.12905495119</v>
      </c>
      <c r="AR328" s="162">
        <f t="shared" si="414"/>
        <v>39847.025810990242</v>
      </c>
      <c r="AS328" s="163">
        <f t="shared" si="415"/>
        <v>5.6859340483718954</v>
      </c>
      <c r="AT328" s="164">
        <f t="shared" si="416"/>
        <v>5.6859340483718954</v>
      </c>
      <c r="AU328" s="165"/>
      <c r="AV328" s="166"/>
      <c r="AW328" s="167"/>
      <c r="AX328" s="146"/>
      <c r="AY328" s="168"/>
    </row>
    <row r="329" spans="1:51" s="139" customFormat="1" ht="11.25" x14ac:dyDescent="0.25">
      <c r="A329" s="1"/>
      <c r="B329" s="140">
        <v>15</v>
      </c>
      <c r="C329" s="343" t="s">
        <v>359</v>
      </c>
      <c r="D329" s="142"/>
      <c r="E329" s="143"/>
      <c r="F329" s="143"/>
      <c r="G329" s="143"/>
      <c r="H329" s="143"/>
      <c r="I329" s="143"/>
      <c r="J329" s="143"/>
      <c r="K329" s="143"/>
      <c r="L329" s="143"/>
      <c r="M329" s="143"/>
      <c r="N329" s="222"/>
      <c r="O329" s="222">
        <v>1308696</v>
      </c>
      <c r="P329" s="145"/>
      <c r="Q329" s="223">
        <f t="shared" si="417"/>
        <v>1308696</v>
      </c>
      <c r="R329" s="147">
        <f>Q329*$R$8</f>
        <v>214626.144</v>
      </c>
      <c r="S329" s="147">
        <f t="shared" si="399"/>
        <v>588.01683287671233</v>
      </c>
      <c r="T329" s="148">
        <f>S329*$T$5*$T$8</f>
        <v>171700.91520000002</v>
      </c>
      <c r="U329" s="199"/>
      <c r="V329" s="150"/>
      <c r="W329" s="151"/>
      <c r="X329" s="151"/>
      <c r="Y329" s="152"/>
      <c r="Z329" s="153"/>
      <c r="AA329" s="153"/>
      <c r="AB329" s="154"/>
      <c r="AC329" s="155">
        <f t="shared" si="400"/>
        <v>99586.530815999999</v>
      </c>
      <c r="AD329" s="156">
        <f t="shared" si="401"/>
        <v>22321.118976000002</v>
      </c>
      <c r="AE329" s="156">
        <f t="shared" si="402"/>
        <v>15066.7553088</v>
      </c>
      <c r="AF329" s="156">
        <f t="shared" si="403"/>
        <v>6868.0366080000013</v>
      </c>
      <c r="AG329" s="156">
        <f t="shared" si="404"/>
        <v>3434.0183040000006</v>
      </c>
      <c r="AH329" s="156">
        <f t="shared" si="405"/>
        <v>3434.0183040000006</v>
      </c>
      <c r="AI329" s="156">
        <f t="shared" si="406"/>
        <v>1717.0091520000003</v>
      </c>
      <c r="AJ329" s="156">
        <f t="shared" si="407"/>
        <v>3434.0183040000006</v>
      </c>
      <c r="AK329" s="156">
        <f t="shared" si="408"/>
        <v>3434.0183040000006</v>
      </c>
      <c r="AL329" s="156">
        <f t="shared" si="409"/>
        <v>12019.064064000002</v>
      </c>
      <c r="AM329" s="157">
        <f t="shared" si="410"/>
        <v>52840.9566528</v>
      </c>
      <c r="AN329" s="158">
        <f t="shared" si="411"/>
        <v>2200</v>
      </c>
      <c r="AO329" s="159">
        <v>0.2</v>
      </c>
      <c r="AP329" s="160">
        <f t="shared" si="412"/>
        <v>1404003489.9756179</v>
      </c>
      <c r="AQ329" s="161">
        <f t="shared" si="413"/>
        <v>390001.00063774921</v>
      </c>
      <c r="AR329" s="162">
        <f t="shared" si="414"/>
        <v>78000.200127549848</v>
      </c>
      <c r="AS329" s="163">
        <f t="shared" si="415"/>
        <v>11.130165543314762</v>
      </c>
      <c r="AT329" s="164">
        <f t="shared" si="416"/>
        <v>11.130165543314762</v>
      </c>
      <c r="AU329" s="165"/>
      <c r="AV329" s="166"/>
      <c r="AW329" s="167"/>
      <c r="AX329" s="146"/>
      <c r="AY329" s="168"/>
    </row>
    <row r="330" spans="1:51" s="139" customFormat="1" ht="11.25" x14ac:dyDescent="0.25">
      <c r="A330" s="1"/>
      <c r="B330" s="140">
        <v>16</v>
      </c>
      <c r="C330" s="343" t="s">
        <v>360</v>
      </c>
      <c r="D330" s="142"/>
      <c r="E330" s="143"/>
      <c r="F330" s="143"/>
      <c r="G330" s="143"/>
      <c r="H330" s="143"/>
      <c r="I330" s="143"/>
      <c r="J330" s="143"/>
      <c r="K330" s="143"/>
      <c r="L330" s="143"/>
      <c r="M330" s="143"/>
      <c r="N330" s="222"/>
      <c r="O330" s="222">
        <v>829728</v>
      </c>
      <c r="P330" s="145"/>
      <c r="Q330" s="223">
        <f t="shared" si="417"/>
        <v>829728</v>
      </c>
      <c r="R330" s="147">
        <f>Q330*$R$9</f>
        <v>121140.28799999999</v>
      </c>
      <c r="S330" s="147">
        <f t="shared" si="399"/>
        <v>331.89119999999997</v>
      </c>
      <c r="T330" s="148">
        <f>S330*$T$5*$T$9</f>
        <v>84798.201599999986</v>
      </c>
      <c r="U330" s="199"/>
      <c r="V330" s="150"/>
      <c r="W330" s="151"/>
      <c r="X330" s="151"/>
      <c r="Y330" s="152"/>
      <c r="Z330" s="153"/>
      <c r="AA330" s="153"/>
      <c r="AB330" s="154"/>
      <c r="AC330" s="155">
        <f t="shared" si="400"/>
        <v>49182.956927999985</v>
      </c>
      <c r="AD330" s="156">
        <f t="shared" si="401"/>
        <v>11023.766207999999</v>
      </c>
      <c r="AE330" s="156">
        <f t="shared" si="402"/>
        <v>7441.0421903999986</v>
      </c>
      <c r="AF330" s="156">
        <f t="shared" si="403"/>
        <v>3391.9280639999997</v>
      </c>
      <c r="AG330" s="156">
        <f t="shared" si="404"/>
        <v>1695.9640319999999</v>
      </c>
      <c r="AH330" s="156">
        <f t="shared" si="405"/>
        <v>1695.9640319999999</v>
      </c>
      <c r="AI330" s="156">
        <f t="shared" si="406"/>
        <v>847.98201599999993</v>
      </c>
      <c r="AJ330" s="156">
        <f t="shared" si="407"/>
        <v>1695.9640319999999</v>
      </c>
      <c r="AK330" s="156">
        <f t="shared" si="408"/>
        <v>1695.9640319999999</v>
      </c>
      <c r="AL330" s="156">
        <f t="shared" si="409"/>
        <v>5935.8741119999995</v>
      </c>
      <c r="AM330" s="157">
        <f t="shared" si="410"/>
        <v>26096.646542399998</v>
      </c>
      <c r="AN330" s="158">
        <f t="shared" si="411"/>
        <v>2200</v>
      </c>
      <c r="AO330" s="159">
        <v>0.2</v>
      </c>
      <c r="AP330" s="160">
        <f t="shared" si="412"/>
        <v>693397416.3817153</v>
      </c>
      <c r="AQ330" s="161">
        <f t="shared" si="413"/>
        <v>192610.40884819682</v>
      </c>
      <c r="AR330" s="162">
        <f t="shared" si="414"/>
        <v>38522.081769639364</v>
      </c>
      <c r="AS330" s="163">
        <f t="shared" si="415"/>
        <v>5.4968723986357544</v>
      </c>
      <c r="AT330" s="164">
        <f t="shared" si="416"/>
        <v>5.4968723986357544</v>
      </c>
      <c r="AU330" s="165"/>
      <c r="AV330" s="166"/>
      <c r="AW330" s="167"/>
      <c r="AX330" s="146"/>
      <c r="AY330" s="168"/>
    </row>
    <row r="331" spans="1:51" s="139" customFormat="1" ht="11.25" x14ac:dyDescent="0.25">
      <c r="A331" s="1"/>
      <c r="B331" s="140">
        <v>17</v>
      </c>
      <c r="C331" s="342" t="s">
        <v>361</v>
      </c>
      <c r="D331" s="142"/>
      <c r="E331" s="143"/>
      <c r="F331" s="143"/>
      <c r="G331" s="143"/>
      <c r="H331" s="143"/>
      <c r="I331" s="143"/>
      <c r="J331" s="143"/>
      <c r="K331" s="143"/>
      <c r="L331" s="143"/>
      <c r="M331" s="143"/>
      <c r="N331" s="222"/>
      <c r="O331" s="222">
        <v>591359</v>
      </c>
      <c r="P331" s="145"/>
      <c r="Q331" s="223">
        <f t="shared" si="417"/>
        <v>591359</v>
      </c>
      <c r="R331" s="147">
        <f>Q331*$R$9</f>
        <v>86338.41399999999</v>
      </c>
      <c r="S331" s="147">
        <f t="shared" si="399"/>
        <v>236.54359999999997</v>
      </c>
      <c r="T331" s="148">
        <f>S331*$T$5*$T$9</f>
        <v>60436.88979999999</v>
      </c>
      <c r="U331" s="199"/>
      <c r="V331" s="150"/>
      <c r="W331" s="151"/>
      <c r="X331" s="151"/>
      <c r="Y331" s="152"/>
      <c r="Z331" s="153"/>
      <c r="AA331" s="153"/>
      <c r="AB331" s="154"/>
      <c r="AC331" s="155">
        <f t="shared" si="400"/>
        <v>35053.396083999993</v>
      </c>
      <c r="AD331" s="156">
        <f t="shared" si="401"/>
        <v>7856.7956739999991</v>
      </c>
      <c r="AE331" s="156">
        <f t="shared" si="402"/>
        <v>5303.337079949999</v>
      </c>
      <c r="AF331" s="156">
        <f t="shared" si="403"/>
        <v>2417.4755919999998</v>
      </c>
      <c r="AG331" s="156">
        <f t="shared" si="404"/>
        <v>1208.7377959999999</v>
      </c>
      <c r="AH331" s="156">
        <f t="shared" si="405"/>
        <v>1208.7377959999999</v>
      </c>
      <c r="AI331" s="156">
        <f t="shared" si="406"/>
        <v>604.36889799999994</v>
      </c>
      <c r="AJ331" s="156">
        <f t="shared" si="407"/>
        <v>1208.7377959999999</v>
      </c>
      <c r="AK331" s="156">
        <f t="shared" si="408"/>
        <v>1208.7377959999999</v>
      </c>
      <c r="AL331" s="156">
        <f t="shared" si="409"/>
        <v>4230.5822859999998</v>
      </c>
      <c r="AM331" s="157">
        <f t="shared" si="410"/>
        <v>18599.45283595</v>
      </c>
      <c r="AN331" s="158">
        <f t="shared" si="411"/>
        <v>2200</v>
      </c>
      <c r="AO331" s="159">
        <v>0.2</v>
      </c>
      <c r="AP331" s="160">
        <f t="shared" si="412"/>
        <v>494194245.28770256</v>
      </c>
      <c r="AQ331" s="161">
        <f t="shared" si="413"/>
        <v>137276.19022867837</v>
      </c>
      <c r="AR331" s="162">
        <f t="shared" si="414"/>
        <v>27455.238045735678</v>
      </c>
      <c r="AS331" s="163">
        <f t="shared" si="415"/>
        <v>3.9176994928275795</v>
      </c>
      <c r="AT331" s="164">
        <f t="shared" si="416"/>
        <v>3.9176994928275795</v>
      </c>
      <c r="AU331" s="165"/>
      <c r="AV331" s="166"/>
      <c r="AW331" s="167"/>
      <c r="AX331" s="146"/>
      <c r="AY331" s="168"/>
    </row>
    <row r="332" spans="1:51" s="139" customFormat="1" ht="11.25" x14ac:dyDescent="0.25">
      <c r="A332" s="1"/>
      <c r="B332" s="140">
        <v>18</v>
      </c>
      <c r="C332" s="343" t="s">
        <v>362</v>
      </c>
      <c r="D332" s="142"/>
      <c r="E332" s="143"/>
      <c r="F332" s="143"/>
      <c r="G332" s="143"/>
      <c r="H332" s="143"/>
      <c r="I332" s="143"/>
      <c r="J332" s="143"/>
      <c r="K332" s="143"/>
      <c r="L332" s="143"/>
      <c r="M332" s="143"/>
      <c r="N332" s="222"/>
      <c r="O332" s="222">
        <v>1190993</v>
      </c>
      <c r="P332" s="145"/>
      <c r="Q332" s="223">
        <f t="shared" si="417"/>
        <v>1190993</v>
      </c>
      <c r="R332" s="147">
        <f>Q332*$R$8</f>
        <v>195322.85200000001</v>
      </c>
      <c r="S332" s="147">
        <f t="shared" si="399"/>
        <v>535.13110136986302</v>
      </c>
      <c r="T332" s="148">
        <f>S332*$T$5*$T$8</f>
        <v>156258.28160000002</v>
      </c>
      <c r="U332" s="199"/>
      <c r="V332" s="150"/>
      <c r="W332" s="151"/>
      <c r="X332" s="151"/>
      <c r="Y332" s="152"/>
      <c r="Z332" s="153"/>
      <c r="AA332" s="153"/>
      <c r="AB332" s="154"/>
      <c r="AC332" s="155">
        <f t="shared" si="400"/>
        <v>90629.803328000009</v>
      </c>
      <c r="AD332" s="156">
        <f t="shared" si="401"/>
        <v>20313.576608000003</v>
      </c>
      <c r="AE332" s="156">
        <f t="shared" si="402"/>
        <v>13711.6642104</v>
      </c>
      <c r="AF332" s="156">
        <f t="shared" si="403"/>
        <v>6250.3312640000004</v>
      </c>
      <c r="AG332" s="156">
        <f t="shared" si="404"/>
        <v>3125.1656320000002</v>
      </c>
      <c r="AH332" s="156">
        <f t="shared" si="405"/>
        <v>3125.1656320000002</v>
      </c>
      <c r="AI332" s="156">
        <f t="shared" si="406"/>
        <v>1562.5828160000001</v>
      </c>
      <c r="AJ332" s="156">
        <f t="shared" si="407"/>
        <v>3125.1656320000002</v>
      </c>
      <c r="AK332" s="156">
        <f t="shared" si="408"/>
        <v>3125.1656320000002</v>
      </c>
      <c r="AL332" s="156">
        <f t="shared" si="409"/>
        <v>10938.079712000002</v>
      </c>
      <c r="AM332" s="157">
        <f t="shared" si="410"/>
        <v>48088.486162400011</v>
      </c>
      <c r="AN332" s="158">
        <f t="shared" si="411"/>
        <v>2200</v>
      </c>
      <c r="AO332" s="159">
        <v>0.2</v>
      </c>
      <c r="AP332" s="160">
        <f t="shared" si="412"/>
        <v>1277728615.7644951</v>
      </c>
      <c r="AQ332" s="161">
        <f t="shared" si="413"/>
        <v>354924.64388410677</v>
      </c>
      <c r="AR332" s="162">
        <f t="shared" si="414"/>
        <v>70984.928776821354</v>
      </c>
      <c r="AS332" s="163">
        <f t="shared" si="415"/>
        <v>10.129127964729074</v>
      </c>
      <c r="AT332" s="164">
        <f t="shared" si="416"/>
        <v>10.129127964729074</v>
      </c>
      <c r="AU332" s="165"/>
      <c r="AV332" s="166"/>
      <c r="AW332" s="167"/>
      <c r="AX332" s="146"/>
      <c r="AY332" s="168"/>
    </row>
    <row r="333" spans="1:51" s="139" customFormat="1" ht="11.25" x14ac:dyDescent="0.25">
      <c r="A333" s="1"/>
      <c r="B333" s="140">
        <v>19</v>
      </c>
      <c r="C333" s="343" t="s">
        <v>363</v>
      </c>
      <c r="D333" s="142"/>
      <c r="E333" s="143"/>
      <c r="F333" s="143"/>
      <c r="G333" s="143"/>
      <c r="H333" s="143"/>
      <c r="I333" s="143"/>
      <c r="J333" s="143"/>
      <c r="K333" s="143"/>
      <c r="L333" s="143"/>
      <c r="M333" s="143"/>
      <c r="N333" s="222"/>
      <c r="O333" s="222">
        <v>777437</v>
      </c>
      <c r="P333" s="145"/>
      <c r="Q333" s="223">
        <f t="shared" si="417"/>
        <v>777437</v>
      </c>
      <c r="R333" s="147">
        <f>Q333*$R$9</f>
        <v>113505.802</v>
      </c>
      <c r="S333" s="147">
        <f t="shared" si="399"/>
        <v>310.97480000000002</v>
      </c>
      <c r="T333" s="148">
        <f>S333*$T$5*$T$9</f>
        <v>79454.061400000006</v>
      </c>
      <c r="U333" s="199"/>
      <c r="V333" s="150"/>
      <c r="W333" s="151"/>
      <c r="X333" s="151"/>
      <c r="Y333" s="152"/>
      <c r="Z333" s="153"/>
      <c r="AA333" s="153"/>
      <c r="AB333" s="154"/>
      <c r="AC333" s="155">
        <f t="shared" si="400"/>
        <v>46083.355611999999</v>
      </c>
      <c r="AD333" s="156">
        <f t="shared" si="401"/>
        <v>10329.027982000001</v>
      </c>
      <c r="AE333" s="156">
        <f t="shared" si="402"/>
        <v>6972.0938878500001</v>
      </c>
      <c r="AF333" s="156">
        <f t="shared" si="403"/>
        <v>3178.1624560000005</v>
      </c>
      <c r="AG333" s="156">
        <f t="shared" si="404"/>
        <v>1589.0812280000002</v>
      </c>
      <c r="AH333" s="156">
        <f t="shared" si="405"/>
        <v>1589.0812280000002</v>
      </c>
      <c r="AI333" s="156">
        <f t="shared" si="406"/>
        <v>794.54061400000012</v>
      </c>
      <c r="AJ333" s="156">
        <f t="shared" si="407"/>
        <v>1589.0812280000002</v>
      </c>
      <c r="AK333" s="156">
        <f t="shared" si="408"/>
        <v>1589.0812280000002</v>
      </c>
      <c r="AL333" s="156">
        <f t="shared" si="409"/>
        <v>5561.7842980000014</v>
      </c>
      <c r="AM333" s="157">
        <f t="shared" si="410"/>
        <v>24451.987395850003</v>
      </c>
      <c r="AN333" s="158">
        <f t="shared" si="411"/>
        <v>2200</v>
      </c>
      <c r="AO333" s="159">
        <v>0.2</v>
      </c>
      <c r="AP333" s="160">
        <f t="shared" si="412"/>
        <v>649698223.03158593</v>
      </c>
      <c r="AQ333" s="161">
        <f t="shared" si="413"/>
        <v>180471.74305762327</v>
      </c>
      <c r="AR333" s="162">
        <f t="shared" si="414"/>
        <v>36094.348611524656</v>
      </c>
      <c r="AS333" s="163">
        <f t="shared" si="415"/>
        <v>5.1504492881741806</v>
      </c>
      <c r="AT333" s="164">
        <f t="shared" si="416"/>
        <v>5.1504492881741806</v>
      </c>
      <c r="AU333" s="165"/>
      <c r="AV333" s="166"/>
      <c r="AW333" s="167"/>
      <c r="AX333" s="146"/>
      <c r="AY333" s="168"/>
    </row>
    <row r="334" spans="1:51" s="139" customFormat="1" ht="11.25" x14ac:dyDescent="0.25">
      <c r="A334" s="1"/>
      <c r="B334" s="140">
        <v>20</v>
      </c>
      <c r="C334" s="343" t="s">
        <v>364</v>
      </c>
      <c r="D334" s="142"/>
      <c r="E334" s="143"/>
      <c r="F334" s="143"/>
      <c r="G334" s="143"/>
      <c r="H334" s="143"/>
      <c r="I334" s="143"/>
      <c r="J334" s="143"/>
      <c r="K334" s="143"/>
      <c r="L334" s="143"/>
      <c r="M334" s="143"/>
      <c r="N334" s="222"/>
      <c r="O334" s="222">
        <v>1097280</v>
      </c>
      <c r="P334" s="145"/>
      <c r="Q334" s="223">
        <f t="shared" si="417"/>
        <v>1097280</v>
      </c>
      <c r="R334" s="147">
        <f>Q334*$R$8</f>
        <v>179953.92000000001</v>
      </c>
      <c r="S334" s="147">
        <f t="shared" si="399"/>
        <v>493.02443835616441</v>
      </c>
      <c r="T334" s="148">
        <f>S334*$T$5*$T$8</f>
        <v>143963.13600000003</v>
      </c>
      <c r="U334" s="199"/>
      <c r="V334" s="150"/>
      <c r="W334" s="151"/>
      <c r="X334" s="151"/>
      <c r="Y334" s="152"/>
      <c r="Z334" s="153"/>
      <c r="AA334" s="153"/>
      <c r="AB334" s="154"/>
      <c r="AC334" s="155">
        <f t="shared" si="400"/>
        <v>83498.618880000009</v>
      </c>
      <c r="AD334" s="156">
        <f t="shared" si="401"/>
        <v>18715.207680000003</v>
      </c>
      <c r="AE334" s="156">
        <f t="shared" si="402"/>
        <v>12632.765184000002</v>
      </c>
      <c r="AF334" s="156">
        <f t="shared" si="403"/>
        <v>5758.5254400000013</v>
      </c>
      <c r="AG334" s="156">
        <f t="shared" si="404"/>
        <v>2879.2627200000006</v>
      </c>
      <c r="AH334" s="156">
        <f t="shared" si="405"/>
        <v>2879.2627200000006</v>
      </c>
      <c r="AI334" s="156">
        <f t="shared" si="406"/>
        <v>1439.6313600000003</v>
      </c>
      <c r="AJ334" s="156">
        <f t="shared" si="407"/>
        <v>2879.2627200000006</v>
      </c>
      <c r="AK334" s="156">
        <f t="shared" si="408"/>
        <v>2879.2627200000006</v>
      </c>
      <c r="AL334" s="156">
        <f t="shared" si="409"/>
        <v>10077.419520000003</v>
      </c>
      <c r="AM334" s="157">
        <f t="shared" si="410"/>
        <v>44304.655104000005</v>
      </c>
      <c r="AN334" s="158">
        <f t="shared" si="411"/>
        <v>2200</v>
      </c>
      <c r="AO334" s="159">
        <v>0.2</v>
      </c>
      <c r="AP334" s="160">
        <f t="shared" si="412"/>
        <v>1177190844.5356646</v>
      </c>
      <c r="AQ334" s="161">
        <f t="shared" si="413"/>
        <v>326997.4829752589</v>
      </c>
      <c r="AR334" s="162">
        <f t="shared" si="414"/>
        <v>65399.49659505178</v>
      </c>
      <c r="AS334" s="163">
        <f t="shared" si="415"/>
        <v>9.3321199479240562</v>
      </c>
      <c r="AT334" s="164">
        <f t="shared" si="416"/>
        <v>9.3321199479240562</v>
      </c>
      <c r="AU334" s="165"/>
      <c r="AV334" s="166"/>
      <c r="AW334" s="167"/>
      <c r="AX334" s="146"/>
      <c r="AY334" s="168"/>
    </row>
    <row r="335" spans="1:51" s="139" customFormat="1" ht="11.25" x14ac:dyDescent="0.25">
      <c r="A335" s="1"/>
      <c r="B335" s="140">
        <v>21</v>
      </c>
      <c r="C335" s="343" t="s">
        <v>365</v>
      </c>
      <c r="D335" s="142"/>
      <c r="E335" s="143"/>
      <c r="F335" s="143"/>
      <c r="G335" s="143"/>
      <c r="H335" s="143"/>
      <c r="I335" s="143"/>
      <c r="J335" s="143"/>
      <c r="K335" s="143"/>
      <c r="L335" s="143"/>
      <c r="M335" s="143"/>
      <c r="N335" s="222"/>
      <c r="O335" s="222">
        <v>1055579</v>
      </c>
      <c r="P335" s="145"/>
      <c r="Q335" s="223">
        <f t="shared" si="417"/>
        <v>1055579</v>
      </c>
      <c r="R335" s="147">
        <f>Q335*$R$8</f>
        <v>173114.95600000001</v>
      </c>
      <c r="S335" s="147">
        <f t="shared" si="399"/>
        <v>474.28755068493155</v>
      </c>
      <c r="T335" s="148">
        <f>S335*$T$5*$T$8</f>
        <v>138491.96480000002</v>
      </c>
      <c r="U335" s="199"/>
      <c r="V335" s="150"/>
      <c r="W335" s="151"/>
      <c r="X335" s="151"/>
      <c r="Y335" s="152"/>
      <c r="Z335" s="153"/>
      <c r="AA335" s="153"/>
      <c r="AB335" s="154"/>
      <c r="AC335" s="155">
        <f t="shared" si="400"/>
        <v>80325.339584000001</v>
      </c>
      <c r="AD335" s="156">
        <f t="shared" si="401"/>
        <v>18003.955424000003</v>
      </c>
      <c r="AE335" s="156">
        <f t="shared" si="402"/>
        <v>12152.669911200001</v>
      </c>
      <c r="AF335" s="156">
        <f t="shared" si="403"/>
        <v>5539.6785920000011</v>
      </c>
      <c r="AG335" s="156">
        <f t="shared" si="404"/>
        <v>2769.8392960000006</v>
      </c>
      <c r="AH335" s="156">
        <f t="shared" si="405"/>
        <v>2769.8392960000006</v>
      </c>
      <c r="AI335" s="156">
        <f t="shared" si="406"/>
        <v>1384.9196480000003</v>
      </c>
      <c r="AJ335" s="156">
        <f t="shared" si="407"/>
        <v>2769.8392960000006</v>
      </c>
      <c r="AK335" s="156">
        <f t="shared" si="408"/>
        <v>2769.8392960000006</v>
      </c>
      <c r="AL335" s="156">
        <f t="shared" si="409"/>
        <v>9694.4375360000013</v>
      </c>
      <c r="AM335" s="157">
        <f t="shared" si="410"/>
        <v>42620.902167200009</v>
      </c>
      <c r="AN335" s="158">
        <f t="shared" si="411"/>
        <v>2200</v>
      </c>
      <c r="AO335" s="159">
        <v>0.2</v>
      </c>
      <c r="AP335" s="160">
        <f t="shared" si="412"/>
        <v>1132452914.9206333</v>
      </c>
      <c r="AQ335" s="161">
        <f t="shared" si="413"/>
        <v>314570.2793102407</v>
      </c>
      <c r="AR335" s="162">
        <f t="shared" si="414"/>
        <v>62914.055862048146</v>
      </c>
      <c r="AS335" s="163">
        <f t="shared" si="415"/>
        <v>8.9774623090822132</v>
      </c>
      <c r="AT335" s="164">
        <f t="shared" si="416"/>
        <v>8.9774623090822132</v>
      </c>
      <c r="AU335" s="165"/>
      <c r="AV335" s="166"/>
      <c r="AW335" s="167"/>
      <c r="AX335" s="146"/>
      <c r="AY335" s="168"/>
    </row>
    <row r="336" spans="1:51" s="139" customFormat="1" ht="11.25" x14ac:dyDescent="0.25">
      <c r="A336" s="1"/>
      <c r="B336" s="140">
        <v>22</v>
      </c>
      <c r="C336" s="343" t="s">
        <v>366</v>
      </c>
      <c r="D336" s="142"/>
      <c r="E336" s="143"/>
      <c r="F336" s="143"/>
      <c r="G336" s="143"/>
      <c r="H336" s="143"/>
      <c r="I336" s="143"/>
      <c r="J336" s="143"/>
      <c r="K336" s="143"/>
      <c r="L336" s="143"/>
      <c r="M336" s="143"/>
      <c r="N336" s="222"/>
      <c r="O336" s="222">
        <v>930727</v>
      </c>
      <c r="P336" s="145"/>
      <c r="Q336" s="223">
        <f t="shared" si="417"/>
        <v>930727</v>
      </c>
      <c r="R336" s="147">
        <f>Q336*$R$9</f>
        <v>135886.14199999999</v>
      </c>
      <c r="S336" s="147">
        <f t="shared" si="399"/>
        <v>372.29079999999999</v>
      </c>
      <c r="T336" s="148">
        <f>S336*$T$5*$T$9</f>
        <v>95120.299399999989</v>
      </c>
      <c r="U336" s="199"/>
      <c r="V336" s="150"/>
      <c r="W336" s="151"/>
      <c r="X336" s="151"/>
      <c r="Y336" s="152"/>
      <c r="Z336" s="153"/>
      <c r="AA336" s="153"/>
      <c r="AB336" s="154"/>
      <c r="AC336" s="155">
        <f t="shared" si="400"/>
        <v>55169.773651999989</v>
      </c>
      <c r="AD336" s="156">
        <f t="shared" si="401"/>
        <v>12365.638921999998</v>
      </c>
      <c r="AE336" s="156">
        <f t="shared" si="402"/>
        <v>8346.8062723499988</v>
      </c>
      <c r="AF336" s="156">
        <f t="shared" si="403"/>
        <v>3804.8119759999995</v>
      </c>
      <c r="AG336" s="156">
        <f t="shared" si="404"/>
        <v>1902.4059879999998</v>
      </c>
      <c r="AH336" s="156">
        <f t="shared" si="405"/>
        <v>1902.4059879999998</v>
      </c>
      <c r="AI336" s="156">
        <f t="shared" si="406"/>
        <v>951.20299399999988</v>
      </c>
      <c r="AJ336" s="156">
        <f t="shared" si="407"/>
        <v>1902.4059879999998</v>
      </c>
      <c r="AK336" s="156">
        <f t="shared" si="408"/>
        <v>1902.4059879999998</v>
      </c>
      <c r="AL336" s="156">
        <f t="shared" si="409"/>
        <v>6658.4209579999997</v>
      </c>
      <c r="AM336" s="157">
        <f t="shared" si="410"/>
        <v>29273.272140349993</v>
      </c>
      <c r="AN336" s="158">
        <f t="shared" si="411"/>
        <v>2200</v>
      </c>
      <c r="AO336" s="159">
        <v>0.2</v>
      </c>
      <c r="AP336" s="160">
        <f t="shared" si="412"/>
        <v>777801517.071504</v>
      </c>
      <c r="AQ336" s="161">
        <f t="shared" si="413"/>
        <v>216055.99424878482</v>
      </c>
      <c r="AR336" s="162">
        <f t="shared" si="414"/>
        <v>43211.198849756969</v>
      </c>
      <c r="AS336" s="163">
        <f t="shared" si="415"/>
        <v>6.1659815710269648</v>
      </c>
      <c r="AT336" s="164">
        <f t="shared" si="416"/>
        <v>6.1659815710269648</v>
      </c>
      <c r="AU336" s="165"/>
      <c r="AV336" s="166"/>
      <c r="AW336" s="167"/>
      <c r="AX336" s="146"/>
      <c r="AY336" s="168"/>
    </row>
    <row r="337" spans="1:51" s="139" customFormat="1" ht="11.25" x14ac:dyDescent="0.25">
      <c r="A337" s="1"/>
      <c r="B337" s="140">
        <v>23</v>
      </c>
      <c r="C337" s="342" t="s">
        <v>367</v>
      </c>
      <c r="D337" s="142"/>
      <c r="E337" s="143"/>
      <c r="F337" s="143"/>
      <c r="G337" s="143"/>
      <c r="H337" s="143"/>
      <c r="I337" s="143"/>
      <c r="J337" s="143"/>
      <c r="K337" s="143"/>
      <c r="L337" s="143"/>
      <c r="M337" s="143"/>
      <c r="N337" s="222"/>
      <c r="O337" s="222">
        <v>708546</v>
      </c>
      <c r="P337" s="145"/>
      <c r="Q337" s="223">
        <f t="shared" si="417"/>
        <v>708546</v>
      </c>
      <c r="R337" s="147">
        <f>Q337*$R$9</f>
        <v>103447.716</v>
      </c>
      <c r="S337" s="147">
        <f t="shared" si="399"/>
        <v>283.41840000000002</v>
      </c>
      <c r="T337" s="148">
        <f>S337*$T$5*$T$9</f>
        <v>72413.401199999993</v>
      </c>
      <c r="U337" s="199"/>
      <c r="V337" s="150"/>
      <c r="W337" s="151"/>
      <c r="X337" s="151"/>
      <c r="Y337" s="152"/>
      <c r="Z337" s="153"/>
      <c r="AA337" s="153"/>
      <c r="AB337" s="154"/>
      <c r="AC337" s="155">
        <f t="shared" si="400"/>
        <v>41999.772695999993</v>
      </c>
      <c r="AD337" s="156">
        <f t="shared" si="401"/>
        <v>9413.7421560000003</v>
      </c>
      <c r="AE337" s="156">
        <f t="shared" si="402"/>
        <v>6354.2759552999987</v>
      </c>
      <c r="AF337" s="156">
        <f t="shared" si="403"/>
        <v>2896.5360479999999</v>
      </c>
      <c r="AG337" s="156">
        <f t="shared" si="404"/>
        <v>1448.268024</v>
      </c>
      <c r="AH337" s="156">
        <f t="shared" si="405"/>
        <v>1448.268024</v>
      </c>
      <c r="AI337" s="156">
        <f t="shared" si="406"/>
        <v>724.13401199999998</v>
      </c>
      <c r="AJ337" s="156">
        <f t="shared" si="407"/>
        <v>1448.268024</v>
      </c>
      <c r="AK337" s="156">
        <f t="shared" si="408"/>
        <v>1448.268024</v>
      </c>
      <c r="AL337" s="156">
        <f t="shared" si="409"/>
        <v>5068.9380840000003</v>
      </c>
      <c r="AM337" s="157">
        <f t="shared" si="410"/>
        <v>22285.224219300002</v>
      </c>
      <c r="AN337" s="158">
        <f t="shared" si="411"/>
        <v>2200</v>
      </c>
      <c r="AO337" s="159">
        <v>0.2</v>
      </c>
      <c r="AP337" s="160">
        <f t="shared" si="412"/>
        <v>592126535.18695164</v>
      </c>
      <c r="AQ337" s="161">
        <f t="shared" si="413"/>
        <v>164479.606265854</v>
      </c>
      <c r="AR337" s="162">
        <f t="shared" si="414"/>
        <v>32895.921253170804</v>
      </c>
      <c r="AS337" s="163">
        <f t="shared" si="415"/>
        <v>4.6940526902355595</v>
      </c>
      <c r="AT337" s="164">
        <f t="shared" si="416"/>
        <v>4.6940526902355595</v>
      </c>
      <c r="AU337" s="165"/>
      <c r="AV337" s="166"/>
      <c r="AW337" s="167"/>
      <c r="AX337" s="146"/>
      <c r="AY337" s="168"/>
    </row>
    <row r="338" spans="1:51" s="139" customFormat="1" ht="11.25" x14ac:dyDescent="0.25">
      <c r="A338" s="1"/>
      <c r="B338" s="140">
        <v>24</v>
      </c>
      <c r="C338" s="343" t="s">
        <v>368</v>
      </c>
      <c r="D338" s="142"/>
      <c r="E338" s="143"/>
      <c r="F338" s="143"/>
      <c r="G338" s="143"/>
      <c r="H338" s="143"/>
      <c r="I338" s="143"/>
      <c r="J338" s="143"/>
      <c r="K338" s="143"/>
      <c r="L338" s="143"/>
      <c r="M338" s="143"/>
      <c r="N338" s="222"/>
      <c r="O338" s="222">
        <v>900313</v>
      </c>
      <c r="P338" s="145"/>
      <c r="Q338" s="223">
        <f t="shared" si="417"/>
        <v>900313</v>
      </c>
      <c r="R338" s="147">
        <f>Q338*$R$9</f>
        <v>131445.698</v>
      </c>
      <c r="S338" s="147">
        <f t="shared" si="399"/>
        <v>360.12520000000001</v>
      </c>
      <c r="T338" s="148">
        <f>S338*$T$5*$T$9</f>
        <v>92011.988599999997</v>
      </c>
      <c r="U338" s="199"/>
      <c r="V338" s="150"/>
      <c r="W338" s="151"/>
      <c r="X338" s="151"/>
      <c r="Y338" s="152"/>
      <c r="Z338" s="153"/>
      <c r="AA338" s="153"/>
      <c r="AB338" s="154"/>
      <c r="AC338" s="155">
        <f t="shared" si="400"/>
        <v>53366.953387999994</v>
      </c>
      <c r="AD338" s="156">
        <f t="shared" si="401"/>
        <v>11961.558518</v>
      </c>
      <c r="AE338" s="156">
        <f t="shared" si="402"/>
        <v>8074.0519996499988</v>
      </c>
      <c r="AF338" s="156">
        <f t="shared" si="403"/>
        <v>3680.4795439999998</v>
      </c>
      <c r="AG338" s="156">
        <f t="shared" si="404"/>
        <v>1840.2397719999999</v>
      </c>
      <c r="AH338" s="156">
        <f t="shared" si="405"/>
        <v>1840.2397719999999</v>
      </c>
      <c r="AI338" s="156">
        <f t="shared" si="406"/>
        <v>920.11988599999995</v>
      </c>
      <c r="AJ338" s="156">
        <f t="shared" si="407"/>
        <v>1840.2397719999999</v>
      </c>
      <c r="AK338" s="156">
        <f t="shared" si="408"/>
        <v>1840.2397719999999</v>
      </c>
      <c r="AL338" s="156">
        <f t="shared" si="409"/>
        <v>6440.8392020000001</v>
      </c>
      <c r="AM338" s="157">
        <f t="shared" si="410"/>
        <v>28316.689491650002</v>
      </c>
      <c r="AN338" s="158">
        <f t="shared" si="411"/>
        <v>2200</v>
      </c>
      <c r="AO338" s="159">
        <v>0.2</v>
      </c>
      <c r="AP338" s="160">
        <f t="shared" si="412"/>
        <v>752384767.21874094</v>
      </c>
      <c r="AQ338" s="161">
        <f t="shared" si="413"/>
        <v>208995.78539153398</v>
      </c>
      <c r="AR338" s="162">
        <f t="shared" si="414"/>
        <v>41799.157078306802</v>
      </c>
      <c r="AS338" s="163">
        <f t="shared" si="415"/>
        <v>5.9644915922241442</v>
      </c>
      <c r="AT338" s="164">
        <f t="shared" si="416"/>
        <v>5.9644915922241442</v>
      </c>
      <c r="AU338" s="165"/>
      <c r="AV338" s="166"/>
      <c r="AW338" s="167"/>
      <c r="AX338" s="146"/>
      <c r="AY338" s="168"/>
    </row>
    <row r="339" spans="1:51" s="139" customFormat="1" ht="11.25" x14ac:dyDescent="0.25">
      <c r="A339" s="1"/>
      <c r="B339" s="140">
        <v>25</v>
      </c>
      <c r="C339" s="342" t="s">
        <v>369</v>
      </c>
      <c r="D339" s="142"/>
      <c r="E339" s="143"/>
      <c r="F339" s="143"/>
      <c r="G339" s="143"/>
      <c r="H339" s="143"/>
      <c r="I339" s="143"/>
      <c r="J339" s="143"/>
      <c r="K339" s="143"/>
      <c r="L339" s="143"/>
      <c r="M339" s="143"/>
      <c r="N339" s="222"/>
      <c r="O339" s="222">
        <v>706784</v>
      </c>
      <c r="P339" s="145"/>
      <c r="Q339" s="223">
        <f t="shared" si="417"/>
        <v>706784</v>
      </c>
      <c r="R339" s="147">
        <f>Q339*$R$9</f>
        <v>103190.46399999999</v>
      </c>
      <c r="S339" s="147">
        <f t="shared" si="399"/>
        <v>282.71359999999999</v>
      </c>
      <c r="T339" s="148">
        <f>S339*$T$5*$T$9</f>
        <v>72233.324799999988</v>
      </c>
      <c r="U339" s="199"/>
      <c r="V339" s="150"/>
      <c r="W339" s="151"/>
      <c r="X339" s="151"/>
      <c r="Y339" s="152"/>
      <c r="Z339" s="153"/>
      <c r="AA339" s="153"/>
      <c r="AB339" s="154"/>
      <c r="AC339" s="155">
        <f t="shared" si="400"/>
        <v>41895.328383999993</v>
      </c>
      <c r="AD339" s="156">
        <f t="shared" si="401"/>
        <v>9390.332223999998</v>
      </c>
      <c r="AE339" s="156">
        <f t="shared" si="402"/>
        <v>6338.4742511999984</v>
      </c>
      <c r="AF339" s="156">
        <f t="shared" si="403"/>
        <v>2889.3329919999996</v>
      </c>
      <c r="AG339" s="156">
        <f t="shared" si="404"/>
        <v>1444.6664959999998</v>
      </c>
      <c r="AH339" s="156">
        <f t="shared" si="405"/>
        <v>1444.6664959999998</v>
      </c>
      <c r="AI339" s="156">
        <f t="shared" si="406"/>
        <v>722.33324799999991</v>
      </c>
      <c r="AJ339" s="156">
        <f t="shared" si="407"/>
        <v>1444.6664959999998</v>
      </c>
      <c r="AK339" s="156">
        <f t="shared" si="408"/>
        <v>1444.6664959999998</v>
      </c>
      <c r="AL339" s="156">
        <f t="shared" si="409"/>
        <v>5056.3327359999994</v>
      </c>
      <c r="AM339" s="157">
        <f t="shared" si="410"/>
        <v>22229.80570719999</v>
      </c>
      <c r="AN339" s="158">
        <f t="shared" si="411"/>
        <v>2200</v>
      </c>
      <c r="AO339" s="159">
        <v>0.2</v>
      </c>
      <c r="AP339" s="160">
        <f t="shared" si="412"/>
        <v>590654045.10867941</v>
      </c>
      <c r="AQ339" s="161">
        <f t="shared" si="413"/>
        <v>164070.58121138971</v>
      </c>
      <c r="AR339" s="162">
        <f t="shared" si="414"/>
        <v>32814.116242277945</v>
      </c>
      <c r="AS339" s="163">
        <f t="shared" si="415"/>
        <v>4.6823796007816707</v>
      </c>
      <c r="AT339" s="164">
        <f t="shared" si="416"/>
        <v>4.6823796007816707</v>
      </c>
      <c r="AU339" s="165"/>
      <c r="AV339" s="166"/>
      <c r="AW339" s="167"/>
      <c r="AX339" s="146"/>
      <c r="AY339" s="168"/>
    </row>
    <row r="340" spans="1:51" s="139" customFormat="1" ht="11.25" x14ac:dyDescent="0.25">
      <c r="A340" s="1"/>
      <c r="B340" s="140">
        <v>26</v>
      </c>
      <c r="C340" s="342" t="s">
        <v>370</v>
      </c>
      <c r="D340" s="142"/>
      <c r="E340" s="143"/>
      <c r="F340" s="143"/>
      <c r="G340" s="143"/>
      <c r="H340" s="143"/>
      <c r="I340" s="143"/>
      <c r="J340" s="143"/>
      <c r="K340" s="143"/>
      <c r="L340" s="143"/>
      <c r="M340" s="143"/>
      <c r="N340" s="222"/>
      <c r="O340" s="222">
        <v>838621</v>
      </c>
      <c r="P340" s="145"/>
      <c r="Q340" s="223">
        <f t="shared" si="417"/>
        <v>838621</v>
      </c>
      <c r="R340" s="147">
        <f>Q340*$R$9</f>
        <v>122438.666</v>
      </c>
      <c r="S340" s="147">
        <f t="shared" si="399"/>
        <v>335.44839999999999</v>
      </c>
      <c r="T340" s="148">
        <f>S340*$T$5*$T$9</f>
        <v>85707.066199999987</v>
      </c>
      <c r="U340" s="199"/>
      <c r="V340" s="150"/>
      <c r="W340" s="151"/>
      <c r="X340" s="151"/>
      <c r="Y340" s="152"/>
      <c r="Z340" s="153"/>
      <c r="AA340" s="153"/>
      <c r="AB340" s="154"/>
      <c r="AC340" s="155">
        <f t="shared" si="400"/>
        <v>49710.098395999987</v>
      </c>
      <c r="AD340" s="156">
        <f t="shared" si="401"/>
        <v>11141.918605999999</v>
      </c>
      <c r="AE340" s="156">
        <f t="shared" si="402"/>
        <v>7520.7950590499986</v>
      </c>
      <c r="AF340" s="156">
        <f t="shared" si="403"/>
        <v>3428.2826479999994</v>
      </c>
      <c r="AG340" s="156">
        <f t="shared" si="404"/>
        <v>1714.1413239999997</v>
      </c>
      <c r="AH340" s="156">
        <f t="shared" si="405"/>
        <v>1714.1413239999997</v>
      </c>
      <c r="AI340" s="156">
        <f t="shared" si="406"/>
        <v>857.07066199999986</v>
      </c>
      <c r="AJ340" s="156">
        <f t="shared" si="407"/>
        <v>1714.1413239999997</v>
      </c>
      <c r="AK340" s="156">
        <f t="shared" si="408"/>
        <v>1714.1413239999997</v>
      </c>
      <c r="AL340" s="156">
        <f t="shared" si="409"/>
        <v>5999.4946339999997</v>
      </c>
      <c r="AM340" s="157">
        <f t="shared" si="410"/>
        <v>26376.349623049995</v>
      </c>
      <c r="AN340" s="158">
        <f t="shared" si="411"/>
        <v>2200</v>
      </c>
      <c r="AO340" s="159">
        <v>0.2</v>
      </c>
      <c r="AP340" s="160">
        <f t="shared" si="412"/>
        <v>700829229.24554861</v>
      </c>
      <c r="AQ340" s="161">
        <f t="shared" si="413"/>
        <v>194674.80147552415</v>
      </c>
      <c r="AR340" s="162">
        <f t="shared" si="414"/>
        <v>38934.960295104829</v>
      </c>
      <c r="AS340" s="163">
        <f t="shared" si="415"/>
        <v>5.5557877133425837</v>
      </c>
      <c r="AT340" s="164">
        <f t="shared" si="416"/>
        <v>5.5557877133425837</v>
      </c>
      <c r="AU340" s="165"/>
      <c r="AV340" s="166"/>
      <c r="AW340" s="167"/>
      <c r="AX340" s="146"/>
      <c r="AY340" s="168"/>
    </row>
    <row r="341" spans="1:51" s="139" customFormat="1" ht="11.25" x14ac:dyDescent="0.25">
      <c r="A341" s="1"/>
      <c r="B341" s="140">
        <v>27</v>
      </c>
      <c r="C341" s="343" t="s">
        <v>371</v>
      </c>
      <c r="D341" s="142"/>
      <c r="E341" s="143"/>
      <c r="F341" s="143"/>
      <c r="G341" s="143"/>
      <c r="H341" s="143"/>
      <c r="I341" s="143"/>
      <c r="J341" s="143"/>
      <c r="K341" s="143"/>
      <c r="L341" s="143"/>
      <c r="M341" s="143"/>
      <c r="N341" s="222"/>
      <c r="O341" s="222">
        <v>1261353</v>
      </c>
      <c r="P341" s="145"/>
      <c r="Q341" s="223">
        <f t="shared" si="417"/>
        <v>1261353</v>
      </c>
      <c r="R341" s="147">
        <f>Q341*$R$8</f>
        <v>206861.89200000002</v>
      </c>
      <c r="S341" s="147">
        <f t="shared" si="399"/>
        <v>566.74490958904119</v>
      </c>
      <c r="T341" s="148">
        <f>S341*$T$5*$T$8</f>
        <v>165489.51360000003</v>
      </c>
      <c r="U341" s="199"/>
      <c r="V341" s="150"/>
      <c r="W341" s="151"/>
      <c r="X341" s="151"/>
      <c r="Y341" s="152"/>
      <c r="Z341" s="153"/>
      <c r="AA341" s="153"/>
      <c r="AB341" s="154"/>
      <c r="AC341" s="155">
        <f t="shared" si="400"/>
        <v>95983.917888000011</v>
      </c>
      <c r="AD341" s="156">
        <f t="shared" si="401"/>
        <v>21513.636768000004</v>
      </c>
      <c r="AE341" s="156">
        <f t="shared" si="402"/>
        <v>14521.704818400001</v>
      </c>
      <c r="AF341" s="156">
        <f t="shared" si="403"/>
        <v>6619.5805440000013</v>
      </c>
      <c r="AG341" s="156">
        <f t="shared" si="404"/>
        <v>3309.7902720000006</v>
      </c>
      <c r="AH341" s="156">
        <f t="shared" si="405"/>
        <v>3309.7902720000006</v>
      </c>
      <c r="AI341" s="156">
        <f t="shared" si="406"/>
        <v>1654.8951360000003</v>
      </c>
      <c r="AJ341" s="156">
        <f t="shared" si="407"/>
        <v>3309.7902720000006</v>
      </c>
      <c r="AK341" s="156">
        <f t="shared" si="408"/>
        <v>3309.7902720000006</v>
      </c>
      <c r="AL341" s="156">
        <f t="shared" si="409"/>
        <v>11584.265952000003</v>
      </c>
      <c r="AM341" s="157">
        <f t="shared" si="410"/>
        <v>50929.397810400005</v>
      </c>
      <c r="AN341" s="158">
        <f t="shared" si="411"/>
        <v>2200</v>
      </c>
      <c r="AO341" s="159">
        <v>0.2</v>
      </c>
      <c r="AP341" s="160">
        <f t="shared" si="412"/>
        <v>1353212674.3653347</v>
      </c>
      <c r="AQ341" s="161">
        <f t="shared" si="413"/>
        <v>375892.43961731909</v>
      </c>
      <c r="AR341" s="162">
        <f t="shared" si="414"/>
        <v>75178.487923463821</v>
      </c>
      <c r="AS341" s="163">
        <f t="shared" si="415"/>
        <v>10.727523961681481</v>
      </c>
      <c r="AT341" s="164">
        <f t="shared" si="416"/>
        <v>10.727523961681481</v>
      </c>
      <c r="AU341" s="165"/>
      <c r="AV341" s="166"/>
      <c r="AW341" s="167"/>
      <c r="AX341" s="146"/>
      <c r="AY341" s="168"/>
    </row>
    <row r="342" spans="1:51" s="139" customFormat="1" ht="11.25" x14ac:dyDescent="0.25">
      <c r="A342" s="1"/>
      <c r="B342" s="140">
        <v>28</v>
      </c>
      <c r="C342" s="343" t="s">
        <v>372</v>
      </c>
      <c r="D342" s="142"/>
      <c r="E342" s="143"/>
      <c r="F342" s="143"/>
      <c r="G342" s="143"/>
      <c r="H342" s="143"/>
      <c r="I342" s="143"/>
      <c r="J342" s="143"/>
      <c r="K342" s="143"/>
      <c r="L342" s="143"/>
      <c r="M342" s="143"/>
      <c r="N342" s="222"/>
      <c r="O342" s="222">
        <v>1394839</v>
      </c>
      <c r="P342" s="145"/>
      <c r="Q342" s="223">
        <f t="shared" si="417"/>
        <v>1394839</v>
      </c>
      <c r="R342" s="147">
        <f>Q342*$R$8</f>
        <v>228753.59600000002</v>
      </c>
      <c r="S342" s="147">
        <f t="shared" si="399"/>
        <v>626.72218082191785</v>
      </c>
      <c r="T342" s="148">
        <f>S342*$T$5*$T$8</f>
        <v>183002.87680000003</v>
      </c>
      <c r="U342" s="199"/>
      <c r="V342" s="150"/>
      <c r="W342" s="151"/>
      <c r="X342" s="151"/>
      <c r="Y342" s="152"/>
      <c r="Z342" s="153"/>
      <c r="AA342" s="153"/>
      <c r="AB342" s="154"/>
      <c r="AC342" s="155">
        <f t="shared" si="400"/>
        <v>106141.66854400001</v>
      </c>
      <c r="AD342" s="156">
        <f t="shared" si="401"/>
        <v>23790.373984000005</v>
      </c>
      <c r="AE342" s="156">
        <f t="shared" si="402"/>
        <v>16058.502439200001</v>
      </c>
      <c r="AF342" s="156">
        <f t="shared" si="403"/>
        <v>7320.1150720000014</v>
      </c>
      <c r="AG342" s="156">
        <f t="shared" si="404"/>
        <v>3660.0575360000007</v>
      </c>
      <c r="AH342" s="156">
        <f t="shared" si="405"/>
        <v>3660.0575360000007</v>
      </c>
      <c r="AI342" s="156">
        <f t="shared" si="406"/>
        <v>1830.0287680000004</v>
      </c>
      <c r="AJ342" s="156">
        <f t="shared" si="407"/>
        <v>3660.0575360000007</v>
      </c>
      <c r="AK342" s="156">
        <f t="shared" si="408"/>
        <v>3660.0575360000007</v>
      </c>
      <c r="AL342" s="156">
        <f t="shared" si="409"/>
        <v>12810.201376000003</v>
      </c>
      <c r="AM342" s="157">
        <f t="shared" si="410"/>
        <v>56319.135335200015</v>
      </c>
      <c r="AN342" s="158">
        <f t="shared" si="411"/>
        <v>2200</v>
      </c>
      <c r="AO342" s="159">
        <v>0.2</v>
      </c>
      <c r="AP342" s="160">
        <f t="shared" si="412"/>
        <v>1496419966.0991559</v>
      </c>
      <c r="AQ342" s="161">
        <f t="shared" si="413"/>
        <v>415672.24605909811</v>
      </c>
      <c r="AR342" s="162">
        <f t="shared" si="414"/>
        <v>83134.449211819621</v>
      </c>
      <c r="AS342" s="163">
        <f t="shared" si="415"/>
        <v>11.862792410362388</v>
      </c>
      <c r="AT342" s="164">
        <f t="shared" si="416"/>
        <v>11.862792410362388</v>
      </c>
      <c r="AU342" s="165"/>
      <c r="AV342" s="166"/>
      <c r="AW342" s="167"/>
      <c r="AX342" s="146"/>
      <c r="AY342" s="168"/>
    </row>
    <row r="343" spans="1:51" s="139" customFormat="1" ht="11.25" x14ac:dyDescent="0.25">
      <c r="A343" s="1"/>
      <c r="B343" s="140">
        <v>29</v>
      </c>
      <c r="C343" s="343" t="s">
        <v>373</v>
      </c>
      <c r="D343" s="142"/>
      <c r="E343" s="143"/>
      <c r="F343" s="143"/>
      <c r="G343" s="143"/>
      <c r="H343" s="143"/>
      <c r="I343" s="143"/>
      <c r="J343" s="143"/>
      <c r="K343" s="143"/>
      <c r="L343" s="143"/>
      <c r="M343" s="143"/>
      <c r="N343" s="222"/>
      <c r="O343" s="222">
        <v>1733869</v>
      </c>
      <c r="P343" s="145"/>
      <c r="Q343" s="223">
        <f t="shared" si="417"/>
        <v>1733869</v>
      </c>
      <c r="R343" s="147">
        <f>Q343*$R$7</f>
        <v>410926.95299999998</v>
      </c>
      <c r="S343" s="147">
        <f t="shared" si="399"/>
        <v>1125.8272684931505</v>
      </c>
      <c r="T343" s="148">
        <f>S343*$T$5*$T$7</f>
        <v>369834.25769999996</v>
      </c>
      <c r="U343" s="199"/>
      <c r="V343" s="150"/>
      <c r="W343" s="151"/>
      <c r="X343" s="151"/>
      <c r="Y343" s="152"/>
      <c r="Z343" s="153"/>
      <c r="AA343" s="153"/>
      <c r="AB343" s="154"/>
      <c r="AC343" s="155">
        <f t="shared" si="400"/>
        <v>214503.86946599997</v>
      </c>
      <c r="AD343" s="156">
        <f t="shared" si="401"/>
        <v>48078.453500999996</v>
      </c>
      <c r="AE343" s="156">
        <f t="shared" si="402"/>
        <v>32452.956113174994</v>
      </c>
      <c r="AF343" s="156">
        <f t="shared" si="403"/>
        <v>14793.370307999998</v>
      </c>
      <c r="AG343" s="156">
        <f t="shared" si="404"/>
        <v>7396.6851539999989</v>
      </c>
      <c r="AH343" s="156">
        <f t="shared" si="405"/>
        <v>7396.6851539999989</v>
      </c>
      <c r="AI343" s="156">
        <f t="shared" si="406"/>
        <v>3698.3425769999994</v>
      </c>
      <c r="AJ343" s="156">
        <f t="shared" si="407"/>
        <v>7396.6851539999989</v>
      </c>
      <c r="AK343" s="156">
        <f t="shared" si="408"/>
        <v>7396.6851539999989</v>
      </c>
      <c r="AL343" s="156">
        <f t="shared" si="409"/>
        <v>25888.398039</v>
      </c>
      <c r="AM343" s="157">
        <f t="shared" si="410"/>
        <v>113816.492807175</v>
      </c>
      <c r="AN343" s="158">
        <f t="shared" si="411"/>
        <v>2200</v>
      </c>
      <c r="AO343" s="159">
        <v>0.2</v>
      </c>
      <c r="AP343" s="160">
        <f t="shared" si="412"/>
        <v>3024145724.0837235</v>
      </c>
      <c r="AQ343" s="161">
        <f t="shared" si="413"/>
        <v>840040.54611538374</v>
      </c>
      <c r="AR343" s="162">
        <f t="shared" si="414"/>
        <v>168008.10922307675</v>
      </c>
      <c r="AS343" s="163">
        <f t="shared" si="415"/>
        <v>23.973759877722138</v>
      </c>
      <c r="AT343" s="164">
        <f t="shared" si="416"/>
        <v>23.973759877722138</v>
      </c>
      <c r="AU343" s="165"/>
      <c r="AV343" s="166"/>
      <c r="AW343" s="167"/>
      <c r="AX343" s="146"/>
      <c r="AY343" s="168"/>
    </row>
    <row r="344" spans="1:51" s="139" customFormat="1" ht="11.25" x14ac:dyDescent="0.25">
      <c r="A344" s="1"/>
      <c r="B344" s="140">
        <v>30</v>
      </c>
      <c r="C344" s="342" t="s">
        <v>374</v>
      </c>
      <c r="D344" s="235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>
        <v>118227</v>
      </c>
      <c r="P344" s="237"/>
      <c r="Q344" s="223">
        <f t="shared" si="417"/>
        <v>118227</v>
      </c>
      <c r="R344" s="147">
        <f>Q344*$R$10</f>
        <v>13004.97</v>
      </c>
      <c r="S344" s="147">
        <f t="shared" si="399"/>
        <v>35.630054794520547</v>
      </c>
      <c r="T344" s="148">
        <f>S344*$T$5*$T$10</f>
        <v>7802.9819999999991</v>
      </c>
      <c r="U344" s="199"/>
      <c r="V344" s="150"/>
      <c r="W344" s="151"/>
      <c r="X344" s="151"/>
      <c r="Y344" s="152"/>
      <c r="Z344" s="153"/>
      <c r="AA344" s="153"/>
      <c r="AB344" s="154"/>
      <c r="AC344" s="155">
        <f t="shared" si="400"/>
        <v>4525.7295599999989</v>
      </c>
      <c r="AD344" s="156">
        <f t="shared" si="401"/>
        <v>1014.3876599999999</v>
      </c>
      <c r="AE344" s="156">
        <f t="shared" si="402"/>
        <v>684.71167049999985</v>
      </c>
      <c r="AF344" s="156">
        <f t="shared" si="403"/>
        <v>312.11927999999995</v>
      </c>
      <c r="AG344" s="156">
        <f t="shared" si="404"/>
        <v>156.05963999999997</v>
      </c>
      <c r="AH344" s="156">
        <f t="shared" si="405"/>
        <v>156.05963999999997</v>
      </c>
      <c r="AI344" s="156">
        <f t="shared" si="406"/>
        <v>78.029819999999987</v>
      </c>
      <c r="AJ344" s="156">
        <f t="shared" si="407"/>
        <v>156.05963999999997</v>
      </c>
      <c r="AK344" s="156">
        <f t="shared" si="408"/>
        <v>156.05963999999997</v>
      </c>
      <c r="AL344" s="156">
        <f t="shared" si="409"/>
        <v>546.20874000000003</v>
      </c>
      <c r="AM344" s="157">
        <f t="shared" si="410"/>
        <v>2401.3677104999997</v>
      </c>
      <c r="AN344" s="158">
        <f t="shared" si="411"/>
        <v>2200</v>
      </c>
      <c r="AO344" s="159">
        <v>0.2</v>
      </c>
      <c r="AP344" s="160">
        <f t="shared" si="412"/>
        <v>63805215.874684669</v>
      </c>
      <c r="AQ344" s="161">
        <f t="shared" si="413"/>
        <v>17723.672494194983</v>
      </c>
      <c r="AR344" s="162">
        <f t="shared" si="414"/>
        <v>3544.7344988389968</v>
      </c>
      <c r="AS344" s="163">
        <f t="shared" si="415"/>
        <v>0.50581257118136369</v>
      </c>
      <c r="AT344" s="164">
        <f t="shared" si="416"/>
        <v>0.50581257118136369</v>
      </c>
      <c r="AU344" s="165"/>
      <c r="AV344" s="166"/>
      <c r="AW344" s="167"/>
      <c r="AX344" s="146"/>
      <c r="AY344" s="168"/>
    </row>
    <row r="345" spans="1:51" s="139" customFormat="1" ht="11.25" x14ac:dyDescent="0.25">
      <c r="A345" s="1"/>
      <c r="B345" s="140">
        <v>31</v>
      </c>
      <c r="C345" s="342" t="s">
        <v>375</v>
      </c>
      <c r="D345" s="235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>
        <v>499337</v>
      </c>
      <c r="P345" s="237"/>
      <c r="Q345" s="223">
        <f t="shared" si="417"/>
        <v>499337</v>
      </c>
      <c r="R345" s="147">
        <f>Q345*$R$10</f>
        <v>54927.07</v>
      </c>
      <c r="S345" s="147">
        <f t="shared" si="399"/>
        <v>150.48512328767123</v>
      </c>
      <c r="T345" s="148">
        <f>S345*$T$5*$T$10</f>
        <v>32956.241999999998</v>
      </c>
      <c r="U345" s="199"/>
      <c r="V345" s="150"/>
      <c r="W345" s="151"/>
      <c r="X345" s="151"/>
      <c r="Y345" s="152"/>
      <c r="Z345" s="153"/>
      <c r="AA345" s="153"/>
      <c r="AB345" s="154"/>
      <c r="AC345" s="155">
        <f t="shared" si="400"/>
        <v>19114.620359999997</v>
      </c>
      <c r="AD345" s="156">
        <f t="shared" si="401"/>
        <v>4284.3114599999999</v>
      </c>
      <c r="AE345" s="156">
        <f t="shared" si="402"/>
        <v>2891.9102354999995</v>
      </c>
      <c r="AF345" s="156">
        <f t="shared" si="403"/>
        <v>1318.2496799999999</v>
      </c>
      <c r="AG345" s="156">
        <f t="shared" si="404"/>
        <v>659.12483999999995</v>
      </c>
      <c r="AH345" s="156">
        <f t="shared" si="405"/>
        <v>659.12483999999995</v>
      </c>
      <c r="AI345" s="156">
        <f t="shared" si="406"/>
        <v>329.56241999999997</v>
      </c>
      <c r="AJ345" s="156">
        <f t="shared" si="407"/>
        <v>659.12483999999995</v>
      </c>
      <c r="AK345" s="156">
        <f t="shared" si="408"/>
        <v>659.12483999999995</v>
      </c>
      <c r="AL345" s="156">
        <f t="shared" si="409"/>
        <v>2306.93694</v>
      </c>
      <c r="AM345" s="157">
        <f t="shared" si="410"/>
        <v>10142.2834755</v>
      </c>
      <c r="AN345" s="158">
        <f t="shared" si="411"/>
        <v>2200</v>
      </c>
      <c r="AO345" s="159">
        <v>0.2</v>
      </c>
      <c r="AP345" s="160">
        <f t="shared" si="412"/>
        <v>269484170.95263708</v>
      </c>
      <c r="AQ345" s="161">
        <f t="shared" si="413"/>
        <v>74856.72014204743</v>
      </c>
      <c r="AR345" s="162">
        <f t="shared" si="414"/>
        <v>14971.344028409487</v>
      </c>
      <c r="AS345" s="163">
        <f t="shared" si="415"/>
        <v>2.1363219218620841</v>
      </c>
      <c r="AT345" s="164">
        <f t="shared" si="416"/>
        <v>2.1363219218620841</v>
      </c>
      <c r="AU345" s="165"/>
      <c r="AV345" s="166"/>
      <c r="AW345" s="167"/>
      <c r="AX345" s="146"/>
      <c r="AY345" s="168"/>
    </row>
    <row r="346" spans="1:51" s="139" customFormat="1" ht="11.25" x14ac:dyDescent="0.25">
      <c r="A346" s="1"/>
      <c r="B346" s="140">
        <v>32</v>
      </c>
      <c r="C346" s="342" t="s">
        <v>376</v>
      </c>
      <c r="D346" s="235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>
        <v>170332</v>
      </c>
      <c r="P346" s="237"/>
      <c r="Q346" s="223">
        <f t="shared" si="417"/>
        <v>170332</v>
      </c>
      <c r="R346" s="147">
        <f>Q346*$R$10</f>
        <v>18736.52</v>
      </c>
      <c r="S346" s="147">
        <f t="shared" si="399"/>
        <v>51.332931506849313</v>
      </c>
      <c r="T346" s="148">
        <f>S346*$T$5*$T$10</f>
        <v>11241.912</v>
      </c>
      <c r="U346" s="199"/>
      <c r="V346" s="150"/>
      <c r="W346" s="151"/>
      <c r="X346" s="151"/>
      <c r="Y346" s="152"/>
      <c r="Z346" s="153"/>
      <c r="AA346" s="153"/>
      <c r="AB346" s="154"/>
      <c r="AC346" s="155">
        <f t="shared" si="400"/>
        <v>6520.3089599999994</v>
      </c>
      <c r="AD346" s="156">
        <f t="shared" si="401"/>
        <v>1461.44856</v>
      </c>
      <c r="AE346" s="156">
        <f t="shared" si="402"/>
        <v>986.47777799999994</v>
      </c>
      <c r="AF346" s="156">
        <f t="shared" si="403"/>
        <v>449.67648000000003</v>
      </c>
      <c r="AG346" s="156">
        <f t="shared" si="404"/>
        <v>224.83824000000001</v>
      </c>
      <c r="AH346" s="156">
        <f t="shared" si="405"/>
        <v>224.83824000000001</v>
      </c>
      <c r="AI346" s="156">
        <f t="shared" si="406"/>
        <v>112.41912000000001</v>
      </c>
      <c r="AJ346" s="156">
        <f t="shared" si="407"/>
        <v>224.83824000000001</v>
      </c>
      <c r="AK346" s="156">
        <f t="shared" si="408"/>
        <v>224.83824000000001</v>
      </c>
      <c r="AL346" s="156">
        <f t="shared" si="409"/>
        <v>786.93384000000015</v>
      </c>
      <c r="AM346" s="157">
        <f t="shared" si="410"/>
        <v>3459.6984180000004</v>
      </c>
      <c r="AN346" s="158">
        <f t="shared" si="411"/>
        <v>2200</v>
      </c>
      <c r="AO346" s="159">
        <v>0.2</v>
      </c>
      <c r="AP346" s="160">
        <f t="shared" si="412"/>
        <v>91925448.758462876</v>
      </c>
      <c r="AQ346" s="161">
        <f t="shared" si="413"/>
        <v>25534.848920138549</v>
      </c>
      <c r="AR346" s="162">
        <f t="shared" si="414"/>
        <v>5106.9697840277104</v>
      </c>
      <c r="AS346" s="163">
        <f t="shared" si="415"/>
        <v>0.72873427283500436</v>
      </c>
      <c r="AT346" s="164">
        <f t="shared" si="416"/>
        <v>0.72873427283500436</v>
      </c>
      <c r="AU346" s="187"/>
      <c r="AV346" s="166"/>
      <c r="AW346" s="167"/>
      <c r="AX346" s="146"/>
      <c r="AY346" s="168"/>
    </row>
    <row r="347" spans="1:51" s="139" customFormat="1" ht="11.25" x14ac:dyDescent="0.25">
      <c r="A347" s="1"/>
      <c r="B347" s="140">
        <v>33</v>
      </c>
      <c r="C347" s="335" t="s">
        <v>377</v>
      </c>
      <c r="D347" s="235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>
        <v>1555984</v>
      </c>
      <c r="P347" s="237"/>
      <c r="Q347" s="223">
        <f t="shared" si="417"/>
        <v>1555984</v>
      </c>
      <c r="R347" s="147">
        <f>Q347*$R$7</f>
        <v>368768.20799999998</v>
      </c>
      <c r="S347" s="147">
        <f t="shared" si="399"/>
        <v>1010.3238575342465</v>
      </c>
      <c r="T347" s="148">
        <f>S347*$T$5*$T$7</f>
        <v>331891.3872</v>
      </c>
      <c r="U347" s="199"/>
      <c r="V347" s="150"/>
      <c r="W347" s="151"/>
      <c r="X347" s="151"/>
      <c r="Y347" s="152"/>
      <c r="Z347" s="153"/>
      <c r="AA347" s="153"/>
      <c r="AB347" s="154"/>
      <c r="AC347" s="155">
        <f t="shared" si="400"/>
        <v>192497.00457599998</v>
      </c>
      <c r="AD347" s="156">
        <f t="shared" si="401"/>
        <v>43145.880336000002</v>
      </c>
      <c r="AE347" s="156">
        <f t="shared" si="402"/>
        <v>29123.469226799996</v>
      </c>
      <c r="AF347" s="156">
        <f t="shared" si="403"/>
        <v>13275.655488</v>
      </c>
      <c r="AG347" s="156">
        <f t="shared" si="404"/>
        <v>6637.8277440000002</v>
      </c>
      <c r="AH347" s="156">
        <f t="shared" si="405"/>
        <v>6637.8277440000002</v>
      </c>
      <c r="AI347" s="156">
        <f t="shared" si="406"/>
        <v>3318.9138720000001</v>
      </c>
      <c r="AJ347" s="156">
        <f t="shared" si="407"/>
        <v>6637.8277440000002</v>
      </c>
      <c r="AK347" s="156">
        <f t="shared" si="408"/>
        <v>6637.8277440000002</v>
      </c>
      <c r="AL347" s="156">
        <f t="shared" si="409"/>
        <v>23232.397104000003</v>
      </c>
      <c r="AM347" s="157">
        <f t="shared" si="410"/>
        <v>102139.57441079999</v>
      </c>
      <c r="AN347" s="158">
        <f t="shared" si="411"/>
        <v>2200</v>
      </c>
      <c r="AO347" s="159">
        <v>0.2</v>
      </c>
      <c r="AP347" s="160">
        <f t="shared" si="412"/>
        <v>2713885743.5842552</v>
      </c>
      <c r="AQ347" s="161">
        <f t="shared" si="413"/>
        <v>753857.21130419848</v>
      </c>
      <c r="AR347" s="162">
        <f t="shared" si="414"/>
        <v>150771.44226083971</v>
      </c>
      <c r="AS347" s="163">
        <f t="shared" si="415"/>
        <v>21.514189820325303</v>
      </c>
      <c r="AT347" s="164">
        <f t="shared" si="416"/>
        <v>21.514189820325303</v>
      </c>
      <c r="AU347" s="165"/>
      <c r="AV347" s="166"/>
      <c r="AW347" s="167"/>
      <c r="AX347" s="146"/>
      <c r="AY347" s="168"/>
    </row>
    <row r="348" spans="1:51" s="139" customFormat="1" ht="11.25" x14ac:dyDescent="0.25">
      <c r="A348" s="1"/>
      <c r="B348" s="140">
        <v>34</v>
      </c>
      <c r="C348" s="345" t="s">
        <v>378</v>
      </c>
      <c r="D348" s="235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>
        <v>281434</v>
      </c>
      <c r="P348" s="237"/>
      <c r="Q348" s="223">
        <f t="shared" si="417"/>
        <v>281434</v>
      </c>
      <c r="R348" s="147">
        <f>Q348*$R$10</f>
        <v>30957.74</v>
      </c>
      <c r="S348" s="147">
        <f t="shared" si="399"/>
        <v>84.815726027397261</v>
      </c>
      <c r="T348" s="148">
        <f>S348*$T$5*$T$10</f>
        <v>18574.644</v>
      </c>
      <c r="U348" s="199"/>
      <c r="V348" s="150"/>
      <c r="W348" s="151"/>
      <c r="X348" s="151"/>
      <c r="Y348" s="152"/>
      <c r="Z348" s="153"/>
      <c r="AA348" s="153"/>
      <c r="AB348" s="154"/>
      <c r="AC348" s="155">
        <f t="shared" si="400"/>
        <v>10773.293519999999</v>
      </c>
      <c r="AD348" s="156">
        <f t="shared" si="401"/>
        <v>2414.70372</v>
      </c>
      <c r="AE348" s="156">
        <f t="shared" si="402"/>
        <v>1629.9250109999998</v>
      </c>
      <c r="AF348" s="156">
        <f t="shared" si="403"/>
        <v>742.98576000000003</v>
      </c>
      <c r="AG348" s="156">
        <f t="shared" si="404"/>
        <v>371.49288000000001</v>
      </c>
      <c r="AH348" s="156">
        <f t="shared" si="405"/>
        <v>371.49288000000001</v>
      </c>
      <c r="AI348" s="156">
        <f t="shared" si="406"/>
        <v>185.74644000000001</v>
      </c>
      <c r="AJ348" s="156">
        <f t="shared" si="407"/>
        <v>371.49288000000001</v>
      </c>
      <c r="AK348" s="156">
        <f t="shared" si="408"/>
        <v>371.49288000000001</v>
      </c>
      <c r="AL348" s="156">
        <f t="shared" si="409"/>
        <v>1300.2250800000002</v>
      </c>
      <c r="AM348" s="157">
        <f t="shared" si="410"/>
        <v>5716.3466909999997</v>
      </c>
      <c r="AN348" s="158">
        <f t="shared" si="411"/>
        <v>2200</v>
      </c>
      <c r="AO348" s="159">
        <v>0.2</v>
      </c>
      <c r="AP348" s="160">
        <f t="shared" si="412"/>
        <v>151885416.39791253</v>
      </c>
      <c r="AQ348" s="161">
        <f t="shared" si="413"/>
        <v>42190.396819096066</v>
      </c>
      <c r="AR348" s="162">
        <f t="shared" si="414"/>
        <v>8438.0793638192135</v>
      </c>
      <c r="AS348" s="163">
        <f t="shared" si="415"/>
        <v>1.2040638361614175</v>
      </c>
      <c r="AT348" s="164">
        <f t="shared" si="416"/>
        <v>1.2040638361614175</v>
      </c>
      <c r="AU348" s="165"/>
      <c r="AV348" s="166"/>
      <c r="AW348" s="167"/>
      <c r="AX348" s="146"/>
      <c r="AY348" s="168"/>
    </row>
    <row r="349" spans="1:51" s="139" customFormat="1" ht="11.25" x14ac:dyDescent="0.25">
      <c r="A349" s="1"/>
      <c r="B349" s="140">
        <v>35</v>
      </c>
      <c r="C349" s="69" t="s">
        <v>379</v>
      </c>
      <c r="D349" s="235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>
        <v>239599</v>
      </c>
      <c r="P349" s="237"/>
      <c r="Q349" s="223">
        <f t="shared" si="417"/>
        <v>239599</v>
      </c>
      <c r="R349" s="147">
        <f>Q349*$R$10</f>
        <v>26355.89</v>
      </c>
      <c r="S349" s="147">
        <f t="shared" si="399"/>
        <v>72.207917808219179</v>
      </c>
      <c r="T349" s="148">
        <f>S349*$T$5*$T$10</f>
        <v>15813.534</v>
      </c>
      <c r="U349" s="199"/>
      <c r="V349" s="150"/>
      <c r="W349" s="151"/>
      <c r="X349" s="151"/>
      <c r="Y349" s="152"/>
      <c r="Z349" s="153"/>
      <c r="AA349" s="153"/>
      <c r="AB349" s="154"/>
      <c r="AC349" s="155">
        <f t="shared" si="400"/>
        <v>9171.8497199999983</v>
      </c>
      <c r="AD349" s="156">
        <f t="shared" si="401"/>
        <v>2055.7594199999999</v>
      </c>
      <c r="AE349" s="156">
        <f t="shared" si="402"/>
        <v>1387.6376084999999</v>
      </c>
      <c r="AF349" s="156">
        <f t="shared" si="403"/>
        <v>632.54136000000005</v>
      </c>
      <c r="AG349" s="156">
        <f t="shared" si="404"/>
        <v>316.27068000000003</v>
      </c>
      <c r="AH349" s="156">
        <f t="shared" si="405"/>
        <v>316.27068000000003</v>
      </c>
      <c r="AI349" s="156">
        <f t="shared" si="406"/>
        <v>158.13534000000001</v>
      </c>
      <c r="AJ349" s="156">
        <f t="shared" si="407"/>
        <v>316.27068000000003</v>
      </c>
      <c r="AK349" s="156">
        <f t="shared" si="408"/>
        <v>316.27068000000003</v>
      </c>
      <c r="AL349" s="156">
        <f t="shared" si="409"/>
        <v>1106.9473800000001</v>
      </c>
      <c r="AM349" s="157">
        <f t="shared" si="410"/>
        <v>4866.6150884999988</v>
      </c>
      <c r="AN349" s="158">
        <f t="shared" si="411"/>
        <v>2200</v>
      </c>
      <c r="AO349" s="159">
        <v>0.2</v>
      </c>
      <c r="AP349" s="160">
        <f t="shared" si="412"/>
        <v>129307737.81250113</v>
      </c>
      <c r="AQ349" s="161">
        <f t="shared" si="413"/>
        <v>35918.818932533373</v>
      </c>
      <c r="AR349" s="162">
        <f t="shared" si="414"/>
        <v>7183.7637865066754</v>
      </c>
      <c r="AS349" s="163">
        <f t="shared" si="415"/>
        <v>1.0250804489878247</v>
      </c>
      <c r="AT349" s="164">
        <f t="shared" si="416"/>
        <v>1.0250804489878247</v>
      </c>
      <c r="AU349" s="165"/>
      <c r="AV349" s="166"/>
      <c r="AW349" s="167"/>
      <c r="AX349" s="167"/>
      <c r="AY349" s="168"/>
    </row>
    <row r="350" spans="1:51" s="190" customFormat="1" ht="16.7" customHeight="1" x14ac:dyDescent="0.25">
      <c r="A350" s="173"/>
      <c r="B350" s="120"/>
      <c r="C350" s="121" t="s">
        <v>380</v>
      </c>
      <c r="D350" s="240">
        <f t="shared" ref="D350:U350" si="418">SUM(D315:D349)</f>
        <v>0</v>
      </c>
      <c r="E350" s="240">
        <f t="shared" si="418"/>
        <v>0</v>
      </c>
      <c r="F350" s="240">
        <f t="shared" si="418"/>
        <v>0</v>
      </c>
      <c r="G350" s="240">
        <f t="shared" si="418"/>
        <v>0</v>
      </c>
      <c r="H350" s="240">
        <f t="shared" si="418"/>
        <v>0</v>
      </c>
      <c r="I350" s="240">
        <f t="shared" si="418"/>
        <v>0</v>
      </c>
      <c r="J350" s="240">
        <f t="shared" si="418"/>
        <v>0</v>
      </c>
      <c r="K350" s="240">
        <f t="shared" si="418"/>
        <v>0</v>
      </c>
      <c r="L350" s="240">
        <f t="shared" si="418"/>
        <v>0</v>
      </c>
      <c r="M350" s="240">
        <f t="shared" si="418"/>
        <v>0</v>
      </c>
      <c r="N350" s="240">
        <f t="shared" si="418"/>
        <v>0</v>
      </c>
      <c r="O350" s="240">
        <f t="shared" si="418"/>
        <v>32382677</v>
      </c>
      <c r="P350" s="240">
        <f t="shared" si="418"/>
        <v>0</v>
      </c>
      <c r="Q350" s="240">
        <f t="shared" si="418"/>
        <v>32382677</v>
      </c>
      <c r="R350" s="240">
        <f t="shared" si="418"/>
        <v>5465067.5629999992</v>
      </c>
      <c r="S350" s="240">
        <f t="shared" si="418"/>
        <v>14972.787843835617</v>
      </c>
      <c r="T350" s="240">
        <f t="shared" si="418"/>
        <v>4295407.7093000002</v>
      </c>
      <c r="U350" s="199">
        <f t="shared" si="418"/>
        <v>0</v>
      </c>
      <c r="V350" s="241"/>
      <c r="W350" s="242">
        <f>SUM(W315:W349)</f>
        <v>0</v>
      </c>
      <c r="X350" s="242">
        <f>SUM(X315:X349)</f>
        <v>0</v>
      </c>
      <c r="Y350" s="242">
        <f>SUM(Y315:Y349)</f>
        <v>0</v>
      </c>
      <c r="Z350" s="199"/>
      <c r="AA350" s="199"/>
      <c r="AB350" s="243"/>
      <c r="AC350" s="240">
        <f t="shared" ref="AC350:AM350" si="419">SUM(AC315:AC349)</f>
        <v>2491336.4713939992</v>
      </c>
      <c r="AD350" s="244">
        <f t="shared" si="419"/>
        <v>558403.00220900017</v>
      </c>
      <c r="AE350" s="244">
        <f t="shared" si="419"/>
        <v>376922.026491075</v>
      </c>
      <c r="AF350" s="244">
        <f t="shared" si="419"/>
        <v>171816.308372</v>
      </c>
      <c r="AG350" s="244">
        <f t="shared" si="419"/>
        <v>85908.154186</v>
      </c>
      <c r="AH350" s="244">
        <f t="shared" si="419"/>
        <v>85908.154186</v>
      </c>
      <c r="AI350" s="244">
        <f t="shared" si="419"/>
        <v>42954.077093</v>
      </c>
      <c r="AJ350" s="244">
        <f t="shared" si="419"/>
        <v>85908.154186</v>
      </c>
      <c r="AK350" s="244">
        <f t="shared" si="419"/>
        <v>85908.154186</v>
      </c>
      <c r="AL350" s="244">
        <f t="shared" si="419"/>
        <v>300678.53965100006</v>
      </c>
      <c r="AM350" s="245">
        <f t="shared" si="419"/>
        <v>1321911.7225370749</v>
      </c>
      <c r="AN350" s="158"/>
      <c r="AO350" s="183"/>
      <c r="AP350" s="184">
        <f>SUM(AP315:AP349)</f>
        <v>35123676584.371368</v>
      </c>
      <c r="AQ350" s="184">
        <f>SUM(AQ315:AQ349)</f>
        <v>9756577.6095181946</v>
      </c>
      <c r="AR350" s="184">
        <f>SUM(AR315:AR349)</f>
        <v>1951315.5219036387</v>
      </c>
      <c r="AS350" s="185">
        <f>SUM(AS315:AS349)</f>
        <v>278.44114182414938</v>
      </c>
      <c r="AT350" s="186">
        <f>SUM(AT315:AT349)</f>
        <v>278.44114182414938</v>
      </c>
      <c r="AU350" s="187"/>
      <c r="AV350" s="246">
        <f>SUM(AV319:AV348)</f>
        <v>0</v>
      </c>
      <c r="AW350" s="246"/>
      <c r="AX350" s="185">
        <f>SUM(AX319:AX348)</f>
        <v>0</v>
      </c>
      <c r="AY350" s="189"/>
    </row>
    <row r="352" spans="1:51" s="139" customFormat="1" ht="15" customHeight="1" x14ac:dyDescent="0.25">
      <c r="A352" s="1"/>
      <c r="B352" s="120"/>
      <c r="C352" s="121" t="s">
        <v>381</v>
      </c>
      <c r="D352" s="122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213"/>
      <c r="Q352" s="76"/>
      <c r="R352" s="108"/>
      <c r="S352" s="108"/>
      <c r="T352" s="94"/>
      <c r="U352" s="199"/>
      <c r="V352" s="179"/>
      <c r="W352" s="180"/>
      <c r="X352" s="180"/>
      <c r="Y352" s="214"/>
      <c r="Z352" s="181"/>
      <c r="AA352" s="181"/>
      <c r="AB352" s="182"/>
      <c r="AC352" s="62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125"/>
      <c r="AN352" s="75"/>
      <c r="AO352" s="216"/>
      <c r="AP352" s="75"/>
      <c r="AQ352" s="51"/>
      <c r="AR352" s="217"/>
      <c r="AS352" s="218"/>
      <c r="AT352" s="219"/>
      <c r="AU352" s="220"/>
      <c r="AV352" s="135"/>
      <c r="AW352" s="136"/>
      <c r="AX352" s="137"/>
      <c r="AY352" s="138"/>
    </row>
    <row r="353" spans="1:51" s="139" customFormat="1" ht="11.25" x14ac:dyDescent="0.25">
      <c r="A353" s="1"/>
      <c r="B353" s="140">
        <v>1</v>
      </c>
      <c r="C353" s="63" t="s">
        <v>382</v>
      </c>
      <c r="D353" s="142"/>
      <c r="E353" s="143"/>
      <c r="F353" s="143"/>
      <c r="G353" s="143"/>
      <c r="H353" s="143"/>
      <c r="I353" s="143"/>
      <c r="J353" s="143"/>
      <c r="K353" s="143"/>
      <c r="L353" s="143"/>
      <c r="M353" s="143"/>
      <c r="N353" s="222">
        <v>388755</v>
      </c>
      <c r="O353" s="222">
        <v>468992</v>
      </c>
      <c r="P353" s="145"/>
      <c r="Q353" s="223">
        <f>MAX(D353:P353)</f>
        <v>468992</v>
      </c>
      <c r="R353" s="147">
        <f>Q353*$R$10</f>
        <v>51589.120000000003</v>
      </c>
      <c r="S353" s="147">
        <f>R353/$S$5</f>
        <v>141.34005479452057</v>
      </c>
      <c r="T353" s="148">
        <f>S353*$T$5*$T$10</f>
        <v>30953.472000000005</v>
      </c>
      <c r="U353" s="199"/>
      <c r="V353" s="150"/>
      <c r="W353" s="151"/>
      <c r="X353" s="151"/>
      <c r="Y353" s="152"/>
      <c r="Z353" s="153"/>
      <c r="AA353" s="153"/>
      <c r="AB353" s="154"/>
      <c r="AC353" s="155">
        <f>T353*$AC$5</f>
        <v>17953.013760000002</v>
      </c>
      <c r="AD353" s="156">
        <f>T353*$AD$5</f>
        <v>4023.9513600000009</v>
      </c>
      <c r="AE353" s="156">
        <f>T353*$AE$5</f>
        <v>2716.1671680000004</v>
      </c>
      <c r="AF353" s="156">
        <f>T353*$AF$5</f>
        <v>1238.1388800000002</v>
      </c>
      <c r="AG353" s="156">
        <f>T353*$AG$5</f>
        <v>619.0694400000001</v>
      </c>
      <c r="AH353" s="156">
        <f>T353*$AH$5</f>
        <v>619.0694400000001</v>
      </c>
      <c r="AI353" s="156">
        <f>T353*$AI$5</f>
        <v>309.53472000000005</v>
      </c>
      <c r="AJ353" s="156">
        <f>T353*$AJ$5</f>
        <v>619.0694400000001</v>
      </c>
      <c r="AK353" s="156">
        <f>T353*$AK$5</f>
        <v>619.0694400000001</v>
      </c>
      <c r="AL353" s="156">
        <f>T353*$AL$5</f>
        <v>2166.7430400000007</v>
      </c>
      <c r="AM353" s="157">
        <f>SUM(AD353:AI353)</f>
        <v>9525.9310079999996</v>
      </c>
      <c r="AN353" s="158">
        <f>$AN$5</f>
        <v>2200</v>
      </c>
      <c r="AO353" s="159">
        <v>0.2</v>
      </c>
      <c r="AP353" s="160">
        <f>(AC353+AM353)*AN353*$AP$5</f>
        <v>253107461.10025728</v>
      </c>
      <c r="AQ353" s="161">
        <f>AP353*$AQ$5</f>
        <v>70307.633708015041</v>
      </c>
      <c r="AR353" s="162">
        <f>AQ353*$AR$5</f>
        <v>14061.526741603009</v>
      </c>
      <c r="AS353" s="163">
        <f>AR353/$AS$5</f>
        <v>2.006496395776685</v>
      </c>
      <c r="AT353" s="164">
        <f>AS353</f>
        <v>2.006496395776685</v>
      </c>
      <c r="AU353" s="165"/>
      <c r="AV353" s="166"/>
      <c r="AW353" s="167"/>
      <c r="AX353" s="146"/>
      <c r="AY353" s="168"/>
    </row>
    <row r="354" spans="1:51" s="139" customFormat="1" ht="11.25" x14ac:dyDescent="0.25">
      <c r="A354" s="1"/>
      <c r="B354" s="140">
        <v>2</v>
      </c>
      <c r="C354" s="258" t="s">
        <v>383</v>
      </c>
      <c r="D354" s="142"/>
      <c r="E354" s="143"/>
      <c r="F354" s="143"/>
      <c r="G354" s="143"/>
      <c r="H354" s="143"/>
      <c r="I354" s="143"/>
      <c r="J354" s="143"/>
      <c r="K354" s="143"/>
      <c r="L354" s="143"/>
      <c r="M354" s="143"/>
      <c r="N354" s="222">
        <v>910572</v>
      </c>
      <c r="O354" s="222">
        <v>1038310</v>
      </c>
      <c r="P354" s="145"/>
      <c r="Q354" s="223">
        <f>MAX(D354:P354)</f>
        <v>1038310</v>
      </c>
      <c r="R354" s="147">
        <f>Q354*$R$8</f>
        <v>170282.84</v>
      </c>
      <c r="S354" s="147">
        <f>R354/$S$5</f>
        <v>466.5283287671233</v>
      </c>
      <c r="T354" s="148">
        <f>S354*$T$5*$T$8</f>
        <v>136226.272</v>
      </c>
      <c r="U354" s="199"/>
      <c r="V354" s="150"/>
      <c r="W354" s="151"/>
      <c r="X354" s="151"/>
      <c r="Y354" s="152"/>
      <c r="Z354" s="153"/>
      <c r="AA354" s="153"/>
      <c r="AB354" s="154"/>
      <c r="AC354" s="155">
        <f>T354*$AC$5</f>
        <v>79011.237759999989</v>
      </c>
      <c r="AD354" s="156">
        <f>T354*$AD$5</f>
        <v>17709.415359999999</v>
      </c>
      <c r="AE354" s="156">
        <f>T354*$AE$5</f>
        <v>11953.855367999999</v>
      </c>
      <c r="AF354" s="156">
        <f>T354*$AF$5</f>
        <v>5449.0508799999998</v>
      </c>
      <c r="AG354" s="156">
        <f>T354*$AG$5</f>
        <v>2724.5254399999999</v>
      </c>
      <c r="AH354" s="156">
        <f>T354*$AH$5</f>
        <v>2724.5254399999999</v>
      </c>
      <c r="AI354" s="156">
        <f>T354*$AI$5</f>
        <v>1362.2627199999999</v>
      </c>
      <c r="AJ354" s="156">
        <f>T354*$AJ$5</f>
        <v>2724.5254399999999</v>
      </c>
      <c r="AK354" s="156">
        <f>T354*$AK$5</f>
        <v>2724.5254399999999</v>
      </c>
      <c r="AL354" s="156">
        <f>T354*$AL$5</f>
        <v>9535.8390400000008</v>
      </c>
      <c r="AM354" s="157">
        <f>SUM(AD354:AI354)</f>
        <v>41923.635207999992</v>
      </c>
      <c r="AN354" s="158">
        <f>$AN$5</f>
        <v>2200</v>
      </c>
      <c r="AO354" s="159">
        <v>0.2</v>
      </c>
      <c r="AP354" s="160">
        <f>(AC354+AM354)*AN354*$AP$5</f>
        <v>1113926277.513329</v>
      </c>
      <c r="AQ354" s="161">
        <f>AP354*$AQ$5</f>
        <v>309423.99072984199</v>
      </c>
      <c r="AR354" s="162">
        <f>AQ354*$AR$5</f>
        <v>61884.798145968402</v>
      </c>
      <c r="AS354" s="163">
        <f>AR354/$AS$5</f>
        <v>8.8305933427466332</v>
      </c>
      <c r="AT354" s="164">
        <f>AS354</f>
        <v>8.8305933427466332</v>
      </c>
      <c r="AU354" s="165"/>
      <c r="AV354" s="166"/>
      <c r="AW354" s="167"/>
      <c r="AX354" s="146"/>
      <c r="AY354" s="168"/>
    </row>
    <row r="355" spans="1:51" s="139" customFormat="1" ht="11.25" x14ac:dyDescent="0.25">
      <c r="A355" s="1"/>
      <c r="B355" s="140">
        <v>3</v>
      </c>
      <c r="C355" s="258" t="s">
        <v>384</v>
      </c>
      <c r="D355" s="142"/>
      <c r="E355" s="143"/>
      <c r="F355" s="143"/>
      <c r="G355" s="143"/>
      <c r="H355" s="143"/>
      <c r="I355" s="143"/>
      <c r="J355" s="143"/>
      <c r="K355" s="143"/>
      <c r="L355" s="143"/>
      <c r="M355" s="143"/>
      <c r="N355" s="222">
        <v>1090567</v>
      </c>
      <c r="O355" s="222">
        <v>1119271</v>
      </c>
      <c r="P355" s="145"/>
      <c r="Q355" s="223">
        <f>MAX(D355:P355)</f>
        <v>1119271</v>
      </c>
      <c r="R355" s="147">
        <f>Q355*$R$8</f>
        <v>183560.44400000002</v>
      </c>
      <c r="S355" s="147">
        <f>R355/$S$5</f>
        <v>502.90532602739734</v>
      </c>
      <c r="T355" s="148">
        <f>S355*$T$5*$T$8</f>
        <v>146848.35520000002</v>
      </c>
      <c r="U355" s="199"/>
      <c r="V355" s="150"/>
      <c r="W355" s="151"/>
      <c r="X355" s="151"/>
      <c r="Y355" s="152"/>
      <c r="Z355" s="153"/>
      <c r="AA355" s="153"/>
      <c r="AB355" s="154"/>
      <c r="AC355" s="155">
        <f>T355*$AC$5</f>
        <v>85172.046016000008</v>
      </c>
      <c r="AD355" s="156">
        <f>T355*$AD$5</f>
        <v>19090.286176000001</v>
      </c>
      <c r="AE355" s="156">
        <f>T355*$AE$5</f>
        <v>12885.9431688</v>
      </c>
      <c r="AF355" s="156">
        <f>T355*$AF$5</f>
        <v>5873.9342080000006</v>
      </c>
      <c r="AG355" s="156">
        <f>T355*$AG$5</f>
        <v>2936.9671040000003</v>
      </c>
      <c r="AH355" s="156">
        <f>T355*$AH$5</f>
        <v>2936.9671040000003</v>
      </c>
      <c r="AI355" s="156">
        <f>T355*$AI$5</f>
        <v>1468.4835520000001</v>
      </c>
      <c r="AJ355" s="156">
        <f>T355*$AJ$5</f>
        <v>2936.9671040000003</v>
      </c>
      <c r="AK355" s="156">
        <f>T355*$AK$5</f>
        <v>2936.9671040000003</v>
      </c>
      <c r="AL355" s="156">
        <f>T355*$AL$5</f>
        <v>10279.384864000001</v>
      </c>
      <c r="AM355" s="157">
        <f>SUM(AD355:AI355)</f>
        <v>45192.581312800008</v>
      </c>
      <c r="AN355" s="158">
        <f>$AN$5</f>
        <v>2200</v>
      </c>
      <c r="AO355" s="159">
        <v>0.2</v>
      </c>
      <c r="AP355" s="160">
        <f>(AC355+AM355)*AN355*$AP$5</f>
        <v>1200783367.7404838</v>
      </c>
      <c r="AQ355" s="161">
        <f>AP355*$AQ$5</f>
        <v>333550.96216754254</v>
      </c>
      <c r="AR355" s="162">
        <f>AQ355*$AR$5</f>
        <v>66710.192433508506</v>
      </c>
      <c r="AS355" s="163">
        <f>AR355/$AS$5</f>
        <v>9.5191484636855748</v>
      </c>
      <c r="AT355" s="164">
        <f>AS355</f>
        <v>9.5191484636855748</v>
      </c>
      <c r="AU355" s="165"/>
      <c r="AV355" s="166"/>
      <c r="AW355" s="167"/>
      <c r="AX355" s="146"/>
      <c r="AY355" s="168"/>
    </row>
    <row r="356" spans="1:51" s="139" customFormat="1" ht="11.25" x14ac:dyDescent="0.25">
      <c r="A356" s="1"/>
      <c r="B356" s="140">
        <v>4</v>
      </c>
      <c r="C356" s="63" t="s">
        <v>385</v>
      </c>
      <c r="D356" s="142"/>
      <c r="E356" s="143"/>
      <c r="F356" s="143"/>
      <c r="G356" s="143"/>
      <c r="H356" s="143"/>
      <c r="I356" s="143"/>
      <c r="J356" s="143"/>
      <c r="K356" s="143"/>
      <c r="L356" s="143"/>
      <c r="M356" s="143"/>
      <c r="N356" s="222">
        <v>674408</v>
      </c>
      <c r="O356" s="222">
        <v>735020</v>
      </c>
      <c r="P356" s="145"/>
      <c r="Q356" s="223">
        <f>MAX(D356:P356)</f>
        <v>735020</v>
      </c>
      <c r="R356" s="147">
        <f>Q356*$R$9</f>
        <v>107312.92</v>
      </c>
      <c r="S356" s="147">
        <f>R356/$S$5</f>
        <v>294.00799999999998</v>
      </c>
      <c r="T356" s="148">
        <f>S356*$T$5*$T$9</f>
        <v>75119.043999999994</v>
      </c>
      <c r="U356" s="199"/>
      <c r="V356" s="150"/>
      <c r="W356" s="151"/>
      <c r="X356" s="151"/>
      <c r="Y356" s="152"/>
      <c r="Z356" s="153"/>
      <c r="AA356" s="153"/>
      <c r="AB356" s="154"/>
      <c r="AC356" s="155">
        <f>T356*$AC$5</f>
        <v>43569.045519999992</v>
      </c>
      <c r="AD356" s="156">
        <f>T356*$AD$5</f>
        <v>9765.4757200000004</v>
      </c>
      <c r="AE356" s="156">
        <f>T356*$AE$5</f>
        <v>6591.6961109999993</v>
      </c>
      <c r="AF356" s="156">
        <f>T356*$AF$5</f>
        <v>3004.7617599999999</v>
      </c>
      <c r="AG356" s="156">
        <f>T356*$AG$5</f>
        <v>1502.3808799999999</v>
      </c>
      <c r="AH356" s="156">
        <f>T356*$AH$5</f>
        <v>1502.3808799999999</v>
      </c>
      <c r="AI356" s="156">
        <f>T356*$AI$5</f>
        <v>751.19043999999997</v>
      </c>
      <c r="AJ356" s="156">
        <f>T356*$AJ$5</f>
        <v>1502.3808799999999</v>
      </c>
      <c r="AK356" s="156">
        <f>T356*$AK$5</f>
        <v>1502.3808799999999</v>
      </c>
      <c r="AL356" s="156">
        <f>T356*$AL$5</f>
        <v>5258.3330800000003</v>
      </c>
      <c r="AM356" s="157">
        <f>SUM(AD356:AI356)</f>
        <v>23117.885791000001</v>
      </c>
      <c r="AN356" s="158">
        <f>$AN$5</f>
        <v>2200</v>
      </c>
      <c r="AO356" s="159">
        <v>0.2</v>
      </c>
      <c r="AP356" s="160">
        <f>(AC356+AM356)*AN356*$AP$5</f>
        <v>614250656.82836843</v>
      </c>
      <c r="AQ356" s="161">
        <f>AP356*$AQ$5</f>
        <v>170625.19610233916</v>
      </c>
      <c r="AR356" s="162">
        <f>AQ356*$AR$5</f>
        <v>34125.039220467836</v>
      </c>
      <c r="AS356" s="163">
        <f>AR356/$AS$5</f>
        <v>4.8694405280347937</v>
      </c>
      <c r="AT356" s="164">
        <f>AS356</f>
        <v>4.8694405280347937</v>
      </c>
      <c r="AU356" s="165"/>
      <c r="AV356" s="166"/>
      <c r="AW356" s="167"/>
      <c r="AX356" s="146"/>
      <c r="AY356" s="168"/>
    </row>
    <row r="357" spans="1:51" s="139" customFormat="1" ht="11.25" x14ac:dyDescent="0.25">
      <c r="A357" s="1"/>
      <c r="B357" s="140">
        <v>5</v>
      </c>
      <c r="C357" s="63" t="s">
        <v>386</v>
      </c>
      <c r="D357" s="142"/>
      <c r="E357" s="143"/>
      <c r="F357" s="143"/>
      <c r="G357" s="143"/>
      <c r="H357" s="143"/>
      <c r="I357" s="143"/>
      <c r="J357" s="143"/>
      <c r="K357" s="143"/>
      <c r="L357" s="143"/>
      <c r="M357" s="143"/>
      <c r="N357" s="222">
        <v>388088</v>
      </c>
      <c r="O357" s="222">
        <v>436625</v>
      </c>
      <c r="P357" s="145"/>
      <c r="Q357" s="223">
        <f>MAX(D357:P357)</f>
        <v>436625</v>
      </c>
      <c r="R357" s="147">
        <f>Q357*$R$10</f>
        <v>48028.75</v>
      </c>
      <c r="S357" s="147">
        <f>R357/$S$5</f>
        <v>131.58561643835617</v>
      </c>
      <c r="T357" s="148">
        <f>S357*$T$5*$T$10</f>
        <v>28817.25</v>
      </c>
      <c r="U357" s="199"/>
      <c r="V357" s="150"/>
      <c r="W357" s="151"/>
      <c r="X357" s="151"/>
      <c r="Y357" s="152"/>
      <c r="Z357" s="153"/>
      <c r="AA357" s="153"/>
      <c r="AB357" s="154"/>
      <c r="AC357" s="155">
        <f>T357*$AC$5</f>
        <v>16714.004999999997</v>
      </c>
      <c r="AD357" s="156">
        <f>T357*$AD$5</f>
        <v>3746.2425000000003</v>
      </c>
      <c r="AE357" s="156">
        <f>T357*$AE$5</f>
        <v>2528.7136874999997</v>
      </c>
      <c r="AF357" s="156">
        <f>T357*$AF$5</f>
        <v>1152.69</v>
      </c>
      <c r="AG357" s="156">
        <f>T357*$AG$5</f>
        <v>576.34500000000003</v>
      </c>
      <c r="AH357" s="156">
        <f>T357*$AH$5</f>
        <v>576.34500000000003</v>
      </c>
      <c r="AI357" s="156">
        <f>T357*$AI$5</f>
        <v>288.17250000000001</v>
      </c>
      <c r="AJ357" s="156">
        <f>T357*$AJ$5</f>
        <v>576.34500000000003</v>
      </c>
      <c r="AK357" s="156">
        <f>T357*$AK$5</f>
        <v>576.34500000000003</v>
      </c>
      <c r="AL357" s="156">
        <f>T357*$AL$5</f>
        <v>2017.2075000000002</v>
      </c>
      <c r="AM357" s="157">
        <f>SUM(AD357:AI357)</f>
        <v>8868.5086875000015</v>
      </c>
      <c r="AN357" s="158">
        <f>$AN$5</f>
        <v>2200</v>
      </c>
      <c r="AO357" s="159">
        <v>0.2</v>
      </c>
      <c r="AP357" s="160">
        <f>(AC357+AM357)*AN357*$AP$5</f>
        <v>235639510.27501497</v>
      </c>
      <c r="AQ357" s="161">
        <f>AP357*$AQ$5</f>
        <v>65455.424757271052</v>
      </c>
      <c r="AR357" s="162">
        <f>AQ357*$AR$5</f>
        <v>13091.084951454211</v>
      </c>
      <c r="AS357" s="163">
        <f>AR357/$AS$5</f>
        <v>1.8680201129358178</v>
      </c>
      <c r="AT357" s="164">
        <f>AS357</f>
        <v>1.8680201129358178</v>
      </c>
      <c r="AU357" s="165"/>
      <c r="AV357" s="166"/>
      <c r="AW357" s="167"/>
      <c r="AX357" s="146"/>
      <c r="AY357" s="168"/>
    </row>
    <row r="358" spans="1:51" s="190" customFormat="1" ht="16.7" customHeight="1" x14ac:dyDescent="0.25">
      <c r="A358" s="173"/>
      <c r="B358" s="120"/>
      <c r="C358" s="121" t="s">
        <v>387</v>
      </c>
      <c r="D358" s="240">
        <f t="shared" ref="D358:U358" si="420">SUM(D353:D357)</f>
        <v>0</v>
      </c>
      <c r="E358" s="240">
        <f t="shared" si="420"/>
        <v>0</v>
      </c>
      <c r="F358" s="240">
        <f t="shared" si="420"/>
        <v>0</v>
      </c>
      <c r="G358" s="240">
        <f t="shared" si="420"/>
        <v>0</v>
      </c>
      <c r="H358" s="240">
        <f t="shared" si="420"/>
        <v>0</v>
      </c>
      <c r="I358" s="240">
        <f t="shared" si="420"/>
        <v>0</v>
      </c>
      <c r="J358" s="240">
        <f t="shared" si="420"/>
        <v>0</v>
      </c>
      <c r="K358" s="240">
        <f t="shared" si="420"/>
        <v>0</v>
      </c>
      <c r="L358" s="240">
        <f t="shared" si="420"/>
        <v>0</v>
      </c>
      <c r="M358" s="240">
        <f t="shared" si="420"/>
        <v>0</v>
      </c>
      <c r="N358" s="240">
        <f t="shared" si="420"/>
        <v>3452390</v>
      </c>
      <c r="O358" s="240">
        <f t="shared" si="420"/>
        <v>3798218</v>
      </c>
      <c r="P358" s="240">
        <f t="shared" si="420"/>
        <v>0</v>
      </c>
      <c r="Q358" s="240">
        <f t="shared" si="420"/>
        <v>3798218</v>
      </c>
      <c r="R358" s="240">
        <f t="shared" si="420"/>
        <v>560774.07400000002</v>
      </c>
      <c r="S358" s="240">
        <f t="shared" si="420"/>
        <v>1536.3673260273972</v>
      </c>
      <c r="T358" s="240">
        <f t="shared" si="420"/>
        <v>417964.39320000005</v>
      </c>
      <c r="U358" s="199">
        <f t="shared" si="420"/>
        <v>0</v>
      </c>
      <c r="V358" s="241"/>
      <c r="W358" s="242">
        <f>SUM(W353:W357)</f>
        <v>0</v>
      </c>
      <c r="X358" s="242">
        <f>SUM(X353:X357)</f>
        <v>0</v>
      </c>
      <c r="Y358" s="242">
        <f>SUM(Y353:Y357)</f>
        <v>0</v>
      </c>
      <c r="Z358" s="199"/>
      <c r="AA358" s="199"/>
      <c r="AB358" s="243"/>
      <c r="AC358" s="240">
        <f t="shared" ref="AC358:AM358" si="421">SUM(AC353:AC357)</f>
        <v>242419.34805599999</v>
      </c>
      <c r="AD358" s="244">
        <f t="shared" si="421"/>
        <v>54335.371116000002</v>
      </c>
      <c r="AE358" s="244">
        <f t="shared" si="421"/>
        <v>36676.375503299998</v>
      </c>
      <c r="AF358" s="244">
        <f t="shared" si="421"/>
        <v>16718.575728</v>
      </c>
      <c r="AG358" s="244">
        <f t="shared" si="421"/>
        <v>8359.2878639999999</v>
      </c>
      <c r="AH358" s="244">
        <f t="shared" si="421"/>
        <v>8359.2878639999999</v>
      </c>
      <c r="AI358" s="244">
        <f t="shared" si="421"/>
        <v>4179.6439319999999</v>
      </c>
      <c r="AJ358" s="244">
        <f t="shared" si="421"/>
        <v>8359.2878639999999</v>
      </c>
      <c r="AK358" s="244">
        <f t="shared" si="421"/>
        <v>8359.2878639999999</v>
      </c>
      <c r="AL358" s="244">
        <f t="shared" si="421"/>
        <v>29257.507524000004</v>
      </c>
      <c r="AM358" s="245">
        <f t="shared" si="421"/>
        <v>128628.54200730001</v>
      </c>
      <c r="AN358" s="158"/>
      <c r="AO358" s="183"/>
      <c r="AP358" s="184">
        <f>SUM(AP353:AP357)</f>
        <v>3417707273.4574537</v>
      </c>
      <c r="AQ358" s="184">
        <f>SUM(AQ353:AQ357)</f>
        <v>949363.20746500988</v>
      </c>
      <c r="AR358" s="184">
        <f>SUM(AR353:AR357)</f>
        <v>189872.64149300198</v>
      </c>
      <c r="AS358" s="185">
        <f>SUM(AS353:AS357)</f>
        <v>27.093698843179503</v>
      </c>
      <c r="AT358" s="186">
        <f>SUM(AT353:AT357)</f>
        <v>27.093698843179503</v>
      </c>
      <c r="AU358" s="187"/>
      <c r="AV358" s="246">
        <f>SUM(AV357:AV357)</f>
        <v>0</v>
      </c>
      <c r="AW358" s="246"/>
      <c r="AX358" s="185">
        <f>SUM(AX357:AX357)</f>
        <v>0</v>
      </c>
      <c r="AY358" s="189"/>
    </row>
    <row r="360" spans="1:51" s="139" customFormat="1" ht="15" customHeight="1" x14ac:dyDescent="0.25">
      <c r="A360" s="1"/>
      <c r="B360" s="120"/>
      <c r="C360" s="121" t="s">
        <v>388</v>
      </c>
      <c r="D360" s="122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213"/>
      <c r="Q360" s="76"/>
      <c r="R360" s="108"/>
      <c r="S360" s="108"/>
      <c r="T360" s="94"/>
      <c r="U360" s="199"/>
      <c r="V360" s="179"/>
      <c r="W360" s="180"/>
      <c r="X360" s="180"/>
      <c r="Y360" s="214"/>
      <c r="Z360" s="181"/>
      <c r="AA360" s="181"/>
      <c r="AB360" s="182"/>
      <c r="AC360" s="62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125"/>
      <c r="AN360" s="75"/>
      <c r="AO360" s="216"/>
      <c r="AP360" s="75"/>
      <c r="AQ360" s="51"/>
      <c r="AR360" s="217"/>
      <c r="AS360" s="218"/>
      <c r="AT360" s="219"/>
      <c r="AU360" s="220"/>
      <c r="AV360" s="135"/>
      <c r="AW360" s="136"/>
      <c r="AX360" s="137"/>
      <c r="AY360" s="138"/>
    </row>
    <row r="361" spans="1:51" s="139" customFormat="1" ht="11.25" x14ac:dyDescent="0.25">
      <c r="A361" s="1"/>
      <c r="B361" s="140">
        <v>1</v>
      </c>
      <c r="C361" s="345" t="s">
        <v>389</v>
      </c>
      <c r="D361" s="142"/>
      <c r="E361" s="143"/>
      <c r="F361" s="143"/>
      <c r="G361" s="143"/>
      <c r="H361" s="143"/>
      <c r="I361" s="222"/>
      <c r="J361" s="222"/>
      <c r="K361" s="222"/>
      <c r="L361" s="222"/>
      <c r="M361" s="222"/>
      <c r="N361" s="222"/>
      <c r="O361" s="222">
        <v>584483</v>
      </c>
      <c r="P361" s="145"/>
      <c r="Q361" s="223">
        <f>O361</f>
        <v>584483</v>
      </c>
      <c r="R361" s="147">
        <f>Q361*$R$9</f>
        <v>85334.517999999996</v>
      </c>
      <c r="S361" s="147">
        <f t="shared" ref="S361:S394" si="422">R361/$S$5</f>
        <v>233.79319999999998</v>
      </c>
      <c r="T361" s="148">
        <f>S361*$T$5*$T$9</f>
        <v>59734.162599999996</v>
      </c>
      <c r="U361" s="199"/>
      <c r="V361" s="150"/>
      <c r="W361" s="151"/>
      <c r="X361" s="151"/>
      <c r="Y361" s="152"/>
      <c r="Z361" s="153"/>
      <c r="AA361" s="153"/>
      <c r="AB361" s="154"/>
      <c r="AC361" s="155">
        <f t="shared" ref="AC361:AC394" si="423">T361*$AC$5</f>
        <v>34645.814307999994</v>
      </c>
      <c r="AD361" s="156">
        <f t="shared" ref="AD361:AD394" si="424">T361*$AD$5</f>
        <v>7765.4411380000001</v>
      </c>
      <c r="AE361" s="156">
        <f t="shared" ref="AE361:AE394" si="425">T361*$AE$5</f>
        <v>5241.6727681499997</v>
      </c>
      <c r="AF361" s="156">
        <f t="shared" ref="AF361:AF394" si="426">T361*$AF$5</f>
        <v>2389.3665040000001</v>
      </c>
      <c r="AG361" s="156">
        <f t="shared" ref="AG361:AG394" si="427">T361*$AG$5</f>
        <v>1194.683252</v>
      </c>
      <c r="AH361" s="156">
        <f t="shared" ref="AH361:AH394" si="428">T361*$AH$5</f>
        <v>1194.683252</v>
      </c>
      <c r="AI361" s="156">
        <f t="shared" ref="AI361:AI394" si="429">T361*$AI$5</f>
        <v>597.34162600000002</v>
      </c>
      <c r="AJ361" s="156">
        <f t="shared" ref="AJ361:AJ394" si="430">T361*$AJ$5</f>
        <v>1194.683252</v>
      </c>
      <c r="AK361" s="156">
        <f t="shared" ref="AK361:AK394" si="431">T361*$AK$5</f>
        <v>1194.683252</v>
      </c>
      <c r="AL361" s="156">
        <f t="shared" ref="AL361:AL394" si="432">T361*$AL$5</f>
        <v>4181.3913819999998</v>
      </c>
      <c r="AM361" s="157">
        <f t="shared" ref="AM361:AM394" si="433">SUM(AD361:AI361)</f>
        <v>18383.18854015</v>
      </c>
      <c r="AN361" s="158">
        <f t="shared" ref="AN361:AN394" si="434">$AN$5</f>
        <v>2200</v>
      </c>
      <c r="AO361" s="159">
        <v>0.2</v>
      </c>
      <c r="AP361" s="160">
        <f t="shared" ref="AP361:AP394" si="435">(AC361+AM361)*AN361*$AP$5</f>
        <v>488448024.07419562</v>
      </c>
      <c r="AQ361" s="161">
        <f t="shared" ref="AQ361:AQ394" si="436">AP361*$AQ$5</f>
        <v>135680.01754167711</v>
      </c>
      <c r="AR361" s="162">
        <f t="shared" ref="AR361:AR394" si="437">AQ361*$AR$5</f>
        <v>27136.003508335423</v>
      </c>
      <c r="AS361" s="163">
        <f t="shared" ref="AS361:AS394" si="438">AR361/$AS$5</f>
        <v>3.8721466193401004</v>
      </c>
      <c r="AT361" s="164">
        <f t="shared" ref="AT361:AT394" si="439">AS361</f>
        <v>3.8721466193401004</v>
      </c>
      <c r="AU361" s="165"/>
      <c r="AV361" s="166"/>
      <c r="AW361" s="167"/>
      <c r="AX361" s="146"/>
      <c r="AY361" s="168"/>
    </row>
    <row r="362" spans="1:51" s="139" customFormat="1" ht="11.25" x14ac:dyDescent="0.25">
      <c r="A362" s="1"/>
      <c r="B362" s="140">
        <v>2</v>
      </c>
      <c r="C362" s="335" t="s">
        <v>390</v>
      </c>
      <c r="D362" s="142"/>
      <c r="E362" s="143"/>
      <c r="F362" s="143"/>
      <c r="G362" s="143"/>
      <c r="H362" s="143"/>
      <c r="I362" s="222"/>
      <c r="J362" s="222"/>
      <c r="K362" s="222"/>
      <c r="L362" s="222"/>
      <c r="M362" s="222"/>
      <c r="N362" s="222"/>
      <c r="O362" s="222">
        <v>1009091</v>
      </c>
      <c r="P362" s="145"/>
      <c r="Q362" s="223">
        <f t="shared" ref="Q362:Q394" si="440">O362</f>
        <v>1009091</v>
      </c>
      <c r="R362" s="147">
        <f>Q362*$R$8</f>
        <v>165490.924</v>
      </c>
      <c r="S362" s="147">
        <f t="shared" si="422"/>
        <v>453.39979178082194</v>
      </c>
      <c r="T362" s="148">
        <f>S362*$T$5*$T$8</f>
        <v>132392.73920000001</v>
      </c>
      <c r="U362" s="199"/>
      <c r="V362" s="150"/>
      <c r="W362" s="151"/>
      <c r="X362" s="151"/>
      <c r="Y362" s="152"/>
      <c r="Z362" s="153"/>
      <c r="AA362" s="153"/>
      <c r="AB362" s="154"/>
      <c r="AC362" s="155">
        <f t="shared" si="423"/>
        <v>76787.788736000002</v>
      </c>
      <c r="AD362" s="156">
        <f t="shared" si="424"/>
        <v>17211.056096</v>
      </c>
      <c r="AE362" s="156">
        <f t="shared" si="425"/>
        <v>11617.4628648</v>
      </c>
      <c r="AF362" s="156">
        <f t="shared" si="426"/>
        <v>5295.7095680000002</v>
      </c>
      <c r="AG362" s="156">
        <f t="shared" si="427"/>
        <v>2647.8547840000001</v>
      </c>
      <c r="AH362" s="156">
        <f t="shared" si="428"/>
        <v>2647.8547840000001</v>
      </c>
      <c r="AI362" s="156">
        <f t="shared" si="429"/>
        <v>1323.9273920000001</v>
      </c>
      <c r="AJ362" s="156">
        <f t="shared" si="430"/>
        <v>2647.8547840000001</v>
      </c>
      <c r="AK362" s="156">
        <f t="shared" si="431"/>
        <v>2647.8547840000001</v>
      </c>
      <c r="AL362" s="156">
        <f t="shared" si="432"/>
        <v>9267.4917440000008</v>
      </c>
      <c r="AM362" s="157">
        <f t="shared" si="433"/>
        <v>40743.865488800002</v>
      </c>
      <c r="AN362" s="158">
        <f t="shared" si="434"/>
        <v>2200</v>
      </c>
      <c r="AO362" s="159">
        <v>0.2</v>
      </c>
      <c r="AP362" s="160">
        <f t="shared" si="435"/>
        <v>1082579365.7984638</v>
      </c>
      <c r="AQ362" s="161">
        <f t="shared" si="436"/>
        <v>300716.51455689251</v>
      </c>
      <c r="AR362" s="162">
        <f t="shared" si="437"/>
        <v>60143.302911378501</v>
      </c>
      <c r="AS362" s="163">
        <f t="shared" si="438"/>
        <v>8.5820923104135982</v>
      </c>
      <c r="AT362" s="164">
        <f t="shared" si="439"/>
        <v>8.5820923104135982</v>
      </c>
      <c r="AU362" s="165"/>
      <c r="AV362" s="166"/>
      <c r="AW362" s="167"/>
      <c r="AX362" s="146"/>
      <c r="AY362" s="168"/>
    </row>
    <row r="363" spans="1:51" s="139" customFormat="1" ht="11.25" x14ac:dyDescent="0.25">
      <c r="A363" s="1"/>
      <c r="B363" s="140">
        <v>3</v>
      </c>
      <c r="C363" s="335" t="s">
        <v>391</v>
      </c>
      <c r="D363" s="142"/>
      <c r="E363" s="143"/>
      <c r="F363" s="143"/>
      <c r="G363" s="143"/>
      <c r="H363" s="143"/>
      <c r="I363" s="222"/>
      <c r="J363" s="222"/>
      <c r="K363" s="222"/>
      <c r="L363" s="222"/>
      <c r="M363" s="222"/>
      <c r="N363" s="222"/>
      <c r="O363" s="222">
        <v>811692</v>
      </c>
      <c r="P363" s="145"/>
      <c r="Q363" s="223">
        <f t="shared" si="440"/>
        <v>811692</v>
      </c>
      <c r="R363" s="147">
        <f>Q363*$R$9</f>
        <v>118507.03199999999</v>
      </c>
      <c r="S363" s="147">
        <f t="shared" si="422"/>
        <v>324.67679999999996</v>
      </c>
      <c r="T363" s="148">
        <f>S363*$T$5*$T$9</f>
        <v>82954.922399999981</v>
      </c>
      <c r="U363" s="199"/>
      <c r="V363" s="150"/>
      <c r="W363" s="151"/>
      <c r="X363" s="151"/>
      <c r="Y363" s="152"/>
      <c r="Z363" s="153"/>
      <c r="AA363" s="153"/>
      <c r="AB363" s="154"/>
      <c r="AC363" s="155">
        <f t="shared" si="423"/>
        <v>48113.854991999986</v>
      </c>
      <c r="AD363" s="156">
        <f t="shared" si="424"/>
        <v>10784.139911999999</v>
      </c>
      <c r="AE363" s="156">
        <f t="shared" si="425"/>
        <v>7279.2944405999979</v>
      </c>
      <c r="AF363" s="156">
        <f t="shared" si="426"/>
        <v>3318.1968959999995</v>
      </c>
      <c r="AG363" s="156">
        <f t="shared" si="427"/>
        <v>1659.0984479999997</v>
      </c>
      <c r="AH363" s="156">
        <f t="shared" si="428"/>
        <v>1659.0984479999997</v>
      </c>
      <c r="AI363" s="156">
        <f t="shared" si="429"/>
        <v>829.54922399999987</v>
      </c>
      <c r="AJ363" s="156">
        <f t="shared" si="430"/>
        <v>1659.0984479999997</v>
      </c>
      <c r="AK363" s="156">
        <f t="shared" si="431"/>
        <v>1659.0984479999997</v>
      </c>
      <c r="AL363" s="156">
        <f t="shared" si="432"/>
        <v>5806.8445679999995</v>
      </c>
      <c r="AM363" s="157">
        <f t="shared" si="433"/>
        <v>25529.377368599995</v>
      </c>
      <c r="AN363" s="158">
        <f t="shared" si="434"/>
        <v>2200</v>
      </c>
      <c r="AO363" s="159">
        <v>0.2</v>
      </c>
      <c r="AP363" s="160">
        <f t="shared" si="435"/>
        <v>678324867.54419208</v>
      </c>
      <c r="AQ363" s="161">
        <f t="shared" si="436"/>
        <v>188423.58939171708</v>
      </c>
      <c r="AR363" s="162">
        <f t="shared" si="437"/>
        <v>37684.717878343414</v>
      </c>
      <c r="AS363" s="163">
        <f t="shared" si="438"/>
        <v>5.3773855420010577</v>
      </c>
      <c r="AT363" s="164">
        <f t="shared" si="439"/>
        <v>5.3773855420010577</v>
      </c>
      <c r="AU363" s="165"/>
      <c r="AV363" s="166"/>
      <c r="AW363" s="167"/>
      <c r="AX363" s="146"/>
      <c r="AY363" s="168"/>
    </row>
    <row r="364" spans="1:51" s="139" customFormat="1" ht="11.25" x14ac:dyDescent="0.25">
      <c r="A364" s="1"/>
      <c r="B364" s="140">
        <v>4</v>
      </c>
      <c r="C364" s="335" t="s">
        <v>392</v>
      </c>
      <c r="D364" s="142"/>
      <c r="E364" s="143"/>
      <c r="F364" s="143"/>
      <c r="G364" s="143"/>
      <c r="H364" s="143"/>
      <c r="I364" s="222"/>
      <c r="J364" s="222"/>
      <c r="K364" s="222"/>
      <c r="L364" s="222"/>
      <c r="M364" s="222"/>
      <c r="N364" s="222"/>
      <c r="O364" s="222">
        <v>1143646</v>
      </c>
      <c r="P364" s="145"/>
      <c r="Q364" s="223">
        <f t="shared" si="440"/>
        <v>1143646</v>
      </c>
      <c r="R364" s="147">
        <f>Q364*$R$8</f>
        <v>187557.94400000002</v>
      </c>
      <c r="S364" s="147">
        <f t="shared" si="422"/>
        <v>513.8573808219179</v>
      </c>
      <c r="T364" s="148">
        <f>S364*$T$5*$T$8</f>
        <v>150046.35520000005</v>
      </c>
      <c r="U364" s="199"/>
      <c r="V364" s="150"/>
      <c r="W364" s="151"/>
      <c r="X364" s="151"/>
      <c r="Y364" s="152"/>
      <c r="Z364" s="153"/>
      <c r="AA364" s="153"/>
      <c r="AB364" s="154"/>
      <c r="AC364" s="155">
        <f t="shared" si="423"/>
        <v>87026.886016000019</v>
      </c>
      <c r="AD364" s="156">
        <f t="shared" si="424"/>
        <v>19506.026176000007</v>
      </c>
      <c r="AE364" s="156">
        <f t="shared" si="425"/>
        <v>13166.567668800004</v>
      </c>
      <c r="AF364" s="156">
        <f t="shared" si="426"/>
        <v>6001.8542080000025</v>
      </c>
      <c r="AG364" s="156">
        <f t="shared" si="427"/>
        <v>3000.9271040000012</v>
      </c>
      <c r="AH364" s="156">
        <f t="shared" si="428"/>
        <v>3000.9271040000012</v>
      </c>
      <c r="AI364" s="156">
        <f t="shared" si="429"/>
        <v>1500.4635520000006</v>
      </c>
      <c r="AJ364" s="156">
        <f t="shared" si="430"/>
        <v>3000.9271040000012</v>
      </c>
      <c r="AK364" s="156">
        <f t="shared" si="431"/>
        <v>3000.9271040000012</v>
      </c>
      <c r="AL364" s="156">
        <f t="shared" si="432"/>
        <v>10503.244864000004</v>
      </c>
      <c r="AM364" s="157">
        <f t="shared" si="433"/>
        <v>46176.765812800018</v>
      </c>
      <c r="AN364" s="158">
        <f t="shared" si="434"/>
        <v>2200</v>
      </c>
      <c r="AO364" s="159">
        <v>0.2</v>
      </c>
      <c r="AP364" s="160">
        <f t="shared" si="435"/>
        <v>1226933508.849004</v>
      </c>
      <c r="AQ364" s="161">
        <f t="shared" si="436"/>
        <v>340814.89083435689</v>
      </c>
      <c r="AR364" s="162">
        <f t="shared" si="437"/>
        <v>68162.978166871384</v>
      </c>
      <c r="AS364" s="163">
        <f t="shared" si="438"/>
        <v>9.7264523639942038</v>
      </c>
      <c r="AT364" s="164">
        <f t="shared" si="439"/>
        <v>9.7264523639942038</v>
      </c>
      <c r="AU364" s="165"/>
      <c r="AV364" s="166"/>
      <c r="AW364" s="167"/>
      <c r="AX364" s="146"/>
      <c r="AY364" s="168"/>
    </row>
    <row r="365" spans="1:51" s="139" customFormat="1" ht="11.25" x14ac:dyDescent="0.25">
      <c r="A365" s="1"/>
      <c r="B365" s="140">
        <v>5</v>
      </c>
      <c r="C365" s="343" t="s">
        <v>393</v>
      </c>
      <c r="D365" s="142"/>
      <c r="E365" s="143"/>
      <c r="F365" s="143"/>
      <c r="G365" s="143"/>
      <c r="H365" s="143"/>
      <c r="I365" s="222"/>
      <c r="J365" s="222"/>
      <c r="K365" s="222"/>
      <c r="L365" s="222"/>
      <c r="M365" s="222"/>
      <c r="N365" s="222"/>
      <c r="O365" s="222">
        <v>1262427</v>
      </c>
      <c r="P365" s="145"/>
      <c r="Q365" s="223">
        <f t="shared" si="440"/>
        <v>1262427</v>
      </c>
      <c r="R365" s="147">
        <f>Q365*$R$8</f>
        <v>207038.02800000002</v>
      </c>
      <c r="S365" s="147">
        <f t="shared" si="422"/>
        <v>567.22747397260275</v>
      </c>
      <c r="T365" s="148">
        <f>S365*$T$5*$T$8</f>
        <v>165630.42240000001</v>
      </c>
      <c r="U365" s="199"/>
      <c r="V365" s="150"/>
      <c r="W365" s="151"/>
      <c r="X365" s="151"/>
      <c r="Y365" s="152"/>
      <c r="Z365" s="153"/>
      <c r="AA365" s="153"/>
      <c r="AB365" s="154"/>
      <c r="AC365" s="155">
        <f t="shared" si="423"/>
        <v>96065.644992000001</v>
      </c>
      <c r="AD365" s="156">
        <f t="shared" si="424"/>
        <v>21531.954912000001</v>
      </c>
      <c r="AE365" s="156">
        <f t="shared" si="425"/>
        <v>14534.069565600001</v>
      </c>
      <c r="AF365" s="156">
        <f t="shared" si="426"/>
        <v>6625.2168960000008</v>
      </c>
      <c r="AG365" s="156">
        <f t="shared" si="427"/>
        <v>3312.6084480000004</v>
      </c>
      <c r="AH365" s="156">
        <f t="shared" si="428"/>
        <v>3312.6084480000004</v>
      </c>
      <c r="AI365" s="156">
        <f t="shared" si="429"/>
        <v>1656.3042240000002</v>
      </c>
      <c r="AJ365" s="156">
        <f t="shared" si="430"/>
        <v>3312.6084480000004</v>
      </c>
      <c r="AK365" s="156">
        <f t="shared" si="431"/>
        <v>3312.6084480000004</v>
      </c>
      <c r="AL365" s="156">
        <f t="shared" si="432"/>
        <v>11594.129568000002</v>
      </c>
      <c r="AM365" s="157">
        <f t="shared" si="433"/>
        <v>50972.762493599999</v>
      </c>
      <c r="AN365" s="158">
        <f t="shared" si="434"/>
        <v>2200</v>
      </c>
      <c r="AO365" s="159">
        <v>0.2</v>
      </c>
      <c r="AP365" s="160">
        <f t="shared" si="435"/>
        <v>1354364889.8135622</v>
      </c>
      <c r="AQ365" s="161">
        <f t="shared" si="436"/>
        <v>376212.49948965368</v>
      </c>
      <c r="AR365" s="162">
        <f t="shared" si="437"/>
        <v>75242.499897930742</v>
      </c>
      <c r="AS365" s="163">
        <f t="shared" si="438"/>
        <v>10.736658090458153</v>
      </c>
      <c r="AT365" s="164">
        <f t="shared" si="439"/>
        <v>10.736658090458153</v>
      </c>
      <c r="AU365" s="165"/>
      <c r="AV365" s="166"/>
      <c r="AW365" s="167"/>
      <c r="AX365" s="146"/>
      <c r="AY365" s="168"/>
    </row>
    <row r="366" spans="1:51" s="139" customFormat="1" ht="11.25" x14ac:dyDescent="0.25">
      <c r="A366" s="1"/>
      <c r="B366" s="140">
        <v>6</v>
      </c>
      <c r="C366" s="343" t="s">
        <v>394</v>
      </c>
      <c r="D366" s="142"/>
      <c r="E366" s="143"/>
      <c r="F366" s="143"/>
      <c r="G366" s="143"/>
      <c r="H366" s="143"/>
      <c r="I366" s="222"/>
      <c r="J366" s="222"/>
      <c r="K366" s="222"/>
      <c r="L366" s="222"/>
      <c r="M366" s="222"/>
      <c r="N366" s="222"/>
      <c r="O366" s="222">
        <v>1477190</v>
      </c>
      <c r="P366" s="145"/>
      <c r="Q366" s="223">
        <f t="shared" si="440"/>
        <v>1477190</v>
      </c>
      <c r="R366" s="147">
        <f>Q366*$R$8</f>
        <v>242259.16</v>
      </c>
      <c r="S366" s="147">
        <f t="shared" si="422"/>
        <v>663.72372602739722</v>
      </c>
      <c r="T366" s="148">
        <f>S366*$T$5*$T$8</f>
        <v>193807.32799999998</v>
      </c>
      <c r="U366" s="199"/>
      <c r="V366" s="150"/>
      <c r="W366" s="151"/>
      <c r="X366" s="151"/>
      <c r="Y366" s="152"/>
      <c r="Z366" s="153"/>
      <c r="AA366" s="153"/>
      <c r="AB366" s="154"/>
      <c r="AC366" s="155">
        <f t="shared" si="423"/>
        <v>112408.25023999998</v>
      </c>
      <c r="AD366" s="156">
        <f t="shared" si="424"/>
        <v>25194.95264</v>
      </c>
      <c r="AE366" s="156">
        <f t="shared" si="425"/>
        <v>17006.593031999997</v>
      </c>
      <c r="AF366" s="156">
        <f t="shared" si="426"/>
        <v>7752.2931199999994</v>
      </c>
      <c r="AG366" s="156">
        <f t="shared" si="427"/>
        <v>3876.1465599999997</v>
      </c>
      <c r="AH366" s="156">
        <f t="shared" si="428"/>
        <v>3876.1465599999997</v>
      </c>
      <c r="AI366" s="156">
        <f t="shared" si="429"/>
        <v>1938.0732799999998</v>
      </c>
      <c r="AJ366" s="156">
        <f t="shared" si="430"/>
        <v>3876.1465599999997</v>
      </c>
      <c r="AK366" s="156">
        <f t="shared" si="431"/>
        <v>3876.1465599999997</v>
      </c>
      <c r="AL366" s="156">
        <f t="shared" si="432"/>
        <v>13566.51296</v>
      </c>
      <c r="AM366" s="157">
        <f t="shared" si="433"/>
        <v>59644.205191999994</v>
      </c>
      <c r="AN366" s="158">
        <f t="shared" si="434"/>
        <v>2200</v>
      </c>
      <c r="AO366" s="159">
        <v>0.2</v>
      </c>
      <c r="AP366" s="160">
        <f t="shared" si="435"/>
        <v>1584768284.8859346</v>
      </c>
      <c r="AQ366" s="161">
        <f t="shared" si="436"/>
        <v>440213.44768538815</v>
      </c>
      <c r="AR366" s="162">
        <f t="shared" si="437"/>
        <v>88042.689537077633</v>
      </c>
      <c r="AS366" s="163">
        <f t="shared" si="438"/>
        <v>12.563169169103544</v>
      </c>
      <c r="AT366" s="164">
        <f t="shared" si="439"/>
        <v>12.563169169103544</v>
      </c>
      <c r="AU366" s="165"/>
      <c r="AV366" s="166"/>
      <c r="AW366" s="167"/>
      <c r="AX366" s="146"/>
      <c r="AY366" s="168"/>
    </row>
    <row r="367" spans="1:51" s="139" customFormat="1" ht="11.25" x14ac:dyDescent="0.25">
      <c r="A367" s="1"/>
      <c r="B367" s="140">
        <v>7</v>
      </c>
      <c r="C367" s="343" t="s">
        <v>395</v>
      </c>
      <c r="D367" s="142"/>
      <c r="E367" s="143"/>
      <c r="F367" s="143"/>
      <c r="G367" s="143"/>
      <c r="H367" s="143"/>
      <c r="I367" s="222"/>
      <c r="J367" s="222"/>
      <c r="K367" s="222"/>
      <c r="L367" s="222"/>
      <c r="M367" s="222"/>
      <c r="N367" s="222"/>
      <c r="O367" s="222">
        <v>2837203</v>
      </c>
      <c r="P367" s="145"/>
      <c r="Q367" s="223">
        <f t="shared" si="440"/>
        <v>2837203</v>
      </c>
      <c r="R367" s="147">
        <f>Q367*$R$7</f>
        <v>672417.11099999992</v>
      </c>
      <c r="S367" s="147">
        <f t="shared" si="422"/>
        <v>1842.2386602739723</v>
      </c>
      <c r="T367" s="148">
        <f>S367*$T$5*$T$7</f>
        <v>605175.39989999996</v>
      </c>
      <c r="U367" s="199"/>
      <c r="V367" s="150"/>
      <c r="W367" s="151"/>
      <c r="X367" s="151"/>
      <c r="Y367" s="152"/>
      <c r="Z367" s="153"/>
      <c r="AA367" s="153"/>
      <c r="AB367" s="154"/>
      <c r="AC367" s="155">
        <f t="shared" si="423"/>
        <v>351001.73194199993</v>
      </c>
      <c r="AD367" s="156">
        <f t="shared" si="424"/>
        <v>78672.801986999999</v>
      </c>
      <c r="AE367" s="156">
        <f t="shared" si="425"/>
        <v>53104.141341224997</v>
      </c>
      <c r="AF367" s="156">
        <f t="shared" si="426"/>
        <v>24207.015995999998</v>
      </c>
      <c r="AG367" s="156">
        <f t="shared" si="427"/>
        <v>12103.507997999999</v>
      </c>
      <c r="AH367" s="156">
        <f t="shared" si="428"/>
        <v>12103.507997999999</v>
      </c>
      <c r="AI367" s="156">
        <f t="shared" si="429"/>
        <v>6051.7539989999996</v>
      </c>
      <c r="AJ367" s="156">
        <f t="shared" si="430"/>
        <v>12103.507997999999</v>
      </c>
      <c r="AK367" s="156">
        <f t="shared" si="431"/>
        <v>12103.507997999999</v>
      </c>
      <c r="AL367" s="156">
        <f t="shared" si="432"/>
        <v>42362.277993000003</v>
      </c>
      <c r="AM367" s="157">
        <f t="shared" si="433"/>
        <v>186242.72931922498</v>
      </c>
      <c r="AN367" s="158">
        <f t="shared" si="434"/>
        <v>2200</v>
      </c>
      <c r="AO367" s="159">
        <v>0.2</v>
      </c>
      <c r="AP367" s="160">
        <f t="shared" si="435"/>
        <v>4948537242.8986921</v>
      </c>
      <c r="AQ367" s="161">
        <f t="shared" si="436"/>
        <v>1374593.7885504642</v>
      </c>
      <c r="AR367" s="162">
        <f t="shared" si="437"/>
        <v>274918.75771009288</v>
      </c>
      <c r="AS367" s="163">
        <f t="shared" si="438"/>
        <v>39.229274787399099</v>
      </c>
      <c r="AT367" s="164">
        <f t="shared" si="439"/>
        <v>39.229274787399099</v>
      </c>
      <c r="AU367" s="165"/>
      <c r="AV367" s="166"/>
      <c r="AW367" s="167"/>
      <c r="AX367" s="146"/>
      <c r="AY367" s="168"/>
    </row>
    <row r="368" spans="1:51" s="139" customFormat="1" ht="11.25" x14ac:dyDescent="0.25">
      <c r="A368" s="1"/>
      <c r="B368" s="140">
        <v>8</v>
      </c>
      <c r="C368" s="343" t="s">
        <v>396</v>
      </c>
      <c r="D368" s="142"/>
      <c r="E368" s="143"/>
      <c r="F368" s="143"/>
      <c r="G368" s="143"/>
      <c r="H368" s="143"/>
      <c r="I368" s="222"/>
      <c r="J368" s="222"/>
      <c r="K368" s="222"/>
      <c r="L368" s="222"/>
      <c r="M368" s="222"/>
      <c r="N368" s="222"/>
      <c r="O368" s="222">
        <v>1082298</v>
      </c>
      <c r="P368" s="145"/>
      <c r="Q368" s="223">
        <f t="shared" si="440"/>
        <v>1082298</v>
      </c>
      <c r="R368" s="147">
        <f>Q368*$R$8</f>
        <v>177496.872</v>
      </c>
      <c r="S368" s="147">
        <f t="shared" si="422"/>
        <v>486.2928</v>
      </c>
      <c r="T368" s="148">
        <f>S368*$T$5*$T$8</f>
        <v>141997.4976</v>
      </c>
      <c r="U368" s="199"/>
      <c r="V368" s="150"/>
      <c r="W368" s="151"/>
      <c r="X368" s="151"/>
      <c r="Y368" s="152"/>
      <c r="Z368" s="153"/>
      <c r="AA368" s="153"/>
      <c r="AB368" s="154"/>
      <c r="AC368" s="155">
        <f t="shared" si="423"/>
        <v>82358.548607999997</v>
      </c>
      <c r="AD368" s="156">
        <f t="shared" si="424"/>
        <v>18459.674687999999</v>
      </c>
      <c r="AE368" s="156">
        <f t="shared" si="425"/>
        <v>12460.2804144</v>
      </c>
      <c r="AF368" s="156">
        <f t="shared" si="426"/>
        <v>5679.8999039999999</v>
      </c>
      <c r="AG368" s="156">
        <f t="shared" si="427"/>
        <v>2839.9499519999999</v>
      </c>
      <c r="AH368" s="156">
        <f t="shared" si="428"/>
        <v>2839.9499519999999</v>
      </c>
      <c r="AI368" s="156">
        <f t="shared" si="429"/>
        <v>1419.974976</v>
      </c>
      <c r="AJ368" s="156">
        <f t="shared" si="430"/>
        <v>2839.9499519999999</v>
      </c>
      <c r="AK368" s="156">
        <f t="shared" si="431"/>
        <v>2839.9499519999999</v>
      </c>
      <c r="AL368" s="156">
        <f t="shared" si="432"/>
        <v>9939.8248320000002</v>
      </c>
      <c r="AM368" s="157">
        <f t="shared" si="433"/>
        <v>43699.729886400004</v>
      </c>
      <c r="AN368" s="158">
        <f t="shared" si="434"/>
        <v>2200</v>
      </c>
      <c r="AO368" s="159">
        <v>0.2</v>
      </c>
      <c r="AP368" s="160">
        <f t="shared" si="435"/>
        <v>1161117760.8807786</v>
      </c>
      <c r="AQ368" s="161">
        <f t="shared" si="436"/>
        <v>322532.73715838871</v>
      </c>
      <c r="AR368" s="162">
        <f t="shared" si="437"/>
        <v>64506.547431677747</v>
      </c>
      <c r="AS368" s="163">
        <f t="shared" si="438"/>
        <v>9.2047014029220531</v>
      </c>
      <c r="AT368" s="164">
        <f t="shared" si="439"/>
        <v>9.2047014029220531</v>
      </c>
      <c r="AU368" s="165"/>
      <c r="AV368" s="166"/>
      <c r="AW368" s="167"/>
      <c r="AX368" s="146"/>
      <c r="AY368" s="168"/>
    </row>
    <row r="369" spans="1:51" s="139" customFormat="1" ht="11.25" x14ac:dyDescent="0.25">
      <c r="A369" s="1"/>
      <c r="B369" s="140">
        <v>9</v>
      </c>
      <c r="C369" s="343" t="s">
        <v>397</v>
      </c>
      <c r="D369" s="142"/>
      <c r="E369" s="143"/>
      <c r="F369" s="143"/>
      <c r="G369" s="143"/>
      <c r="H369" s="143"/>
      <c r="I369" s="222"/>
      <c r="J369" s="222"/>
      <c r="K369" s="222"/>
      <c r="L369" s="222"/>
      <c r="M369" s="222"/>
      <c r="N369" s="222"/>
      <c r="O369" s="222">
        <v>2268151</v>
      </c>
      <c r="P369" s="145"/>
      <c r="Q369" s="223">
        <f t="shared" si="440"/>
        <v>2268151</v>
      </c>
      <c r="R369" s="147">
        <f>Q369*$R$7</f>
        <v>537551.78700000001</v>
      </c>
      <c r="S369" s="147">
        <f t="shared" si="422"/>
        <v>1472.7446219178082</v>
      </c>
      <c r="T369" s="148">
        <f>S369*$T$5*$T$7</f>
        <v>483796.60830000002</v>
      </c>
      <c r="U369" s="199"/>
      <c r="V369" s="150"/>
      <c r="W369" s="151"/>
      <c r="X369" s="151"/>
      <c r="Y369" s="152"/>
      <c r="Z369" s="153"/>
      <c r="AA369" s="153"/>
      <c r="AB369" s="154"/>
      <c r="AC369" s="155">
        <f t="shared" si="423"/>
        <v>280602.03281399998</v>
      </c>
      <c r="AD369" s="156">
        <f t="shared" si="424"/>
        <v>62893.559079000006</v>
      </c>
      <c r="AE369" s="156">
        <f t="shared" si="425"/>
        <v>42453.152378325001</v>
      </c>
      <c r="AF369" s="156">
        <f t="shared" si="426"/>
        <v>19351.864332000001</v>
      </c>
      <c r="AG369" s="156">
        <f t="shared" si="427"/>
        <v>9675.9321660000005</v>
      </c>
      <c r="AH369" s="156">
        <f t="shared" si="428"/>
        <v>9675.9321660000005</v>
      </c>
      <c r="AI369" s="156">
        <f t="shared" si="429"/>
        <v>4837.9660830000003</v>
      </c>
      <c r="AJ369" s="156">
        <f t="shared" si="430"/>
        <v>9675.9321660000005</v>
      </c>
      <c r="AK369" s="156">
        <f t="shared" si="431"/>
        <v>9675.9321660000005</v>
      </c>
      <c r="AL369" s="156">
        <f t="shared" si="432"/>
        <v>33865.762581000003</v>
      </c>
      <c r="AM369" s="157">
        <f t="shared" si="433"/>
        <v>148888.40620432503</v>
      </c>
      <c r="AN369" s="158">
        <f t="shared" si="434"/>
        <v>2200</v>
      </c>
      <c r="AO369" s="159">
        <v>0.2</v>
      </c>
      <c r="AP369" s="160">
        <f t="shared" si="435"/>
        <v>3956019254.1802306</v>
      </c>
      <c r="AQ369" s="161">
        <f t="shared" si="436"/>
        <v>1098894.3251838253</v>
      </c>
      <c r="AR369" s="162">
        <f t="shared" si="437"/>
        <v>219778.86503676508</v>
      </c>
      <c r="AS369" s="163">
        <f t="shared" si="438"/>
        <v>31.361139417346617</v>
      </c>
      <c r="AT369" s="233">
        <f t="shared" si="439"/>
        <v>31.361139417346617</v>
      </c>
      <c r="AU369" s="187"/>
      <c r="AV369" s="166"/>
      <c r="AW369" s="167"/>
      <c r="AX369" s="146"/>
      <c r="AY369" s="168"/>
    </row>
    <row r="370" spans="1:51" s="139" customFormat="1" ht="11.25" x14ac:dyDescent="0.25">
      <c r="A370" s="1"/>
      <c r="B370" s="140">
        <v>10</v>
      </c>
      <c r="C370" s="343" t="s">
        <v>398</v>
      </c>
      <c r="D370" s="142"/>
      <c r="E370" s="143"/>
      <c r="F370" s="143"/>
      <c r="G370" s="143"/>
      <c r="H370" s="143"/>
      <c r="I370" s="222"/>
      <c r="J370" s="222"/>
      <c r="K370" s="222"/>
      <c r="L370" s="222"/>
      <c r="M370" s="222"/>
      <c r="N370" s="222"/>
      <c r="O370" s="222">
        <v>1614366</v>
      </c>
      <c r="P370" s="145"/>
      <c r="Q370" s="223">
        <f t="shared" si="440"/>
        <v>1614366</v>
      </c>
      <c r="R370" s="147">
        <f>Q370*$R$7</f>
        <v>382604.74199999997</v>
      </c>
      <c r="S370" s="147">
        <f t="shared" si="422"/>
        <v>1048.2321698630137</v>
      </c>
      <c r="T370" s="148">
        <f>S370*$T$5*$T$7</f>
        <v>344344.26780000003</v>
      </c>
      <c r="U370" s="199"/>
      <c r="V370" s="150"/>
      <c r="W370" s="151"/>
      <c r="X370" s="151"/>
      <c r="Y370" s="152"/>
      <c r="Z370" s="153"/>
      <c r="AA370" s="153"/>
      <c r="AB370" s="154"/>
      <c r="AC370" s="155">
        <f t="shared" si="423"/>
        <v>199719.67532400001</v>
      </c>
      <c r="AD370" s="156">
        <f t="shared" si="424"/>
        <v>44764.754814000007</v>
      </c>
      <c r="AE370" s="156">
        <f t="shared" si="425"/>
        <v>30216.20949945</v>
      </c>
      <c r="AF370" s="156">
        <f t="shared" si="426"/>
        <v>13773.770712000001</v>
      </c>
      <c r="AG370" s="156">
        <f t="shared" si="427"/>
        <v>6886.8853560000007</v>
      </c>
      <c r="AH370" s="156">
        <f t="shared" si="428"/>
        <v>6886.8853560000007</v>
      </c>
      <c r="AI370" s="156">
        <f t="shared" si="429"/>
        <v>3443.4426780000003</v>
      </c>
      <c r="AJ370" s="156">
        <f t="shared" si="430"/>
        <v>6886.8853560000007</v>
      </c>
      <c r="AK370" s="156">
        <f t="shared" si="431"/>
        <v>6886.8853560000007</v>
      </c>
      <c r="AL370" s="156">
        <f t="shared" si="432"/>
        <v>24104.098746000003</v>
      </c>
      <c r="AM370" s="157">
        <f t="shared" si="433"/>
        <v>105971.94841545001</v>
      </c>
      <c r="AN370" s="158">
        <f t="shared" si="434"/>
        <v>2200</v>
      </c>
      <c r="AO370" s="159">
        <v>0.2</v>
      </c>
      <c r="AP370" s="160">
        <f t="shared" si="435"/>
        <v>2815713318.5991244</v>
      </c>
      <c r="AQ370" s="161">
        <f t="shared" si="436"/>
        <v>782142.65107116383</v>
      </c>
      <c r="AR370" s="162">
        <f t="shared" si="437"/>
        <v>156428.53021423277</v>
      </c>
      <c r="AS370" s="163">
        <f t="shared" si="438"/>
        <v>22.321422690387095</v>
      </c>
      <c r="AT370" s="164">
        <f t="shared" si="439"/>
        <v>22.321422690387095</v>
      </c>
      <c r="AU370" s="165"/>
      <c r="AV370" s="166"/>
      <c r="AW370" s="167"/>
      <c r="AX370" s="146"/>
      <c r="AY370" s="168"/>
    </row>
    <row r="371" spans="1:51" s="139" customFormat="1" ht="11.25" x14ac:dyDescent="0.25">
      <c r="A371" s="1"/>
      <c r="B371" s="140">
        <v>11</v>
      </c>
      <c r="C371" s="342" t="s">
        <v>399</v>
      </c>
      <c r="D371" s="142"/>
      <c r="E371" s="143"/>
      <c r="F371" s="143"/>
      <c r="G371" s="143"/>
      <c r="H371" s="143"/>
      <c r="I371" s="222"/>
      <c r="J371" s="222"/>
      <c r="K371" s="222"/>
      <c r="L371" s="222"/>
      <c r="M371" s="222"/>
      <c r="N371" s="222"/>
      <c r="O371" s="222">
        <v>754857</v>
      </c>
      <c r="P371" s="145"/>
      <c r="Q371" s="223">
        <f t="shared" si="440"/>
        <v>754857</v>
      </c>
      <c r="R371" s="147">
        <f>Q371*$R$9</f>
        <v>110209.12199999999</v>
      </c>
      <c r="S371" s="147">
        <f t="shared" si="422"/>
        <v>301.94279999999998</v>
      </c>
      <c r="T371" s="148">
        <f>S371*$T$5*$T$9</f>
        <v>77146.385399999985</v>
      </c>
      <c r="U371" s="199"/>
      <c r="V371" s="150"/>
      <c r="W371" s="151"/>
      <c r="X371" s="151"/>
      <c r="Y371" s="152"/>
      <c r="Z371" s="153"/>
      <c r="AA371" s="153"/>
      <c r="AB371" s="154"/>
      <c r="AC371" s="155">
        <f t="shared" si="423"/>
        <v>44744.903531999989</v>
      </c>
      <c r="AD371" s="156">
        <f t="shared" si="424"/>
        <v>10029.030101999999</v>
      </c>
      <c r="AE371" s="156">
        <f t="shared" si="425"/>
        <v>6769.595318849998</v>
      </c>
      <c r="AF371" s="156">
        <f t="shared" si="426"/>
        <v>3085.8554159999994</v>
      </c>
      <c r="AG371" s="156">
        <f t="shared" si="427"/>
        <v>1542.9277079999997</v>
      </c>
      <c r="AH371" s="156">
        <f t="shared" si="428"/>
        <v>1542.9277079999997</v>
      </c>
      <c r="AI371" s="156">
        <f t="shared" si="429"/>
        <v>771.46385399999986</v>
      </c>
      <c r="AJ371" s="156">
        <f t="shared" si="430"/>
        <v>1542.9277079999997</v>
      </c>
      <c r="AK371" s="156">
        <f t="shared" si="431"/>
        <v>1542.9277079999997</v>
      </c>
      <c r="AL371" s="156">
        <f t="shared" si="432"/>
        <v>5400.2469779999992</v>
      </c>
      <c r="AM371" s="157">
        <f t="shared" si="433"/>
        <v>23741.800106849994</v>
      </c>
      <c r="AN371" s="158">
        <f t="shared" si="434"/>
        <v>2200</v>
      </c>
      <c r="AO371" s="159">
        <v>0.2</v>
      </c>
      <c r="AP371" s="160">
        <f t="shared" si="435"/>
        <v>630828287.74930167</v>
      </c>
      <c r="AQ371" s="161">
        <f t="shared" si="436"/>
        <v>175230.09394876796</v>
      </c>
      <c r="AR371" s="162">
        <f t="shared" si="437"/>
        <v>35046.018789753594</v>
      </c>
      <c r="AS371" s="163">
        <f t="shared" si="438"/>
        <v>5.0008588455698622</v>
      </c>
      <c r="AT371" s="164">
        <f t="shared" si="439"/>
        <v>5.0008588455698622</v>
      </c>
      <c r="AU371" s="165"/>
      <c r="AV371" s="166"/>
      <c r="AW371" s="167"/>
      <c r="AX371" s="146"/>
      <c r="AY371" s="168"/>
    </row>
    <row r="372" spans="1:51" s="139" customFormat="1" ht="11.25" x14ac:dyDescent="0.25">
      <c r="A372" s="1"/>
      <c r="B372" s="140">
        <v>12</v>
      </c>
      <c r="C372" s="345" t="s">
        <v>400</v>
      </c>
      <c r="D372" s="142"/>
      <c r="E372" s="143"/>
      <c r="F372" s="143"/>
      <c r="G372" s="143"/>
      <c r="H372" s="143"/>
      <c r="I372" s="222"/>
      <c r="J372" s="222"/>
      <c r="K372" s="222"/>
      <c r="L372" s="222"/>
      <c r="M372" s="222"/>
      <c r="N372" s="222"/>
      <c r="O372" s="222">
        <v>653617</v>
      </c>
      <c r="P372" s="145"/>
      <c r="Q372" s="223">
        <f t="shared" si="440"/>
        <v>653617</v>
      </c>
      <c r="R372" s="147">
        <f>Q372*$R$9</f>
        <v>95428.081999999995</v>
      </c>
      <c r="S372" s="147">
        <f t="shared" si="422"/>
        <v>261.4468</v>
      </c>
      <c r="T372" s="148">
        <f>S372*$T$5*$T$9</f>
        <v>66799.657399999996</v>
      </c>
      <c r="U372" s="199"/>
      <c r="V372" s="150"/>
      <c r="W372" s="151"/>
      <c r="X372" s="151"/>
      <c r="Y372" s="152"/>
      <c r="Z372" s="153"/>
      <c r="AA372" s="153"/>
      <c r="AB372" s="154"/>
      <c r="AC372" s="155">
        <f t="shared" si="423"/>
        <v>38743.801291999996</v>
      </c>
      <c r="AD372" s="156">
        <f t="shared" si="424"/>
        <v>8683.9554619999999</v>
      </c>
      <c r="AE372" s="156">
        <f t="shared" si="425"/>
        <v>5861.6699368499994</v>
      </c>
      <c r="AF372" s="156">
        <f t="shared" si="426"/>
        <v>2671.986296</v>
      </c>
      <c r="AG372" s="156">
        <f t="shared" si="427"/>
        <v>1335.993148</v>
      </c>
      <c r="AH372" s="156">
        <f t="shared" si="428"/>
        <v>1335.993148</v>
      </c>
      <c r="AI372" s="156">
        <f t="shared" si="429"/>
        <v>667.99657400000001</v>
      </c>
      <c r="AJ372" s="156">
        <f t="shared" si="430"/>
        <v>1335.993148</v>
      </c>
      <c r="AK372" s="156">
        <f t="shared" si="431"/>
        <v>1335.993148</v>
      </c>
      <c r="AL372" s="156">
        <f t="shared" si="432"/>
        <v>4675.9760180000003</v>
      </c>
      <c r="AM372" s="157">
        <f t="shared" si="433"/>
        <v>20557.594564850002</v>
      </c>
      <c r="AN372" s="158">
        <f t="shared" si="434"/>
        <v>2200</v>
      </c>
      <c r="AO372" s="159">
        <v>0.2</v>
      </c>
      <c r="AP372" s="160">
        <f t="shared" si="435"/>
        <v>546222785.18161094</v>
      </c>
      <c r="AQ372" s="161">
        <f t="shared" si="436"/>
        <v>151728.56357762049</v>
      </c>
      <c r="AR372" s="162">
        <f t="shared" si="437"/>
        <v>30345.7127155241</v>
      </c>
      <c r="AS372" s="163">
        <f t="shared" si="438"/>
        <v>4.3301530701375714</v>
      </c>
      <c r="AT372" s="164">
        <f t="shared" si="439"/>
        <v>4.3301530701375714</v>
      </c>
      <c r="AU372" s="165"/>
      <c r="AV372" s="166"/>
      <c r="AW372" s="167"/>
      <c r="AX372" s="146"/>
      <c r="AY372" s="168"/>
    </row>
    <row r="373" spans="1:51" s="139" customFormat="1" ht="11.25" x14ac:dyDescent="0.25">
      <c r="A373" s="1"/>
      <c r="B373" s="140">
        <v>13</v>
      </c>
      <c r="C373" s="335" t="s">
        <v>401</v>
      </c>
      <c r="D373" s="142"/>
      <c r="E373" s="143"/>
      <c r="F373" s="143"/>
      <c r="G373" s="143"/>
      <c r="H373" s="143"/>
      <c r="I373" s="222"/>
      <c r="J373" s="222"/>
      <c r="K373" s="222"/>
      <c r="L373" s="222"/>
      <c r="M373" s="222"/>
      <c r="N373" s="222"/>
      <c r="O373" s="222">
        <v>1184117</v>
      </c>
      <c r="P373" s="145"/>
      <c r="Q373" s="223">
        <f t="shared" si="440"/>
        <v>1184117</v>
      </c>
      <c r="R373" s="147">
        <f>Q373*$R$8</f>
        <v>194195.18799999999</v>
      </c>
      <c r="S373" s="147">
        <f t="shared" si="422"/>
        <v>532.04161095890413</v>
      </c>
      <c r="T373" s="148">
        <f>S373*$T$5*$T$8</f>
        <v>155356.15040000001</v>
      </c>
      <c r="U373" s="199"/>
      <c r="V373" s="150"/>
      <c r="W373" s="151"/>
      <c r="X373" s="151"/>
      <c r="Y373" s="152"/>
      <c r="Z373" s="153"/>
      <c r="AA373" s="153"/>
      <c r="AB373" s="154"/>
      <c r="AC373" s="155">
        <f t="shared" si="423"/>
        <v>90106.567232000001</v>
      </c>
      <c r="AD373" s="156">
        <f t="shared" si="424"/>
        <v>20196.299552000004</v>
      </c>
      <c r="AE373" s="156">
        <f t="shared" si="425"/>
        <v>13632.502197600001</v>
      </c>
      <c r="AF373" s="156">
        <f t="shared" si="426"/>
        <v>6214.246016000001</v>
      </c>
      <c r="AG373" s="156">
        <f t="shared" si="427"/>
        <v>3107.1230080000005</v>
      </c>
      <c r="AH373" s="156">
        <f t="shared" si="428"/>
        <v>3107.1230080000005</v>
      </c>
      <c r="AI373" s="156">
        <f t="shared" si="429"/>
        <v>1553.5615040000002</v>
      </c>
      <c r="AJ373" s="156">
        <f t="shared" si="430"/>
        <v>3107.1230080000005</v>
      </c>
      <c r="AK373" s="156">
        <f t="shared" si="431"/>
        <v>3107.1230080000005</v>
      </c>
      <c r="AL373" s="156">
        <f t="shared" si="432"/>
        <v>10874.930528000003</v>
      </c>
      <c r="AM373" s="157">
        <f t="shared" si="433"/>
        <v>47810.855285600002</v>
      </c>
      <c r="AN373" s="158">
        <f t="shared" si="434"/>
        <v>2200</v>
      </c>
      <c r="AO373" s="159">
        <v>0.2</v>
      </c>
      <c r="AP373" s="160">
        <f t="shared" si="435"/>
        <v>1270351862.1127129</v>
      </c>
      <c r="AQ373" s="161">
        <f t="shared" si="436"/>
        <v>352875.5454835727</v>
      </c>
      <c r="AR373" s="162">
        <f t="shared" si="437"/>
        <v>70575.109096714543</v>
      </c>
      <c r="AS373" s="163">
        <f t="shared" si="438"/>
        <v>10.070649129097395</v>
      </c>
      <c r="AT373" s="164">
        <f t="shared" si="439"/>
        <v>10.070649129097395</v>
      </c>
      <c r="AU373" s="165"/>
      <c r="AV373" s="166"/>
      <c r="AW373" s="167"/>
      <c r="AX373" s="146"/>
      <c r="AY373" s="168"/>
    </row>
    <row r="374" spans="1:51" s="139" customFormat="1" ht="11.25" x14ac:dyDescent="0.25">
      <c r="A374" s="1"/>
      <c r="B374" s="140">
        <v>14</v>
      </c>
      <c r="C374" s="335" t="s">
        <v>402</v>
      </c>
      <c r="D374" s="142"/>
      <c r="E374" s="143"/>
      <c r="F374" s="143"/>
      <c r="G374" s="143"/>
      <c r="H374" s="143"/>
      <c r="I374" s="222"/>
      <c r="J374" s="222"/>
      <c r="K374" s="222"/>
      <c r="L374" s="222"/>
      <c r="M374" s="222"/>
      <c r="N374" s="222"/>
      <c r="O374" s="222">
        <v>1469516</v>
      </c>
      <c r="P374" s="145"/>
      <c r="Q374" s="223">
        <f t="shared" si="440"/>
        <v>1469516</v>
      </c>
      <c r="R374" s="147">
        <f>Q374*$R$8</f>
        <v>241000.62400000001</v>
      </c>
      <c r="S374" s="147">
        <f t="shared" si="422"/>
        <v>660.2756821917809</v>
      </c>
      <c r="T374" s="148">
        <f>S374*$T$5*$T$8</f>
        <v>192800.49920000005</v>
      </c>
      <c r="U374" s="199"/>
      <c r="V374" s="150"/>
      <c r="W374" s="151"/>
      <c r="X374" s="151"/>
      <c r="Y374" s="152"/>
      <c r="Z374" s="153"/>
      <c r="AA374" s="153"/>
      <c r="AB374" s="154"/>
      <c r="AC374" s="155">
        <f t="shared" si="423"/>
        <v>111824.28953600003</v>
      </c>
      <c r="AD374" s="156">
        <f t="shared" si="424"/>
        <v>25064.064896000007</v>
      </c>
      <c r="AE374" s="156">
        <f t="shared" si="425"/>
        <v>16918.243804800004</v>
      </c>
      <c r="AF374" s="156">
        <f t="shared" si="426"/>
        <v>7712.0199680000023</v>
      </c>
      <c r="AG374" s="156">
        <f t="shared" si="427"/>
        <v>3856.0099840000012</v>
      </c>
      <c r="AH374" s="156">
        <f t="shared" si="428"/>
        <v>3856.0099840000012</v>
      </c>
      <c r="AI374" s="156">
        <f t="shared" si="429"/>
        <v>1928.0049920000006</v>
      </c>
      <c r="AJ374" s="156">
        <f t="shared" si="430"/>
        <v>3856.0099840000012</v>
      </c>
      <c r="AK374" s="156">
        <f t="shared" si="431"/>
        <v>3856.0099840000012</v>
      </c>
      <c r="AL374" s="156">
        <f t="shared" si="432"/>
        <v>13496.034944000005</v>
      </c>
      <c r="AM374" s="157">
        <f t="shared" si="433"/>
        <v>59334.353628800025</v>
      </c>
      <c r="AN374" s="158">
        <f t="shared" si="434"/>
        <v>2200</v>
      </c>
      <c r="AO374" s="159">
        <v>0.2</v>
      </c>
      <c r="AP374" s="160">
        <f t="shared" si="435"/>
        <v>1576535415.8452466</v>
      </c>
      <c r="AQ374" s="161">
        <f t="shared" si="436"/>
        <v>437926.5394355777</v>
      </c>
      <c r="AR374" s="162">
        <f t="shared" si="437"/>
        <v>87585.307887115545</v>
      </c>
      <c r="AS374" s="163">
        <f t="shared" si="438"/>
        <v>12.497903522704844</v>
      </c>
      <c r="AT374" s="164">
        <f t="shared" si="439"/>
        <v>12.497903522704844</v>
      </c>
      <c r="AU374" s="165"/>
      <c r="AV374" s="166"/>
      <c r="AW374" s="167"/>
      <c r="AX374" s="146"/>
      <c r="AY374" s="168"/>
    </row>
    <row r="375" spans="1:51" s="139" customFormat="1" ht="11.25" x14ac:dyDescent="0.25">
      <c r="A375" s="1"/>
      <c r="B375" s="140">
        <v>15</v>
      </c>
      <c r="C375" s="343" t="s">
        <v>403</v>
      </c>
      <c r="D375" s="142"/>
      <c r="E375" s="143"/>
      <c r="F375" s="143"/>
      <c r="G375" s="143"/>
      <c r="H375" s="143"/>
      <c r="I375" s="222"/>
      <c r="J375" s="222"/>
      <c r="K375" s="222"/>
      <c r="L375" s="222"/>
      <c r="M375" s="222"/>
      <c r="N375" s="222"/>
      <c r="O375" s="222">
        <v>1991776</v>
      </c>
      <c r="P375" s="145"/>
      <c r="Q375" s="223">
        <f t="shared" si="440"/>
        <v>1991776</v>
      </c>
      <c r="R375" s="147">
        <f>Q375*$R$7</f>
        <v>472050.91199999995</v>
      </c>
      <c r="S375" s="147">
        <f t="shared" si="422"/>
        <v>1293.2901698630135</v>
      </c>
      <c r="T375" s="148">
        <f>S375*$T$5*$T$7</f>
        <v>424845.82079999993</v>
      </c>
      <c r="U375" s="199"/>
      <c r="V375" s="150"/>
      <c r="W375" s="151"/>
      <c r="X375" s="151"/>
      <c r="Y375" s="152"/>
      <c r="Z375" s="153"/>
      <c r="AA375" s="153"/>
      <c r="AB375" s="154"/>
      <c r="AC375" s="155">
        <f t="shared" si="423"/>
        <v>246410.57606399994</v>
      </c>
      <c r="AD375" s="156">
        <f t="shared" si="424"/>
        <v>55229.956703999989</v>
      </c>
      <c r="AE375" s="156">
        <f t="shared" si="425"/>
        <v>37280.220775199989</v>
      </c>
      <c r="AF375" s="156">
        <f t="shared" si="426"/>
        <v>16993.832831999996</v>
      </c>
      <c r="AG375" s="156">
        <f t="shared" si="427"/>
        <v>8496.9164159999982</v>
      </c>
      <c r="AH375" s="156">
        <f t="shared" si="428"/>
        <v>8496.9164159999982</v>
      </c>
      <c r="AI375" s="156">
        <f t="shared" si="429"/>
        <v>4248.4582079999991</v>
      </c>
      <c r="AJ375" s="156">
        <f t="shared" si="430"/>
        <v>8496.9164159999982</v>
      </c>
      <c r="AK375" s="156">
        <f t="shared" si="431"/>
        <v>8496.9164159999982</v>
      </c>
      <c r="AL375" s="156">
        <f t="shared" si="432"/>
        <v>29739.207455999996</v>
      </c>
      <c r="AM375" s="157">
        <f t="shared" si="433"/>
        <v>130746.30135119996</v>
      </c>
      <c r="AN375" s="158">
        <f t="shared" si="434"/>
        <v>2200</v>
      </c>
      <c r="AO375" s="159">
        <v>0.2</v>
      </c>
      <c r="AP375" s="160">
        <f t="shared" si="435"/>
        <v>3473976911.5963092</v>
      </c>
      <c r="AQ375" s="161">
        <f t="shared" si="436"/>
        <v>964993.66375401721</v>
      </c>
      <c r="AR375" s="162">
        <f t="shared" si="437"/>
        <v>192998.73275080347</v>
      </c>
      <c r="AS375" s="163">
        <f t="shared" si="438"/>
        <v>27.53977350896168</v>
      </c>
      <c r="AT375" s="164">
        <f t="shared" si="439"/>
        <v>27.53977350896168</v>
      </c>
      <c r="AU375" s="165"/>
      <c r="AV375" s="166"/>
      <c r="AW375" s="167"/>
      <c r="AX375" s="146"/>
      <c r="AY375" s="168"/>
    </row>
    <row r="376" spans="1:51" s="139" customFormat="1" ht="11.25" x14ac:dyDescent="0.25">
      <c r="A376" s="1"/>
      <c r="B376" s="140">
        <v>16</v>
      </c>
      <c r="C376" s="343" t="s">
        <v>404</v>
      </c>
      <c r="D376" s="142"/>
      <c r="E376" s="143"/>
      <c r="F376" s="143"/>
      <c r="G376" s="143"/>
      <c r="H376" s="143"/>
      <c r="I376" s="222"/>
      <c r="J376" s="222"/>
      <c r="K376" s="222"/>
      <c r="L376" s="222"/>
      <c r="M376" s="222"/>
      <c r="N376" s="222"/>
      <c r="O376" s="222">
        <v>1088632</v>
      </c>
      <c r="P376" s="145"/>
      <c r="Q376" s="223">
        <f t="shared" si="440"/>
        <v>1088632</v>
      </c>
      <c r="R376" s="147">
        <f>Q376*$R$8</f>
        <v>178535.64800000002</v>
      </c>
      <c r="S376" s="147">
        <f t="shared" si="422"/>
        <v>489.13876164383566</v>
      </c>
      <c r="T376" s="148">
        <f>S376*$T$5*$T$8</f>
        <v>142828.51840000003</v>
      </c>
      <c r="U376" s="199"/>
      <c r="V376" s="150"/>
      <c r="W376" s="151"/>
      <c r="X376" s="151"/>
      <c r="Y376" s="152"/>
      <c r="Z376" s="153"/>
      <c r="AA376" s="153"/>
      <c r="AB376" s="154"/>
      <c r="AC376" s="155">
        <f t="shared" si="423"/>
        <v>82840.540672000017</v>
      </c>
      <c r="AD376" s="156">
        <f t="shared" si="424"/>
        <v>18567.707392000004</v>
      </c>
      <c r="AE376" s="156">
        <f t="shared" si="425"/>
        <v>12533.202489600002</v>
      </c>
      <c r="AF376" s="156">
        <f t="shared" si="426"/>
        <v>5713.1407360000012</v>
      </c>
      <c r="AG376" s="156">
        <f t="shared" si="427"/>
        <v>2856.5703680000006</v>
      </c>
      <c r="AH376" s="156">
        <f t="shared" si="428"/>
        <v>2856.5703680000006</v>
      </c>
      <c r="AI376" s="156">
        <f t="shared" si="429"/>
        <v>1428.2851840000003</v>
      </c>
      <c r="AJ376" s="156">
        <f t="shared" si="430"/>
        <v>2856.5703680000006</v>
      </c>
      <c r="AK376" s="156">
        <f t="shared" si="431"/>
        <v>2856.5703680000006</v>
      </c>
      <c r="AL376" s="156">
        <f t="shared" si="432"/>
        <v>9997.9962880000039</v>
      </c>
      <c r="AM376" s="157">
        <f t="shared" si="433"/>
        <v>43955.476537600007</v>
      </c>
      <c r="AN376" s="158">
        <f t="shared" si="434"/>
        <v>2200</v>
      </c>
      <c r="AO376" s="159">
        <v>0.2</v>
      </c>
      <c r="AP376" s="160">
        <f t="shared" si="435"/>
        <v>1167913042.6769373</v>
      </c>
      <c r="AQ376" s="161">
        <f t="shared" si="436"/>
        <v>324420.31558610575</v>
      </c>
      <c r="AR376" s="162">
        <f t="shared" si="437"/>
        <v>64884.063117221151</v>
      </c>
      <c r="AS376" s="163">
        <f t="shared" si="438"/>
        <v>9.2585706502884069</v>
      </c>
      <c r="AT376" s="164">
        <f t="shared" si="439"/>
        <v>9.2585706502884069</v>
      </c>
      <c r="AU376" s="165"/>
      <c r="AV376" s="166"/>
      <c r="AW376" s="167"/>
      <c r="AX376" s="146"/>
      <c r="AY376" s="168"/>
    </row>
    <row r="377" spans="1:51" s="139" customFormat="1" ht="11.25" x14ac:dyDescent="0.25">
      <c r="A377" s="1"/>
      <c r="B377" s="140">
        <v>17</v>
      </c>
      <c r="C377" s="343" t="s">
        <v>405</v>
      </c>
      <c r="D377" s="142"/>
      <c r="E377" s="143"/>
      <c r="F377" s="143"/>
      <c r="G377" s="143"/>
      <c r="H377" s="143"/>
      <c r="I377" s="222"/>
      <c r="J377" s="222"/>
      <c r="K377" s="222"/>
      <c r="L377" s="222"/>
      <c r="M377" s="222"/>
      <c r="N377" s="222"/>
      <c r="O377" s="222">
        <v>1388276</v>
      </c>
      <c r="P377" s="145"/>
      <c r="Q377" s="223">
        <f t="shared" si="440"/>
        <v>1388276</v>
      </c>
      <c r="R377" s="147">
        <f>Q377*$R$8</f>
        <v>227677.264</v>
      </c>
      <c r="S377" s="147">
        <f t="shared" si="422"/>
        <v>623.77332602739727</v>
      </c>
      <c r="T377" s="148">
        <f>S377*$T$5*$T$8</f>
        <v>182141.8112</v>
      </c>
      <c r="U377" s="199"/>
      <c r="V377" s="150"/>
      <c r="W377" s="151"/>
      <c r="X377" s="151"/>
      <c r="Y377" s="152"/>
      <c r="Z377" s="153"/>
      <c r="AA377" s="153"/>
      <c r="AB377" s="154"/>
      <c r="AC377" s="155">
        <f t="shared" si="423"/>
        <v>105642.25049599999</v>
      </c>
      <c r="AD377" s="156">
        <f t="shared" si="424"/>
        <v>23678.435455999999</v>
      </c>
      <c r="AE377" s="156">
        <f t="shared" si="425"/>
        <v>15982.943932799999</v>
      </c>
      <c r="AF377" s="156">
        <f t="shared" si="426"/>
        <v>7285.6724480000003</v>
      </c>
      <c r="AG377" s="156">
        <f t="shared" si="427"/>
        <v>3642.8362240000001</v>
      </c>
      <c r="AH377" s="156">
        <f t="shared" si="428"/>
        <v>3642.8362240000001</v>
      </c>
      <c r="AI377" s="156">
        <f t="shared" si="429"/>
        <v>1821.4181120000001</v>
      </c>
      <c r="AJ377" s="156">
        <f t="shared" si="430"/>
        <v>3642.8362240000001</v>
      </c>
      <c r="AK377" s="156">
        <f t="shared" si="431"/>
        <v>3642.8362240000001</v>
      </c>
      <c r="AL377" s="156">
        <f t="shared" si="432"/>
        <v>12749.926784000001</v>
      </c>
      <c r="AM377" s="157">
        <f t="shared" si="433"/>
        <v>56054.142396799994</v>
      </c>
      <c r="AN377" s="158">
        <f t="shared" si="434"/>
        <v>2200</v>
      </c>
      <c r="AO377" s="159">
        <v>0.2</v>
      </c>
      <c r="AP377" s="160">
        <f t="shared" si="435"/>
        <v>1489379007.0798647</v>
      </c>
      <c r="AQ377" s="161">
        <f t="shared" si="436"/>
        <v>413716.42395282927</v>
      </c>
      <c r="AR377" s="162">
        <f t="shared" si="437"/>
        <v>82743.284790565856</v>
      </c>
      <c r="AS377" s="163">
        <f t="shared" si="438"/>
        <v>11.80697556943006</v>
      </c>
      <c r="AT377" s="164">
        <f t="shared" si="439"/>
        <v>11.80697556943006</v>
      </c>
      <c r="AU377" s="165"/>
      <c r="AV377" s="166"/>
      <c r="AW377" s="167"/>
      <c r="AX377" s="146"/>
      <c r="AY377" s="168"/>
    </row>
    <row r="378" spans="1:51" s="139" customFormat="1" ht="11.25" x14ac:dyDescent="0.25">
      <c r="A378" s="1"/>
      <c r="B378" s="140">
        <v>18</v>
      </c>
      <c r="C378" s="343" t="s">
        <v>406</v>
      </c>
      <c r="D378" s="142"/>
      <c r="E378" s="143"/>
      <c r="F378" s="143"/>
      <c r="G378" s="143"/>
      <c r="H378" s="143"/>
      <c r="I378" s="222"/>
      <c r="J378" s="222"/>
      <c r="K378" s="222"/>
      <c r="L378" s="222"/>
      <c r="M378" s="222"/>
      <c r="N378" s="222"/>
      <c r="O378" s="222">
        <v>1197935</v>
      </c>
      <c r="P378" s="145"/>
      <c r="Q378" s="223">
        <f t="shared" si="440"/>
        <v>1197935</v>
      </c>
      <c r="R378" s="147">
        <f>Q378*$R$8</f>
        <v>196461.34</v>
      </c>
      <c r="S378" s="147">
        <f t="shared" si="422"/>
        <v>538.25024657534243</v>
      </c>
      <c r="T378" s="148">
        <f>S378*$T$5*$T$8</f>
        <v>157169.07200000001</v>
      </c>
      <c r="U378" s="199"/>
      <c r="V378" s="150"/>
      <c r="W378" s="151"/>
      <c r="X378" s="151"/>
      <c r="Y378" s="152"/>
      <c r="Z378" s="153"/>
      <c r="AA378" s="153"/>
      <c r="AB378" s="154"/>
      <c r="AC378" s="155">
        <f t="shared" si="423"/>
        <v>91158.061759999997</v>
      </c>
      <c r="AD378" s="156">
        <f t="shared" si="424"/>
        <v>20431.979360000001</v>
      </c>
      <c r="AE378" s="156">
        <f t="shared" si="425"/>
        <v>13791.586068000001</v>
      </c>
      <c r="AF378" s="156">
        <f t="shared" si="426"/>
        <v>6286.7628800000011</v>
      </c>
      <c r="AG378" s="156">
        <f t="shared" si="427"/>
        <v>3143.3814400000006</v>
      </c>
      <c r="AH378" s="156">
        <f t="shared" si="428"/>
        <v>3143.3814400000006</v>
      </c>
      <c r="AI378" s="156">
        <f t="shared" si="429"/>
        <v>1571.6907200000003</v>
      </c>
      <c r="AJ378" s="156">
        <f t="shared" si="430"/>
        <v>3143.3814400000006</v>
      </c>
      <c r="AK378" s="156">
        <f t="shared" si="431"/>
        <v>3143.3814400000006</v>
      </c>
      <c r="AL378" s="156">
        <f t="shared" si="432"/>
        <v>11001.835040000002</v>
      </c>
      <c r="AM378" s="157">
        <f t="shared" si="433"/>
        <v>48368.781907999997</v>
      </c>
      <c r="AN378" s="158">
        <f t="shared" si="434"/>
        <v>2200</v>
      </c>
      <c r="AO378" s="159">
        <v>0.2</v>
      </c>
      <c r="AP378" s="160">
        <f t="shared" si="435"/>
        <v>1285176175.9522011</v>
      </c>
      <c r="AQ378" s="161">
        <f t="shared" si="436"/>
        <v>356993.41076841531</v>
      </c>
      <c r="AR378" s="162">
        <f t="shared" si="437"/>
        <v>71398.682153683068</v>
      </c>
      <c r="AS378" s="163">
        <f t="shared" si="438"/>
        <v>10.188168115536968</v>
      </c>
      <c r="AT378" s="164">
        <f t="shared" si="439"/>
        <v>10.188168115536968</v>
      </c>
      <c r="AU378" s="165"/>
      <c r="AV378" s="166"/>
      <c r="AW378" s="167"/>
      <c r="AX378" s="146"/>
      <c r="AY378" s="168"/>
    </row>
    <row r="379" spans="1:51" s="139" customFormat="1" ht="11.25" x14ac:dyDescent="0.25">
      <c r="A379" s="1"/>
      <c r="B379" s="140">
        <v>19</v>
      </c>
      <c r="C379" s="342" t="s">
        <v>407</v>
      </c>
      <c r="D379" s="142"/>
      <c r="E379" s="143"/>
      <c r="F379" s="143"/>
      <c r="G379" s="143"/>
      <c r="H379" s="143"/>
      <c r="I379" s="222"/>
      <c r="J379" s="222"/>
      <c r="K379" s="222"/>
      <c r="L379" s="222"/>
      <c r="M379" s="222"/>
      <c r="N379" s="222"/>
      <c r="O379" s="222">
        <v>772859</v>
      </c>
      <c r="P379" s="145"/>
      <c r="Q379" s="223">
        <f t="shared" si="440"/>
        <v>772859</v>
      </c>
      <c r="R379" s="147">
        <f>Q379*$R$9</f>
        <v>112837.41399999999</v>
      </c>
      <c r="S379" s="147">
        <f t="shared" si="422"/>
        <v>309.14359999999999</v>
      </c>
      <c r="T379" s="148">
        <f>S379*$T$5*$T$9</f>
        <v>78986.189799999993</v>
      </c>
      <c r="U379" s="199"/>
      <c r="V379" s="150"/>
      <c r="W379" s="151"/>
      <c r="X379" s="151"/>
      <c r="Y379" s="152"/>
      <c r="Z379" s="153"/>
      <c r="AA379" s="153"/>
      <c r="AB379" s="154"/>
      <c r="AC379" s="155">
        <f t="shared" si="423"/>
        <v>45811.99008399999</v>
      </c>
      <c r="AD379" s="156">
        <f t="shared" si="424"/>
        <v>10268.204673999999</v>
      </c>
      <c r="AE379" s="156">
        <f t="shared" si="425"/>
        <v>6931.0381549499989</v>
      </c>
      <c r="AF379" s="156">
        <f t="shared" si="426"/>
        <v>3159.447592</v>
      </c>
      <c r="AG379" s="156">
        <f t="shared" si="427"/>
        <v>1579.723796</v>
      </c>
      <c r="AH379" s="156">
        <f t="shared" si="428"/>
        <v>1579.723796</v>
      </c>
      <c r="AI379" s="156">
        <f t="shared" si="429"/>
        <v>789.861898</v>
      </c>
      <c r="AJ379" s="156">
        <f t="shared" si="430"/>
        <v>1579.723796</v>
      </c>
      <c r="AK379" s="156">
        <f t="shared" si="431"/>
        <v>1579.723796</v>
      </c>
      <c r="AL379" s="156">
        <f t="shared" si="432"/>
        <v>5529.0332859999999</v>
      </c>
      <c r="AM379" s="157">
        <f t="shared" si="433"/>
        <v>24307.999910949995</v>
      </c>
      <c r="AN379" s="158">
        <f t="shared" si="434"/>
        <v>2200</v>
      </c>
      <c r="AO379" s="159">
        <v>0.2</v>
      </c>
      <c r="AP379" s="160">
        <f t="shared" si="435"/>
        <v>645872423.04388452</v>
      </c>
      <c r="AQ379" s="161">
        <f t="shared" si="436"/>
        <v>179409.02075379953</v>
      </c>
      <c r="AR379" s="162">
        <f t="shared" si="437"/>
        <v>35881.804150759905</v>
      </c>
      <c r="AS379" s="163">
        <f t="shared" si="438"/>
        <v>5.1201204553024979</v>
      </c>
      <c r="AT379" s="164">
        <f t="shared" si="439"/>
        <v>5.1201204553024979</v>
      </c>
      <c r="AU379" s="165"/>
      <c r="AV379" s="166"/>
      <c r="AW379" s="167"/>
      <c r="AX379" s="146"/>
      <c r="AY379" s="168"/>
    </row>
    <row r="380" spans="1:51" s="139" customFormat="1" ht="11.25" x14ac:dyDescent="0.25">
      <c r="A380" s="1"/>
      <c r="B380" s="140">
        <v>20</v>
      </c>
      <c r="C380" s="342" t="s">
        <v>408</v>
      </c>
      <c r="D380" s="142"/>
      <c r="E380" s="143"/>
      <c r="F380" s="143"/>
      <c r="G380" s="143"/>
      <c r="H380" s="143"/>
      <c r="I380" s="222"/>
      <c r="J380" s="222"/>
      <c r="K380" s="222"/>
      <c r="L380" s="222"/>
      <c r="M380" s="222"/>
      <c r="N380" s="222"/>
      <c r="O380" s="222">
        <v>700896</v>
      </c>
      <c r="P380" s="145"/>
      <c r="Q380" s="223">
        <f t="shared" si="440"/>
        <v>700896</v>
      </c>
      <c r="R380" s="147">
        <f>Q380*$R$9</f>
        <v>102330.81599999999</v>
      </c>
      <c r="S380" s="147">
        <f t="shared" si="422"/>
        <v>280.35839999999996</v>
      </c>
      <c r="T380" s="148">
        <f>S380*$T$5*$T$9</f>
        <v>71631.571199999991</v>
      </c>
      <c r="U380" s="199"/>
      <c r="V380" s="150"/>
      <c r="W380" s="151"/>
      <c r="X380" s="151"/>
      <c r="Y380" s="152"/>
      <c r="Z380" s="153"/>
      <c r="AA380" s="153"/>
      <c r="AB380" s="154"/>
      <c r="AC380" s="155">
        <f t="shared" si="423"/>
        <v>41546.311295999993</v>
      </c>
      <c r="AD380" s="156">
        <f t="shared" si="424"/>
        <v>9312.1042559999987</v>
      </c>
      <c r="AE380" s="156">
        <f t="shared" si="425"/>
        <v>6285.6703727999984</v>
      </c>
      <c r="AF380" s="156">
        <f t="shared" si="426"/>
        <v>2865.2628479999998</v>
      </c>
      <c r="AG380" s="156">
        <f t="shared" si="427"/>
        <v>1432.6314239999999</v>
      </c>
      <c r="AH380" s="156">
        <f t="shared" si="428"/>
        <v>1432.6314239999999</v>
      </c>
      <c r="AI380" s="156">
        <f t="shared" si="429"/>
        <v>716.31571199999996</v>
      </c>
      <c r="AJ380" s="156">
        <f t="shared" si="430"/>
        <v>1432.6314239999999</v>
      </c>
      <c r="AK380" s="156">
        <f t="shared" si="431"/>
        <v>1432.6314239999999</v>
      </c>
      <c r="AL380" s="156">
        <f t="shared" si="432"/>
        <v>5014.2099840000001</v>
      </c>
      <c r="AM380" s="157">
        <f t="shared" si="433"/>
        <v>22044.616036799995</v>
      </c>
      <c r="AN380" s="158">
        <f t="shared" si="434"/>
        <v>2200</v>
      </c>
      <c r="AO380" s="159">
        <v>0.2</v>
      </c>
      <c r="AP380" s="160">
        <f t="shared" si="435"/>
        <v>585733488.02532732</v>
      </c>
      <c r="AQ380" s="161">
        <f t="shared" si="436"/>
        <v>162703.75969000175</v>
      </c>
      <c r="AR380" s="162">
        <f t="shared" si="437"/>
        <v>32540.75193800035</v>
      </c>
      <c r="AS380" s="163">
        <f t="shared" si="438"/>
        <v>4.6433721372717391</v>
      </c>
      <c r="AT380" s="164">
        <f t="shared" si="439"/>
        <v>4.6433721372717391</v>
      </c>
      <c r="AU380" s="165"/>
      <c r="AV380" s="166"/>
      <c r="AW380" s="167"/>
      <c r="AX380" s="146"/>
      <c r="AY380" s="168"/>
    </row>
    <row r="381" spans="1:51" s="139" customFormat="1" ht="11.25" x14ac:dyDescent="0.25">
      <c r="A381" s="1"/>
      <c r="B381" s="140">
        <v>21</v>
      </c>
      <c r="C381" s="342" t="s">
        <v>409</v>
      </c>
      <c r="D381" s="142"/>
      <c r="E381" s="143"/>
      <c r="F381" s="143"/>
      <c r="G381" s="143"/>
      <c r="H381" s="143"/>
      <c r="I381" s="222"/>
      <c r="J381" s="222"/>
      <c r="K381" s="222"/>
      <c r="L381" s="222"/>
      <c r="M381" s="222"/>
      <c r="N381" s="222"/>
      <c r="O381" s="222">
        <v>912240</v>
      </c>
      <c r="P381" s="145"/>
      <c r="Q381" s="223">
        <f t="shared" si="440"/>
        <v>912240</v>
      </c>
      <c r="R381" s="147">
        <f>Q381*$R$9</f>
        <v>133187.03999999998</v>
      </c>
      <c r="S381" s="147">
        <f t="shared" si="422"/>
        <v>364.89599999999996</v>
      </c>
      <c r="T381" s="148">
        <f>S381*$T$5*$T$9</f>
        <v>93230.927999999985</v>
      </c>
      <c r="U381" s="199"/>
      <c r="V381" s="150"/>
      <c r="W381" s="151"/>
      <c r="X381" s="151"/>
      <c r="Y381" s="152"/>
      <c r="Z381" s="153"/>
      <c r="AA381" s="153"/>
      <c r="AB381" s="154"/>
      <c r="AC381" s="155">
        <f t="shared" si="423"/>
        <v>54073.938239999989</v>
      </c>
      <c r="AD381" s="156">
        <f t="shared" si="424"/>
        <v>12120.020639999999</v>
      </c>
      <c r="AE381" s="156">
        <f t="shared" si="425"/>
        <v>8181.013931999998</v>
      </c>
      <c r="AF381" s="156">
        <f t="shared" si="426"/>
        <v>3729.2371199999993</v>
      </c>
      <c r="AG381" s="156">
        <f t="shared" si="427"/>
        <v>1864.6185599999997</v>
      </c>
      <c r="AH381" s="156">
        <f t="shared" si="428"/>
        <v>1864.6185599999997</v>
      </c>
      <c r="AI381" s="156">
        <f t="shared" si="429"/>
        <v>932.30927999999983</v>
      </c>
      <c r="AJ381" s="156">
        <f t="shared" si="430"/>
        <v>1864.6185599999997</v>
      </c>
      <c r="AK381" s="156">
        <f t="shared" si="431"/>
        <v>1864.6185599999997</v>
      </c>
      <c r="AL381" s="156">
        <f t="shared" si="432"/>
        <v>6526.1649599999992</v>
      </c>
      <c r="AM381" s="157">
        <f t="shared" si="433"/>
        <v>28691.818091999994</v>
      </c>
      <c r="AN381" s="158">
        <f t="shared" si="434"/>
        <v>2200</v>
      </c>
      <c r="AO381" s="159">
        <v>0.2</v>
      </c>
      <c r="AP381" s="160">
        <f t="shared" si="435"/>
        <v>762352070.94379866</v>
      </c>
      <c r="AQ381" s="161">
        <f t="shared" si="436"/>
        <v>211764.48109221231</v>
      </c>
      <c r="AR381" s="162">
        <f t="shared" si="437"/>
        <v>42352.896218442467</v>
      </c>
      <c r="AS381" s="163">
        <f t="shared" si="438"/>
        <v>6.0435068804855119</v>
      </c>
      <c r="AT381" s="164">
        <f t="shared" si="439"/>
        <v>6.0435068804855119</v>
      </c>
      <c r="AU381" s="165"/>
      <c r="AV381" s="166"/>
      <c r="AW381" s="167"/>
      <c r="AX381" s="146"/>
      <c r="AY381" s="168"/>
    </row>
    <row r="382" spans="1:51" s="139" customFormat="1" ht="11.25" x14ac:dyDescent="0.25">
      <c r="A382" s="1"/>
      <c r="B382" s="140">
        <v>22</v>
      </c>
      <c r="C382" s="343" t="s">
        <v>410</v>
      </c>
      <c r="D382" s="142"/>
      <c r="E382" s="143"/>
      <c r="F382" s="143"/>
      <c r="G382" s="143"/>
      <c r="H382" s="143"/>
      <c r="I382" s="222"/>
      <c r="J382" s="222"/>
      <c r="K382" s="222"/>
      <c r="L382" s="222"/>
      <c r="M382" s="222"/>
      <c r="N382" s="222"/>
      <c r="O382" s="222">
        <v>1415853</v>
      </c>
      <c r="P382" s="145"/>
      <c r="Q382" s="223">
        <f t="shared" si="440"/>
        <v>1415853</v>
      </c>
      <c r="R382" s="147">
        <f>Q382*$R$8</f>
        <v>232199.89200000002</v>
      </c>
      <c r="S382" s="147">
        <f t="shared" si="422"/>
        <v>636.16408767123289</v>
      </c>
      <c r="T382" s="148">
        <f>S382*$T$5*$T$8</f>
        <v>185759.9136</v>
      </c>
      <c r="U382" s="199"/>
      <c r="V382" s="150"/>
      <c r="W382" s="151"/>
      <c r="X382" s="151"/>
      <c r="Y382" s="152"/>
      <c r="Z382" s="153"/>
      <c r="AA382" s="153"/>
      <c r="AB382" s="154"/>
      <c r="AC382" s="155">
        <f t="shared" si="423"/>
        <v>107740.74988799999</v>
      </c>
      <c r="AD382" s="156">
        <f t="shared" si="424"/>
        <v>24148.788768000002</v>
      </c>
      <c r="AE382" s="156">
        <f t="shared" si="425"/>
        <v>16300.4324184</v>
      </c>
      <c r="AF382" s="156">
        <f t="shared" si="426"/>
        <v>7430.3965440000002</v>
      </c>
      <c r="AG382" s="156">
        <f t="shared" si="427"/>
        <v>3715.1982720000001</v>
      </c>
      <c r="AH382" s="156">
        <f t="shared" si="428"/>
        <v>3715.1982720000001</v>
      </c>
      <c r="AI382" s="156">
        <f t="shared" si="429"/>
        <v>1857.599136</v>
      </c>
      <c r="AJ382" s="156">
        <f t="shared" si="430"/>
        <v>3715.1982720000001</v>
      </c>
      <c r="AK382" s="156">
        <f t="shared" si="431"/>
        <v>3715.1982720000001</v>
      </c>
      <c r="AL382" s="156">
        <f t="shared" si="432"/>
        <v>13003.193952000001</v>
      </c>
      <c r="AM382" s="157">
        <f t="shared" si="433"/>
        <v>57167.613410400001</v>
      </c>
      <c r="AN382" s="158">
        <f t="shared" si="434"/>
        <v>2200</v>
      </c>
      <c r="AO382" s="159">
        <v>0.2</v>
      </c>
      <c r="AP382" s="160">
        <f t="shared" si="435"/>
        <v>1518964338.0070302</v>
      </c>
      <c r="AQ382" s="161">
        <f t="shared" si="436"/>
        <v>421934.57209004922</v>
      </c>
      <c r="AR382" s="162">
        <f t="shared" si="437"/>
        <v>84386.914418009852</v>
      </c>
      <c r="AS382" s="163">
        <f t="shared" si="438"/>
        <v>12.041511760560766</v>
      </c>
      <c r="AT382" s="164">
        <f t="shared" si="439"/>
        <v>12.041511760560766</v>
      </c>
      <c r="AU382" s="165"/>
      <c r="AV382" s="166"/>
      <c r="AW382" s="167"/>
      <c r="AX382" s="146"/>
      <c r="AY382" s="168"/>
    </row>
    <row r="383" spans="1:51" s="139" customFormat="1" ht="11.25" x14ac:dyDescent="0.25">
      <c r="A383" s="1"/>
      <c r="B383" s="140">
        <v>23</v>
      </c>
      <c r="C383" s="343" t="s">
        <v>411</v>
      </c>
      <c r="D383" s="142"/>
      <c r="E383" s="143"/>
      <c r="F383" s="143"/>
      <c r="G383" s="143"/>
      <c r="H383" s="143"/>
      <c r="I383" s="222"/>
      <c r="J383" s="222"/>
      <c r="K383" s="222"/>
      <c r="L383" s="222"/>
      <c r="M383" s="222"/>
      <c r="N383" s="222"/>
      <c r="O383" s="222">
        <v>1239144</v>
      </c>
      <c r="P383" s="145"/>
      <c r="Q383" s="223">
        <f t="shared" si="440"/>
        <v>1239144</v>
      </c>
      <c r="R383" s="147">
        <f>Q383*$R$8</f>
        <v>203219.61600000001</v>
      </c>
      <c r="S383" s="147">
        <f t="shared" si="422"/>
        <v>556.7660712328767</v>
      </c>
      <c r="T383" s="148">
        <f>S383*$T$5*$T$8</f>
        <v>162575.69280000002</v>
      </c>
      <c r="U383" s="199"/>
      <c r="V383" s="150"/>
      <c r="W383" s="151"/>
      <c r="X383" s="151"/>
      <c r="Y383" s="152"/>
      <c r="Z383" s="153"/>
      <c r="AA383" s="153"/>
      <c r="AB383" s="154"/>
      <c r="AC383" s="155">
        <f t="shared" si="423"/>
        <v>94293.901824</v>
      </c>
      <c r="AD383" s="156">
        <f t="shared" si="424"/>
        <v>21134.840064000004</v>
      </c>
      <c r="AE383" s="156">
        <f t="shared" si="425"/>
        <v>14266.017043200001</v>
      </c>
      <c r="AF383" s="156">
        <f t="shared" si="426"/>
        <v>6503.027712000001</v>
      </c>
      <c r="AG383" s="156">
        <f t="shared" si="427"/>
        <v>3251.5138560000005</v>
      </c>
      <c r="AH383" s="156">
        <f t="shared" si="428"/>
        <v>3251.5138560000005</v>
      </c>
      <c r="AI383" s="156">
        <f t="shared" si="429"/>
        <v>1625.7569280000002</v>
      </c>
      <c r="AJ383" s="156">
        <f t="shared" si="430"/>
        <v>3251.5138560000005</v>
      </c>
      <c r="AK383" s="156">
        <f t="shared" si="431"/>
        <v>3251.5138560000005</v>
      </c>
      <c r="AL383" s="156">
        <f t="shared" si="432"/>
        <v>11380.298496000003</v>
      </c>
      <c r="AM383" s="157">
        <f t="shared" si="433"/>
        <v>50032.669459200006</v>
      </c>
      <c r="AN383" s="158">
        <f t="shared" si="434"/>
        <v>2200</v>
      </c>
      <c r="AO383" s="159">
        <v>0.2</v>
      </c>
      <c r="AP383" s="160">
        <f t="shared" si="435"/>
        <v>1329386275.0267038</v>
      </c>
      <c r="AQ383" s="161">
        <f t="shared" si="436"/>
        <v>369273.99482711271</v>
      </c>
      <c r="AR383" s="162">
        <f t="shared" si="437"/>
        <v>73854.798965422538</v>
      </c>
      <c r="AS383" s="163">
        <f t="shared" si="438"/>
        <v>10.538641404883354</v>
      </c>
      <c r="AT383" s="164">
        <f t="shared" si="439"/>
        <v>10.538641404883354</v>
      </c>
      <c r="AU383" s="165"/>
      <c r="AV383" s="166"/>
      <c r="AW383" s="167"/>
      <c r="AX383" s="146"/>
      <c r="AY383" s="168"/>
    </row>
    <row r="384" spans="1:51" s="139" customFormat="1" ht="11.25" x14ac:dyDescent="0.25">
      <c r="A384" s="1"/>
      <c r="B384" s="140">
        <v>24</v>
      </c>
      <c r="C384" s="343" t="s">
        <v>412</v>
      </c>
      <c r="D384" s="142"/>
      <c r="E384" s="143"/>
      <c r="F384" s="143"/>
      <c r="G384" s="143"/>
      <c r="H384" s="143"/>
      <c r="I384" s="222"/>
      <c r="J384" s="222"/>
      <c r="K384" s="222"/>
      <c r="L384" s="222"/>
      <c r="M384" s="222"/>
      <c r="N384" s="222"/>
      <c r="O384" s="222">
        <v>1506878</v>
      </c>
      <c r="P384" s="145"/>
      <c r="Q384" s="223">
        <f t="shared" si="440"/>
        <v>1506878</v>
      </c>
      <c r="R384" s="147">
        <f>Q384*$R$7</f>
        <v>357130.08600000001</v>
      </c>
      <c r="S384" s="147">
        <f t="shared" si="422"/>
        <v>978.43859178082198</v>
      </c>
      <c r="T384" s="148">
        <f>S384*$T$5*$T$7</f>
        <v>321417.07740000001</v>
      </c>
      <c r="U384" s="199"/>
      <c r="V384" s="150"/>
      <c r="W384" s="151"/>
      <c r="X384" s="151"/>
      <c r="Y384" s="152"/>
      <c r="Z384" s="153"/>
      <c r="AA384" s="153"/>
      <c r="AB384" s="154"/>
      <c r="AC384" s="155">
        <f t="shared" si="423"/>
        <v>186421.90489199999</v>
      </c>
      <c r="AD384" s="156">
        <f t="shared" si="424"/>
        <v>41784.220062</v>
      </c>
      <c r="AE384" s="156">
        <f t="shared" si="425"/>
        <v>28204.348541849999</v>
      </c>
      <c r="AF384" s="156">
        <f t="shared" si="426"/>
        <v>12856.683096000001</v>
      </c>
      <c r="AG384" s="156">
        <f t="shared" si="427"/>
        <v>6428.3415480000003</v>
      </c>
      <c r="AH384" s="156">
        <f t="shared" si="428"/>
        <v>6428.3415480000003</v>
      </c>
      <c r="AI384" s="156">
        <f t="shared" si="429"/>
        <v>3214.1707740000002</v>
      </c>
      <c r="AJ384" s="156">
        <f t="shared" si="430"/>
        <v>6428.3415480000003</v>
      </c>
      <c r="AK384" s="156">
        <f t="shared" si="431"/>
        <v>6428.3415480000003</v>
      </c>
      <c r="AL384" s="156">
        <f t="shared" si="432"/>
        <v>22499.195418000003</v>
      </c>
      <c r="AM384" s="157">
        <f t="shared" si="433"/>
        <v>98916.105569849984</v>
      </c>
      <c r="AN384" s="158">
        <f t="shared" si="434"/>
        <v>2200</v>
      </c>
      <c r="AO384" s="159">
        <v>0.2</v>
      </c>
      <c r="AP384" s="160">
        <f t="shared" si="435"/>
        <v>2628237000.8436813</v>
      </c>
      <c r="AQ384" s="161">
        <f t="shared" si="436"/>
        <v>730065.8919729559</v>
      </c>
      <c r="AR384" s="162">
        <f t="shared" si="437"/>
        <v>146013.17839459117</v>
      </c>
      <c r="AS384" s="163">
        <f t="shared" si="438"/>
        <v>20.835213812013581</v>
      </c>
      <c r="AT384" s="164">
        <f t="shared" si="439"/>
        <v>20.835213812013581</v>
      </c>
      <c r="AU384" s="165"/>
      <c r="AV384" s="166"/>
      <c r="AW384" s="167"/>
      <c r="AX384" s="146"/>
      <c r="AY384" s="168"/>
    </row>
    <row r="385" spans="1:51" s="139" customFormat="1" ht="11.25" x14ac:dyDescent="0.25">
      <c r="A385" s="1"/>
      <c r="B385" s="140">
        <v>25</v>
      </c>
      <c r="C385" s="343" t="s">
        <v>413</v>
      </c>
      <c r="D385" s="142"/>
      <c r="E385" s="143"/>
      <c r="F385" s="143"/>
      <c r="G385" s="143"/>
      <c r="H385" s="143"/>
      <c r="I385" s="222"/>
      <c r="J385" s="222"/>
      <c r="K385" s="222"/>
      <c r="L385" s="222"/>
      <c r="M385" s="222"/>
      <c r="N385" s="222"/>
      <c r="O385" s="222">
        <v>1249333</v>
      </c>
      <c r="P385" s="145"/>
      <c r="Q385" s="223">
        <f t="shared" si="440"/>
        <v>1249333</v>
      </c>
      <c r="R385" s="147">
        <f>Q385*$R$8</f>
        <v>204890.61200000002</v>
      </c>
      <c r="S385" s="147">
        <f t="shared" si="422"/>
        <v>561.34414246575352</v>
      </c>
      <c r="T385" s="148">
        <f>S385*$T$5*$T$8</f>
        <v>163912.48960000003</v>
      </c>
      <c r="U385" s="199"/>
      <c r="V385" s="150"/>
      <c r="W385" s="151"/>
      <c r="X385" s="151"/>
      <c r="Y385" s="152"/>
      <c r="Z385" s="153"/>
      <c r="AA385" s="153"/>
      <c r="AB385" s="154"/>
      <c r="AC385" s="155">
        <f t="shared" si="423"/>
        <v>95069.24396800001</v>
      </c>
      <c r="AD385" s="156">
        <f t="shared" si="424"/>
        <v>21308.623648000004</v>
      </c>
      <c r="AE385" s="156">
        <f t="shared" si="425"/>
        <v>14383.320962400001</v>
      </c>
      <c r="AF385" s="156">
        <f t="shared" si="426"/>
        <v>6556.4995840000011</v>
      </c>
      <c r="AG385" s="156">
        <f t="shared" si="427"/>
        <v>3278.2497920000005</v>
      </c>
      <c r="AH385" s="156">
        <f t="shared" si="428"/>
        <v>3278.2497920000005</v>
      </c>
      <c r="AI385" s="156">
        <f t="shared" si="429"/>
        <v>1639.1248960000003</v>
      </c>
      <c r="AJ385" s="156">
        <f t="shared" si="430"/>
        <v>3278.2497920000005</v>
      </c>
      <c r="AK385" s="156">
        <f t="shared" si="431"/>
        <v>3278.2497920000005</v>
      </c>
      <c r="AL385" s="156">
        <f t="shared" si="432"/>
        <v>11473.874272000003</v>
      </c>
      <c r="AM385" s="157">
        <f t="shared" si="433"/>
        <v>50444.06867440002</v>
      </c>
      <c r="AN385" s="158">
        <f t="shared" si="434"/>
        <v>2200</v>
      </c>
      <c r="AO385" s="159">
        <v>0.2</v>
      </c>
      <c r="AP385" s="160">
        <f t="shared" si="435"/>
        <v>1340317302.2166412</v>
      </c>
      <c r="AQ385" s="161">
        <f t="shared" si="436"/>
        <v>372310.39151167369</v>
      </c>
      <c r="AR385" s="162">
        <f t="shared" si="437"/>
        <v>74462.078302334747</v>
      </c>
      <c r="AS385" s="163">
        <f t="shared" si="438"/>
        <v>10.625296561406214</v>
      </c>
      <c r="AT385" s="164">
        <f t="shared" si="439"/>
        <v>10.625296561406214</v>
      </c>
      <c r="AU385" s="165"/>
      <c r="AV385" s="166"/>
      <c r="AW385" s="167"/>
      <c r="AX385" s="146"/>
      <c r="AY385" s="168"/>
    </row>
    <row r="386" spans="1:51" s="139" customFormat="1" ht="11.25" x14ac:dyDescent="0.25">
      <c r="A386" s="1"/>
      <c r="B386" s="140">
        <v>26</v>
      </c>
      <c r="C386" s="342" t="s">
        <v>414</v>
      </c>
      <c r="D386" s="142"/>
      <c r="E386" s="143"/>
      <c r="F386" s="143"/>
      <c r="G386" s="143"/>
      <c r="H386" s="143"/>
      <c r="I386" s="222"/>
      <c r="J386" s="222"/>
      <c r="K386" s="222"/>
      <c r="L386" s="222"/>
      <c r="M386" s="222"/>
      <c r="N386" s="222"/>
      <c r="O386" s="222">
        <v>301241</v>
      </c>
      <c r="P386" s="145"/>
      <c r="Q386" s="223">
        <f t="shared" si="440"/>
        <v>301241</v>
      </c>
      <c r="R386" s="147">
        <f>Q386*$R$10</f>
        <v>33136.51</v>
      </c>
      <c r="S386" s="147">
        <f t="shared" si="422"/>
        <v>90.784958904109601</v>
      </c>
      <c r="T386" s="148">
        <f>S386*$T$5*$T$10</f>
        <v>19881.905999999999</v>
      </c>
      <c r="U386" s="199"/>
      <c r="V386" s="150"/>
      <c r="W386" s="151"/>
      <c r="X386" s="151"/>
      <c r="Y386" s="152"/>
      <c r="Z386" s="153"/>
      <c r="AA386" s="153"/>
      <c r="AB386" s="154"/>
      <c r="AC386" s="155">
        <f t="shared" si="423"/>
        <v>11531.505479999998</v>
      </c>
      <c r="AD386" s="156">
        <f t="shared" si="424"/>
        <v>2584.6477799999998</v>
      </c>
      <c r="AE386" s="156">
        <f t="shared" si="425"/>
        <v>1744.6372514999998</v>
      </c>
      <c r="AF386" s="156">
        <f t="shared" si="426"/>
        <v>795.27624000000003</v>
      </c>
      <c r="AG386" s="156">
        <f t="shared" si="427"/>
        <v>397.63812000000001</v>
      </c>
      <c r="AH386" s="156">
        <f t="shared" si="428"/>
        <v>397.63812000000001</v>
      </c>
      <c r="AI386" s="156">
        <f t="shared" si="429"/>
        <v>198.81906000000001</v>
      </c>
      <c r="AJ386" s="156">
        <f t="shared" si="430"/>
        <v>397.63812000000001</v>
      </c>
      <c r="AK386" s="156">
        <f t="shared" si="431"/>
        <v>397.63812000000001</v>
      </c>
      <c r="AL386" s="156">
        <f t="shared" si="432"/>
        <v>1391.73342</v>
      </c>
      <c r="AM386" s="157">
        <f t="shared" si="433"/>
        <v>6118.6565714999988</v>
      </c>
      <c r="AN386" s="158">
        <f t="shared" si="434"/>
        <v>2200</v>
      </c>
      <c r="AO386" s="159">
        <v>0.2</v>
      </c>
      <c r="AP386" s="160">
        <f t="shared" si="435"/>
        <v>162574936.6498844</v>
      </c>
      <c r="AQ386" s="161">
        <f t="shared" si="436"/>
        <v>45159.708237744257</v>
      </c>
      <c r="AR386" s="162">
        <f t="shared" si="437"/>
        <v>9031.9416475488524</v>
      </c>
      <c r="AS386" s="163">
        <f t="shared" si="438"/>
        <v>1.2888044588397336</v>
      </c>
      <c r="AT386" s="164">
        <f t="shared" si="439"/>
        <v>1.2888044588397336</v>
      </c>
      <c r="AU386" s="165"/>
      <c r="AV386" s="166"/>
      <c r="AW386" s="167"/>
      <c r="AX386" s="146"/>
      <c r="AY386" s="168"/>
    </row>
    <row r="387" spans="1:51" s="139" customFormat="1" ht="11.25" x14ac:dyDescent="0.25">
      <c r="A387" s="1"/>
      <c r="B387" s="140">
        <v>27</v>
      </c>
      <c r="C387" s="342" t="s">
        <v>415</v>
      </c>
      <c r="D387" s="142"/>
      <c r="E387" s="143"/>
      <c r="F387" s="143"/>
      <c r="G387" s="143"/>
      <c r="H387" s="143"/>
      <c r="I387" s="222"/>
      <c r="J387" s="222"/>
      <c r="K387" s="222"/>
      <c r="L387" s="222"/>
      <c r="M387" s="222"/>
      <c r="N387" s="222"/>
      <c r="O387" s="222">
        <v>145306</v>
      </c>
      <c r="P387" s="145"/>
      <c r="Q387" s="223">
        <f t="shared" si="440"/>
        <v>145306</v>
      </c>
      <c r="R387" s="147">
        <f>Q387*$R$10</f>
        <v>15983.66</v>
      </c>
      <c r="S387" s="147">
        <f t="shared" si="422"/>
        <v>43.790849315068492</v>
      </c>
      <c r="T387" s="148">
        <f>S387*$T$5*$T$10</f>
        <v>9590.1959999999999</v>
      </c>
      <c r="U387" s="199"/>
      <c r="V387" s="150"/>
      <c r="W387" s="151"/>
      <c r="X387" s="151"/>
      <c r="Y387" s="152"/>
      <c r="Z387" s="153"/>
      <c r="AA387" s="153"/>
      <c r="AB387" s="154"/>
      <c r="AC387" s="155">
        <f t="shared" si="423"/>
        <v>5562.3136799999993</v>
      </c>
      <c r="AD387" s="156">
        <f t="shared" si="424"/>
        <v>1246.7254800000001</v>
      </c>
      <c r="AE387" s="156">
        <f t="shared" si="425"/>
        <v>841.53969899999993</v>
      </c>
      <c r="AF387" s="156">
        <f t="shared" si="426"/>
        <v>383.60784000000001</v>
      </c>
      <c r="AG387" s="156">
        <f t="shared" si="427"/>
        <v>191.80392000000001</v>
      </c>
      <c r="AH387" s="156">
        <f t="shared" si="428"/>
        <v>191.80392000000001</v>
      </c>
      <c r="AI387" s="156">
        <f t="shared" si="429"/>
        <v>95.901960000000003</v>
      </c>
      <c r="AJ387" s="156">
        <f t="shared" si="430"/>
        <v>191.80392000000001</v>
      </c>
      <c r="AK387" s="156">
        <f t="shared" si="431"/>
        <v>191.80392000000001</v>
      </c>
      <c r="AL387" s="156">
        <f t="shared" si="432"/>
        <v>671.3137200000001</v>
      </c>
      <c r="AM387" s="157">
        <f t="shared" si="433"/>
        <v>2951.3828189999999</v>
      </c>
      <c r="AN387" s="158">
        <f t="shared" si="434"/>
        <v>2200</v>
      </c>
      <c r="AO387" s="159">
        <v>0.2</v>
      </c>
      <c r="AP387" s="160">
        <f t="shared" si="435"/>
        <v>78419317.904429033</v>
      </c>
      <c r="AQ387" s="161">
        <f t="shared" si="436"/>
        <v>21783.145604992907</v>
      </c>
      <c r="AR387" s="162">
        <f t="shared" si="437"/>
        <v>4356.629120998582</v>
      </c>
      <c r="AS387" s="163">
        <f t="shared" si="438"/>
        <v>0.62166511429774285</v>
      </c>
      <c r="AT387" s="164">
        <f t="shared" si="439"/>
        <v>0.62166511429774285</v>
      </c>
      <c r="AU387" s="165"/>
      <c r="AV387" s="166"/>
      <c r="AW387" s="167"/>
      <c r="AX387" s="146"/>
      <c r="AY387" s="168"/>
    </row>
    <row r="388" spans="1:51" s="139" customFormat="1" ht="11.25" x14ac:dyDescent="0.25">
      <c r="A388" s="1"/>
      <c r="B388" s="140">
        <v>28</v>
      </c>
      <c r="C388" s="343" t="s">
        <v>416</v>
      </c>
      <c r="D388" s="142"/>
      <c r="E388" s="143"/>
      <c r="F388" s="143"/>
      <c r="G388" s="143"/>
      <c r="H388" s="143"/>
      <c r="I388" s="222"/>
      <c r="J388" s="222"/>
      <c r="K388" s="222"/>
      <c r="L388" s="222"/>
      <c r="M388" s="222"/>
      <c r="N388" s="222"/>
      <c r="O388" s="222">
        <v>893883</v>
      </c>
      <c r="P388" s="145"/>
      <c r="Q388" s="223">
        <f t="shared" si="440"/>
        <v>893883</v>
      </c>
      <c r="R388" s="147">
        <f>Q388*$R$9</f>
        <v>130506.91799999999</v>
      </c>
      <c r="S388" s="147">
        <f t="shared" si="422"/>
        <v>357.55319999999995</v>
      </c>
      <c r="T388" s="148">
        <f>S388*$T$5*$T$9</f>
        <v>91354.842599999974</v>
      </c>
      <c r="U388" s="199"/>
      <c r="V388" s="150"/>
      <c r="W388" s="151"/>
      <c r="X388" s="151"/>
      <c r="Y388" s="152"/>
      <c r="Z388" s="153"/>
      <c r="AA388" s="153"/>
      <c r="AB388" s="154"/>
      <c r="AC388" s="155">
        <f t="shared" si="423"/>
        <v>52985.808707999982</v>
      </c>
      <c r="AD388" s="156">
        <f t="shared" si="424"/>
        <v>11876.129537999997</v>
      </c>
      <c r="AE388" s="156">
        <f t="shared" si="425"/>
        <v>8016.3874381499973</v>
      </c>
      <c r="AF388" s="156">
        <f t="shared" si="426"/>
        <v>3654.1937039999989</v>
      </c>
      <c r="AG388" s="156">
        <f t="shared" si="427"/>
        <v>1827.0968519999994</v>
      </c>
      <c r="AH388" s="156">
        <f t="shared" si="428"/>
        <v>1827.0968519999994</v>
      </c>
      <c r="AI388" s="156">
        <f t="shared" si="429"/>
        <v>913.54842599999972</v>
      </c>
      <c r="AJ388" s="156">
        <f t="shared" si="430"/>
        <v>1827.0968519999994</v>
      </c>
      <c r="AK388" s="156">
        <f t="shared" si="431"/>
        <v>1827.0968519999994</v>
      </c>
      <c r="AL388" s="156">
        <f t="shared" si="432"/>
        <v>6394.8389819999984</v>
      </c>
      <c r="AM388" s="157">
        <f t="shared" si="433"/>
        <v>28114.452810149989</v>
      </c>
      <c r="AN388" s="158">
        <f t="shared" si="434"/>
        <v>2200</v>
      </c>
      <c r="AO388" s="159">
        <v>0.2</v>
      </c>
      <c r="AP388" s="160">
        <f t="shared" si="435"/>
        <v>747011264.83321869</v>
      </c>
      <c r="AQ388" s="161">
        <f t="shared" si="436"/>
        <v>207503.14572058886</v>
      </c>
      <c r="AR388" s="162">
        <f t="shared" si="437"/>
        <v>41500.629144117775</v>
      </c>
      <c r="AS388" s="163">
        <f t="shared" si="438"/>
        <v>5.9218934280989979</v>
      </c>
      <c r="AT388" s="164">
        <f t="shared" si="439"/>
        <v>5.9218934280989979</v>
      </c>
      <c r="AU388" s="165"/>
      <c r="AV388" s="166"/>
      <c r="AW388" s="167"/>
      <c r="AX388" s="146"/>
      <c r="AY388" s="168"/>
    </row>
    <row r="389" spans="1:51" s="139" customFormat="1" ht="11.25" x14ac:dyDescent="0.25">
      <c r="A389" s="1"/>
      <c r="B389" s="140">
        <v>29</v>
      </c>
      <c r="C389" s="342" t="s">
        <v>417</v>
      </c>
      <c r="D389" s="235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>
        <v>217990</v>
      </c>
      <c r="P389" s="237"/>
      <c r="Q389" s="223">
        <f t="shared" si="440"/>
        <v>217990</v>
      </c>
      <c r="R389" s="147">
        <f>Q389*$R$10</f>
        <v>23978.9</v>
      </c>
      <c r="S389" s="147">
        <f t="shared" si="422"/>
        <v>65.695616438356168</v>
      </c>
      <c r="T389" s="148">
        <f>S389*$T$5*$T$10</f>
        <v>14387.34</v>
      </c>
      <c r="U389" s="199"/>
      <c r="V389" s="150"/>
      <c r="W389" s="151"/>
      <c r="X389" s="151"/>
      <c r="Y389" s="152"/>
      <c r="Z389" s="153"/>
      <c r="AA389" s="153"/>
      <c r="AB389" s="154"/>
      <c r="AC389" s="155">
        <f t="shared" si="423"/>
        <v>8344.6571999999996</v>
      </c>
      <c r="AD389" s="156">
        <f t="shared" si="424"/>
        <v>1870.3542</v>
      </c>
      <c r="AE389" s="156">
        <f t="shared" si="425"/>
        <v>1262.4890849999999</v>
      </c>
      <c r="AF389" s="156">
        <f t="shared" si="426"/>
        <v>575.49360000000001</v>
      </c>
      <c r="AG389" s="156">
        <f t="shared" si="427"/>
        <v>287.74680000000001</v>
      </c>
      <c r="AH389" s="156">
        <f t="shared" si="428"/>
        <v>287.74680000000001</v>
      </c>
      <c r="AI389" s="156">
        <f t="shared" si="429"/>
        <v>143.8734</v>
      </c>
      <c r="AJ389" s="156">
        <f t="shared" si="430"/>
        <v>287.74680000000001</v>
      </c>
      <c r="AK389" s="156">
        <f t="shared" si="431"/>
        <v>287.74680000000001</v>
      </c>
      <c r="AL389" s="156">
        <f t="shared" si="432"/>
        <v>1007.1138000000001</v>
      </c>
      <c r="AM389" s="157">
        <f t="shared" si="433"/>
        <v>4427.7038849999999</v>
      </c>
      <c r="AN389" s="158">
        <f t="shared" si="434"/>
        <v>2200</v>
      </c>
      <c r="AO389" s="159">
        <v>0.2</v>
      </c>
      <c r="AP389" s="160">
        <f t="shared" si="435"/>
        <v>117645707.0594916</v>
      </c>
      <c r="AQ389" s="161">
        <f t="shared" si="436"/>
        <v>32679.365686430046</v>
      </c>
      <c r="AR389" s="162">
        <f t="shared" si="437"/>
        <v>6535.8731372860093</v>
      </c>
      <c r="AS389" s="163">
        <f t="shared" si="438"/>
        <v>0.93263029927026386</v>
      </c>
      <c r="AT389" s="164">
        <f t="shared" si="439"/>
        <v>0.93263029927026386</v>
      </c>
      <c r="AU389" s="165"/>
      <c r="AV389" s="166"/>
      <c r="AW389" s="167"/>
      <c r="AX389" s="146"/>
      <c r="AY389" s="168"/>
    </row>
    <row r="390" spans="1:51" s="139" customFormat="1" ht="11.25" x14ac:dyDescent="0.25">
      <c r="A390" s="1"/>
      <c r="B390" s="140">
        <v>30</v>
      </c>
      <c r="C390" s="342" t="s">
        <v>418</v>
      </c>
      <c r="D390" s="235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>
        <v>201364</v>
      </c>
      <c r="P390" s="237"/>
      <c r="Q390" s="223">
        <f t="shared" si="440"/>
        <v>201364</v>
      </c>
      <c r="R390" s="147">
        <f>Q390*$R$10</f>
        <v>22150.04</v>
      </c>
      <c r="S390" s="147">
        <f t="shared" si="422"/>
        <v>60.685041095890412</v>
      </c>
      <c r="T390" s="148">
        <f>S390*$T$5*$T$10</f>
        <v>13290.023999999999</v>
      </c>
      <c r="U390" s="199"/>
      <c r="V390" s="150"/>
      <c r="W390" s="151"/>
      <c r="X390" s="151"/>
      <c r="Y390" s="152"/>
      <c r="Z390" s="153"/>
      <c r="AA390" s="153"/>
      <c r="AB390" s="154"/>
      <c r="AC390" s="155">
        <f t="shared" si="423"/>
        <v>7708.2139199999992</v>
      </c>
      <c r="AD390" s="156">
        <f t="shared" si="424"/>
        <v>1727.7031199999999</v>
      </c>
      <c r="AE390" s="156">
        <f t="shared" si="425"/>
        <v>1166.1996059999999</v>
      </c>
      <c r="AF390" s="156">
        <f t="shared" si="426"/>
        <v>531.60095999999999</v>
      </c>
      <c r="AG390" s="156">
        <f t="shared" si="427"/>
        <v>265.80047999999999</v>
      </c>
      <c r="AH390" s="156">
        <f t="shared" si="428"/>
        <v>265.80047999999999</v>
      </c>
      <c r="AI390" s="156">
        <f t="shared" si="429"/>
        <v>132.90024</v>
      </c>
      <c r="AJ390" s="156">
        <f t="shared" si="430"/>
        <v>265.80047999999999</v>
      </c>
      <c r="AK390" s="156">
        <f t="shared" si="431"/>
        <v>265.80047999999999</v>
      </c>
      <c r="AL390" s="156">
        <f t="shared" si="432"/>
        <v>930.30168000000003</v>
      </c>
      <c r="AM390" s="157">
        <f t="shared" si="433"/>
        <v>4090.0048859999997</v>
      </c>
      <c r="AN390" s="158">
        <f t="shared" si="434"/>
        <v>2200</v>
      </c>
      <c r="AO390" s="159">
        <v>0.2</v>
      </c>
      <c r="AP390" s="160">
        <f t="shared" si="435"/>
        <v>108672921.49331376</v>
      </c>
      <c r="AQ390" s="161">
        <f t="shared" si="436"/>
        <v>30186.92505198541</v>
      </c>
      <c r="AR390" s="162">
        <f t="shared" si="437"/>
        <v>6037.3850103970826</v>
      </c>
      <c r="AS390" s="163">
        <f t="shared" si="438"/>
        <v>0.86149900262515444</v>
      </c>
      <c r="AT390" s="164">
        <f t="shared" si="439"/>
        <v>0.86149900262515444</v>
      </c>
      <c r="AU390" s="165"/>
      <c r="AV390" s="166"/>
      <c r="AW390" s="167"/>
      <c r="AX390" s="146"/>
      <c r="AY390" s="168"/>
    </row>
    <row r="391" spans="1:51" s="139" customFormat="1" ht="11.25" x14ac:dyDescent="0.25">
      <c r="A391" s="1"/>
      <c r="B391" s="140">
        <v>31</v>
      </c>
      <c r="C391" s="342" t="s">
        <v>419</v>
      </c>
      <c r="D391" s="235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>
        <v>133900</v>
      </c>
      <c r="P391" s="237"/>
      <c r="Q391" s="223">
        <f t="shared" si="440"/>
        <v>133900</v>
      </c>
      <c r="R391" s="147">
        <f>Q391*$R$10</f>
        <v>14729</v>
      </c>
      <c r="S391" s="147">
        <f t="shared" si="422"/>
        <v>40.353424657534248</v>
      </c>
      <c r="T391" s="148">
        <f>S391*$T$5*$T$10</f>
        <v>8837.4</v>
      </c>
      <c r="U391" s="199"/>
      <c r="V391" s="150"/>
      <c r="W391" s="151"/>
      <c r="X391" s="151"/>
      <c r="Y391" s="152"/>
      <c r="Z391" s="153"/>
      <c r="AA391" s="153"/>
      <c r="AB391" s="154"/>
      <c r="AC391" s="155">
        <f t="shared" si="423"/>
        <v>5125.6919999999991</v>
      </c>
      <c r="AD391" s="156">
        <f t="shared" si="424"/>
        <v>1148.8620000000001</v>
      </c>
      <c r="AE391" s="156">
        <f t="shared" si="425"/>
        <v>775.48184999999989</v>
      </c>
      <c r="AF391" s="156">
        <f t="shared" si="426"/>
        <v>353.49599999999998</v>
      </c>
      <c r="AG391" s="156">
        <f t="shared" si="427"/>
        <v>176.74799999999999</v>
      </c>
      <c r="AH391" s="156">
        <f t="shared" si="428"/>
        <v>176.74799999999999</v>
      </c>
      <c r="AI391" s="156">
        <f t="shared" si="429"/>
        <v>88.373999999999995</v>
      </c>
      <c r="AJ391" s="156">
        <f t="shared" si="430"/>
        <v>176.74799999999999</v>
      </c>
      <c r="AK391" s="156">
        <f t="shared" si="431"/>
        <v>176.74799999999999</v>
      </c>
      <c r="AL391" s="156">
        <f t="shared" si="432"/>
        <v>618.61800000000005</v>
      </c>
      <c r="AM391" s="157">
        <f t="shared" si="433"/>
        <v>2719.7098499999997</v>
      </c>
      <c r="AN391" s="158">
        <f t="shared" si="434"/>
        <v>2200</v>
      </c>
      <c r="AO391" s="159">
        <v>0.2</v>
      </c>
      <c r="AP391" s="160">
        <f t="shared" si="435"/>
        <v>72263682.624275982</v>
      </c>
      <c r="AQ391" s="161">
        <f t="shared" si="436"/>
        <v>20073.246779269608</v>
      </c>
      <c r="AR391" s="162">
        <f t="shared" si="437"/>
        <v>4014.6493558539219</v>
      </c>
      <c r="AS391" s="163">
        <f t="shared" si="438"/>
        <v>0.57286663182847064</v>
      </c>
      <c r="AT391" s="233">
        <f t="shared" si="439"/>
        <v>0.57286663182847064</v>
      </c>
      <c r="AU391" s="187"/>
      <c r="AV391" s="166"/>
      <c r="AW391" s="167"/>
      <c r="AX391" s="146"/>
      <c r="AY391" s="168"/>
    </row>
    <row r="392" spans="1:51" s="139" customFormat="1" ht="11.25" x14ac:dyDescent="0.25">
      <c r="A392" s="1"/>
      <c r="B392" s="140">
        <v>32</v>
      </c>
      <c r="C392" s="342" t="s">
        <v>420</v>
      </c>
      <c r="D392" s="235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>
        <v>198981</v>
      </c>
      <c r="P392" s="237"/>
      <c r="Q392" s="223">
        <f t="shared" si="440"/>
        <v>198981</v>
      </c>
      <c r="R392" s="147">
        <f>Q392*$R$10</f>
        <v>21887.91</v>
      </c>
      <c r="S392" s="147">
        <f t="shared" si="422"/>
        <v>59.966876712328769</v>
      </c>
      <c r="T392" s="148">
        <f>S392*$T$5*$T$10</f>
        <v>13132.745999999999</v>
      </c>
      <c r="U392" s="199"/>
      <c r="V392" s="150"/>
      <c r="W392" s="151"/>
      <c r="X392" s="151"/>
      <c r="Y392" s="152"/>
      <c r="Z392" s="153"/>
      <c r="AA392" s="153"/>
      <c r="AB392" s="154"/>
      <c r="AC392" s="155">
        <f t="shared" si="423"/>
        <v>7616.9926799999994</v>
      </c>
      <c r="AD392" s="156">
        <f t="shared" si="424"/>
        <v>1707.2569799999999</v>
      </c>
      <c r="AE392" s="156">
        <f t="shared" si="425"/>
        <v>1152.3984614999999</v>
      </c>
      <c r="AF392" s="156">
        <f t="shared" si="426"/>
        <v>525.30984000000001</v>
      </c>
      <c r="AG392" s="156">
        <f t="shared" si="427"/>
        <v>262.65492</v>
      </c>
      <c r="AH392" s="156">
        <f t="shared" si="428"/>
        <v>262.65492</v>
      </c>
      <c r="AI392" s="156">
        <f t="shared" si="429"/>
        <v>131.32746</v>
      </c>
      <c r="AJ392" s="156">
        <f t="shared" si="430"/>
        <v>262.65492</v>
      </c>
      <c r="AK392" s="156">
        <f t="shared" si="431"/>
        <v>262.65492</v>
      </c>
      <c r="AL392" s="156">
        <f t="shared" si="432"/>
        <v>919.29222000000004</v>
      </c>
      <c r="AM392" s="157">
        <f t="shared" si="433"/>
        <v>4041.6025814999998</v>
      </c>
      <c r="AN392" s="158">
        <f t="shared" si="434"/>
        <v>2200</v>
      </c>
      <c r="AO392" s="159">
        <v>0.2</v>
      </c>
      <c r="AP392" s="160">
        <f t="shared" si="435"/>
        <v>107386854.60986602</v>
      </c>
      <c r="AQ392" s="161">
        <f t="shared" si="436"/>
        <v>29829.684222448443</v>
      </c>
      <c r="AR392" s="162">
        <f t="shared" si="437"/>
        <v>5965.9368444896891</v>
      </c>
      <c r="AS392" s="163">
        <f t="shared" si="438"/>
        <v>0.85130377347170216</v>
      </c>
      <c r="AT392" s="164">
        <f t="shared" si="439"/>
        <v>0.85130377347170216</v>
      </c>
      <c r="AU392" s="165"/>
      <c r="AV392" s="166"/>
      <c r="AW392" s="167"/>
      <c r="AX392" s="146"/>
      <c r="AY392" s="168"/>
    </row>
    <row r="393" spans="1:51" s="139" customFormat="1" ht="11.25" x14ac:dyDescent="0.25">
      <c r="A393" s="1"/>
      <c r="B393" s="140">
        <v>33</v>
      </c>
      <c r="C393" s="343" t="s">
        <v>421</v>
      </c>
      <c r="D393" s="235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>
        <v>2992487</v>
      </c>
      <c r="P393" s="237"/>
      <c r="Q393" s="223">
        <f t="shared" si="440"/>
        <v>2992487</v>
      </c>
      <c r="R393" s="147">
        <f>Q393*$R$7</f>
        <v>709219.41899999999</v>
      </c>
      <c r="S393" s="147">
        <f t="shared" si="422"/>
        <v>1943.066901369863</v>
      </c>
      <c r="T393" s="148">
        <f>S393*$T$5*$T$7</f>
        <v>638297.47710000002</v>
      </c>
      <c r="U393" s="199"/>
      <c r="V393" s="150"/>
      <c r="W393" s="151"/>
      <c r="X393" s="151"/>
      <c r="Y393" s="152"/>
      <c r="Z393" s="153"/>
      <c r="AA393" s="153"/>
      <c r="AB393" s="154"/>
      <c r="AC393" s="155">
        <f t="shared" si="423"/>
        <v>370212.53671799996</v>
      </c>
      <c r="AD393" s="156">
        <f t="shared" si="424"/>
        <v>82978.672023000006</v>
      </c>
      <c r="AE393" s="156">
        <f t="shared" si="425"/>
        <v>56010.603615524997</v>
      </c>
      <c r="AF393" s="156">
        <f t="shared" si="426"/>
        <v>25531.899084000001</v>
      </c>
      <c r="AG393" s="156">
        <f t="shared" si="427"/>
        <v>12765.949542</v>
      </c>
      <c r="AH393" s="156">
        <f t="shared" si="428"/>
        <v>12765.949542</v>
      </c>
      <c r="AI393" s="156">
        <f t="shared" si="429"/>
        <v>6382.9747710000001</v>
      </c>
      <c r="AJ393" s="156">
        <f t="shared" si="430"/>
        <v>12765.949542</v>
      </c>
      <c r="AK393" s="156">
        <f t="shared" si="431"/>
        <v>12765.949542</v>
      </c>
      <c r="AL393" s="156">
        <f t="shared" si="432"/>
        <v>44680.823397000007</v>
      </c>
      <c r="AM393" s="157">
        <f>SUM(AD393:AI393)</f>
        <v>196436.04857752498</v>
      </c>
      <c r="AN393" s="158">
        <f t="shared" si="434"/>
        <v>2200</v>
      </c>
      <c r="AO393" s="159">
        <v>0.2</v>
      </c>
      <c r="AP393" s="160">
        <f t="shared" si="435"/>
        <v>5219377453.2136679</v>
      </c>
      <c r="AQ393" s="161">
        <f t="shared" si="436"/>
        <v>1449827.1863232956</v>
      </c>
      <c r="AR393" s="162">
        <f t="shared" si="437"/>
        <v>289965.43726465915</v>
      </c>
      <c r="AS393" s="163">
        <f t="shared" si="438"/>
        <v>41.37634664164657</v>
      </c>
      <c r="AT393" s="164">
        <f t="shared" si="439"/>
        <v>41.37634664164657</v>
      </c>
      <c r="AU393" s="165"/>
      <c r="AV393" s="166"/>
      <c r="AW393" s="167"/>
      <c r="AX393" s="146"/>
      <c r="AY393" s="168"/>
    </row>
    <row r="394" spans="1:51" s="139" customFormat="1" ht="11.25" x14ac:dyDescent="0.25">
      <c r="A394" s="1"/>
      <c r="B394" s="140">
        <v>34</v>
      </c>
      <c r="C394" s="342" t="s">
        <v>422</v>
      </c>
      <c r="D394" s="235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>
        <v>206629</v>
      </c>
      <c r="P394" s="237"/>
      <c r="Q394" s="223">
        <f t="shared" si="440"/>
        <v>206629</v>
      </c>
      <c r="R394" s="147">
        <f>Q394*$R$10</f>
        <v>22729.19</v>
      </c>
      <c r="S394" s="147">
        <f t="shared" si="422"/>
        <v>62.271753424657533</v>
      </c>
      <c r="T394" s="148">
        <f>S394*$T$5*$T$10</f>
        <v>13637.513999999999</v>
      </c>
      <c r="U394" s="199"/>
      <c r="V394" s="150"/>
      <c r="W394" s="151"/>
      <c r="X394" s="151"/>
      <c r="Y394" s="152"/>
      <c r="Z394" s="153"/>
      <c r="AA394" s="153"/>
      <c r="AB394" s="154"/>
      <c r="AC394" s="155">
        <f t="shared" si="423"/>
        <v>7909.7581199999986</v>
      </c>
      <c r="AD394" s="156">
        <f t="shared" si="424"/>
        <v>1772.87682</v>
      </c>
      <c r="AE394" s="156">
        <f t="shared" si="425"/>
        <v>1196.6918534999998</v>
      </c>
      <c r="AF394" s="156">
        <f t="shared" si="426"/>
        <v>545.50055999999995</v>
      </c>
      <c r="AG394" s="156">
        <f t="shared" si="427"/>
        <v>272.75027999999998</v>
      </c>
      <c r="AH394" s="156">
        <f t="shared" si="428"/>
        <v>272.75027999999998</v>
      </c>
      <c r="AI394" s="156">
        <f t="shared" si="429"/>
        <v>136.37513999999999</v>
      </c>
      <c r="AJ394" s="156">
        <f t="shared" si="430"/>
        <v>272.75027999999998</v>
      </c>
      <c r="AK394" s="156">
        <f t="shared" si="431"/>
        <v>272.75027999999998</v>
      </c>
      <c r="AL394" s="156">
        <f t="shared" si="432"/>
        <v>954.62598000000003</v>
      </c>
      <c r="AM394" s="157">
        <f t="shared" si="433"/>
        <v>4196.9449334999999</v>
      </c>
      <c r="AN394" s="158">
        <f t="shared" si="434"/>
        <v>2200</v>
      </c>
      <c r="AO394" s="159">
        <v>0.2</v>
      </c>
      <c r="AP394" s="160">
        <f t="shared" si="435"/>
        <v>111514357.55766633</v>
      </c>
      <c r="AQ394" s="161">
        <f t="shared" si="436"/>
        <v>30976.212910781927</v>
      </c>
      <c r="AR394" s="162">
        <f t="shared" si="437"/>
        <v>6195.2425821563857</v>
      </c>
      <c r="AS394" s="163">
        <f t="shared" si="438"/>
        <v>0.88402434106112804</v>
      </c>
      <c r="AT394" s="164">
        <f t="shared" si="439"/>
        <v>0.88402434106112804</v>
      </c>
      <c r="AU394" s="165"/>
      <c r="AV394" s="166"/>
      <c r="AW394" s="167"/>
      <c r="AX394" s="167"/>
      <c r="AY394" s="168"/>
    </row>
    <row r="395" spans="1:51" s="190" customFormat="1" ht="16.7" customHeight="1" x14ac:dyDescent="0.25">
      <c r="A395" s="173"/>
      <c r="B395" s="120"/>
      <c r="C395" s="121" t="s">
        <v>423</v>
      </c>
      <c r="D395" s="240">
        <f>SUM(D361:D394)</f>
        <v>0</v>
      </c>
      <c r="E395" s="240">
        <f>SUM(E361:E394)</f>
        <v>0</v>
      </c>
      <c r="F395" s="240">
        <f>SUM(F361:F394)</f>
        <v>0</v>
      </c>
      <c r="G395" s="240">
        <f>SUM(G361:G394)</f>
        <v>0</v>
      </c>
      <c r="H395" s="240">
        <f>SUM(H361:H394)</f>
        <v>0</v>
      </c>
      <c r="I395" s="240">
        <v>35835204</v>
      </c>
      <c r="J395" s="240">
        <v>36914545</v>
      </c>
      <c r="K395" s="240">
        <v>37291102</v>
      </c>
      <c r="L395" s="240">
        <v>38412548</v>
      </c>
      <c r="M395" s="240">
        <v>38975046</v>
      </c>
      <c r="N395" s="240">
        <v>40054049</v>
      </c>
      <c r="O395" s="240">
        <f t="shared" ref="O395:U395" si="441">SUM(O361:O394)</f>
        <v>36908257</v>
      </c>
      <c r="P395" s="240">
        <f t="shared" si="441"/>
        <v>0</v>
      </c>
      <c r="Q395" s="240">
        <f t="shared" si="441"/>
        <v>36908257</v>
      </c>
      <c r="R395" s="240">
        <f t="shared" si="441"/>
        <v>6831933.3210000005</v>
      </c>
      <c r="S395" s="240">
        <f t="shared" si="441"/>
        <v>18717.625536986299</v>
      </c>
      <c r="T395" s="240">
        <f t="shared" si="441"/>
        <v>5658890.9263000013</v>
      </c>
      <c r="U395" s="199">
        <f t="shared" si="441"/>
        <v>0</v>
      </c>
      <c r="V395" s="241"/>
      <c r="W395" s="242">
        <f>SUM(W361:W394)</f>
        <v>0</v>
      </c>
      <c r="X395" s="242">
        <f>SUM(X361:X394)</f>
        <v>0</v>
      </c>
      <c r="Y395" s="242">
        <f>SUM(Y361:Y394)</f>
        <v>0</v>
      </c>
      <c r="Z395" s="199"/>
      <c r="AA395" s="199"/>
      <c r="AB395" s="243"/>
      <c r="AC395" s="240">
        <f t="shared" ref="AC395:AM395" si="442">SUM(AC361:AC394)</f>
        <v>3282156.7372539998</v>
      </c>
      <c r="AD395" s="244">
        <f t="shared" si="442"/>
        <v>735655.82041899976</v>
      </c>
      <c r="AE395" s="244">
        <f t="shared" si="442"/>
        <v>496567.67878282483</v>
      </c>
      <c r="AF395" s="244">
        <f t="shared" si="442"/>
        <v>226355.63705200006</v>
      </c>
      <c r="AG395" s="244">
        <f t="shared" si="442"/>
        <v>113177.81852600003</v>
      </c>
      <c r="AH395" s="244">
        <f t="shared" si="442"/>
        <v>113177.81852600003</v>
      </c>
      <c r="AI395" s="244">
        <f t="shared" si="442"/>
        <v>56588.909263000016</v>
      </c>
      <c r="AJ395" s="244">
        <f t="shared" si="442"/>
        <v>113177.81852600003</v>
      </c>
      <c r="AK395" s="244">
        <f t="shared" si="442"/>
        <v>113177.81852600003</v>
      </c>
      <c r="AL395" s="244">
        <f t="shared" si="442"/>
        <v>396122.36484100006</v>
      </c>
      <c r="AM395" s="245">
        <f t="shared" si="442"/>
        <v>1741523.6825688244</v>
      </c>
      <c r="AN395" s="158"/>
      <c r="AO395" s="183"/>
      <c r="AP395" s="184">
        <f>SUM(AP361:AP394)</f>
        <v>46272919399.771248</v>
      </c>
      <c r="AQ395" s="184">
        <f>SUM(AQ361:AQ394)</f>
        <v>12853589.750445774</v>
      </c>
      <c r="AR395" s="184">
        <f>SUM(AR361:AR394)</f>
        <v>2570717.9500891543</v>
      </c>
      <c r="AS395" s="185">
        <f>SUM(AS361:AS394)</f>
        <v>366.82619150815583</v>
      </c>
      <c r="AT395" s="186">
        <f>SUM(AT361:AT394)</f>
        <v>366.82619150815583</v>
      </c>
      <c r="AU395" s="187"/>
      <c r="AV395" s="246">
        <f>SUM(AV365:AV393)</f>
        <v>0</v>
      </c>
      <c r="AW395" s="246"/>
      <c r="AX395" s="185">
        <f>SUM(AX365:AX393)</f>
        <v>0</v>
      </c>
      <c r="AY395" s="189"/>
    </row>
    <row r="397" spans="1:51" s="139" customFormat="1" ht="15" customHeight="1" x14ac:dyDescent="0.25">
      <c r="A397" s="1"/>
      <c r="B397" s="120"/>
      <c r="C397" s="121" t="s">
        <v>424</v>
      </c>
      <c r="D397" s="122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213"/>
      <c r="Q397" s="76"/>
      <c r="R397" s="108"/>
      <c r="S397" s="108"/>
      <c r="T397" s="94"/>
      <c r="U397" s="199"/>
      <c r="V397" s="179"/>
      <c r="W397" s="180"/>
      <c r="X397" s="180"/>
      <c r="Y397" s="214"/>
      <c r="Z397" s="181"/>
      <c r="AA397" s="181"/>
      <c r="AB397" s="182"/>
      <c r="AC397" s="62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125"/>
      <c r="AN397" s="75"/>
      <c r="AO397" s="216"/>
      <c r="AP397" s="75"/>
      <c r="AQ397" s="51"/>
      <c r="AR397" s="217"/>
      <c r="AS397" s="218"/>
      <c r="AT397" s="219"/>
      <c r="AU397" s="220"/>
      <c r="AV397" s="135"/>
      <c r="AW397" s="136"/>
      <c r="AX397" s="137"/>
      <c r="AY397" s="138"/>
    </row>
    <row r="398" spans="1:51" s="139" customFormat="1" ht="11.25" x14ac:dyDescent="0.25">
      <c r="A398" s="1"/>
      <c r="B398" s="140">
        <v>35</v>
      </c>
      <c r="C398" s="335" t="s">
        <v>425</v>
      </c>
      <c r="D398" s="142"/>
      <c r="E398" s="143"/>
      <c r="F398" s="143"/>
      <c r="G398" s="143"/>
      <c r="H398" s="143"/>
      <c r="I398" s="222"/>
      <c r="J398" s="222"/>
      <c r="K398" s="222"/>
      <c r="L398" s="222"/>
      <c r="M398" s="222"/>
      <c r="N398" s="222"/>
      <c r="O398" s="222">
        <v>1190129</v>
      </c>
      <c r="P398" s="145"/>
      <c r="Q398" s="223">
        <f>O398</f>
        <v>1190129</v>
      </c>
      <c r="R398" s="147">
        <f>Q398*$R$8</f>
        <v>195181.15600000002</v>
      </c>
      <c r="S398" s="147">
        <f>R398/$S$5</f>
        <v>534.74289315068495</v>
      </c>
      <c r="T398" s="148">
        <f>S398*$T$5*$T$8</f>
        <v>156144.92480000001</v>
      </c>
      <c r="U398" s="199"/>
      <c r="V398" s="150"/>
      <c r="W398" s="151"/>
      <c r="X398" s="151"/>
      <c r="Y398" s="152"/>
      <c r="Z398" s="153"/>
      <c r="AA398" s="153"/>
      <c r="AB398" s="154"/>
      <c r="AC398" s="155">
        <f>T398*$AC$5</f>
        <v>90564.056383999996</v>
      </c>
      <c r="AD398" s="156">
        <f>T398*$AD$5</f>
        <v>20298.840224000003</v>
      </c>
      <c r="AE398" s="156">
        <f>T398*$AE$5</f>
        <v>13701.7171512</v>
      </c>
      <c r="AF398" s="156">
        <f>T398*$AF$5</f>
        <v>6245.7969920000005</v>
      </c>
      <c r="AG398" s="156">
        <f>T398*$AG$5</f>
        <v>3122.8984960000003</v>
      </c>
      <c r="AH398" s="156">
        <f>T398*$AH$5</f>
        <v>3122.8984960000003</v>
      </c>
      <c r="AI398" s="156">
        <f>T398*$AI$5</f>
        <v>1561.4492480000001</v>
      </c>
      <c r="AJ398" s="156">
        <f>T398*$AJ$5</f>
        <v>3122.8984960000003</v>
      </c>
      <c r="AK398" s="156">
        <f>T398*$AK$5</f>
        <v>3122.8984960000003</v>
      </c>
      <c r="AL398" s="156">
        <f>T398*$AL$5</f>
        <v>10930.144736000002</v>
      </c>
      <c r="AM398" s="157">
        <f>SUM(AD398:AI398)</f>
        <v>48053.600607200009</v>
      </c>
      <c r="AN398" s="158">
        <f>$AN$5</f>
        <v>2200</v>
      </c>
      <c r="AO398" s="159">
        <v>0.2</v>
      </c>
      <c r="AP398" s="160">
        <f>(AC398+AM398)*AN398*$AP$5</f>
        <v>1276801693.8396633</v>
      </c>
      <c r="AQ398" s="161">
        <f>AP398*$AQ$5</f>
        <v>354667.16555105522</v>
      </c>
      <c r="AR398" s="162">
        <f>AQ398*$AR$5</f>
        <v>70933.433110211045</v>
      </c>
      <c r="AS398" s="163">
        <f>AR398/$AS$5</f>
        <v>10.121779838785823</v>
      </c>
      <c r="AT398" s="164">
        <f>AS398</f>
        <v>10.121779838785823</v>
      </c>
      <c r="AU398" s="165"/>
      <c r="AV398" s="166"/>
      <c r="AW398" s="167"/>
      <c r="AX398" s="146"/>
      <c r="AY398" s="168"/>
    </row>
    <row r="399" spans="1:51" s="139" customFormat="1" ht="11.25" x14ac:dyDescent="0.25">
      <c r="A399" s="1"/>
      <c r="B399" s="140">
        <v>36</v>
      </c>
      <c r="C399" s="335" t="s">
        <v>426</v>
      </c>
      <c r="D399" s="142"/>
      <c r="E399" s="143"/>
      <c r="F399" s="143"/>
      <c r="G399" s="143"/>
      <c r="H399" s="143"/>
      <c r="I399" s="222"/>
      <c r="J399" s="222"/>
      <c r="K399" s="222"/>
      <c r="L399" s="222"/>
      <c r="M399" s="222"/>
      <c r="N399" s="222"/>
      <c r="O399" s="222">
        <v>871038</v>
      </c>
      <c r="P399" s="145"/>
      <c r="Q399" s="223">
        <f>O399</f>
        <v>871038</v>
      </c>
      <c r="R399" s="147">
        <f>Q399*$R$9</f>
        <v>127171.548</v>
      </c>
      <c r="S399" s="147">
        <f>R399/$S$5</f>
        <v>348.41519999999997</v>
      </c>
      <c r="T399" s="148">
        <f>S399*$T$5*$T$9</f>
        <v>89020.083599999998</v>
      </c>
      <c r="U399" s="199"/>
      <c r="V399" s="150"/>
      <c r="W399" s="151"/>
      <c r="X399" s="151"/>
      <c r="Y399" s="152"/>
      <c r="Z399" s="153"/>
      <c r="AA399" s="153"/>
      <c r="AB399" s="154"/>
      <c r="AC399" s="155">
        <f>T399*$AC$5</f>
        <v>51631.648487999999</v>
      </c>
      <c r="AD399" s="156">
        <f>T399*$AD$5</f>
        <v>11572.610868</v>
      </c>
      <c r="AE399" s="156">
        <f>T399*$AE$5</f>
        <v>7811.512335899999</v>
      </c>
      <c r="AF399" s="156">
        <f>T399*$AF$5</f>
        <v>3560.8033439999999</v>
      </c>
      <c r="AG399" s="156">
        <f>T399*$AG$5</f>
        <v>1780.401672</v>
      </c>
      <c r="AH399" s="156">
        <f>T399*$AH$5</f>
        <v>1780.401672</v>
      </c>
      <c r="AI399" s="156">
        <f>T399*$AI$5</f>
        <v>890.20083599999998</v>
      </c>
      <c r="AJ399" s="156">
        <f>T399*$AJ$5</f>
        <v>1780.401672</v>
      </c>
      <c r="AK399" s="156">
        <f>T399*$AK$5</f>
        <v>1780.401672</v>
      </c>
      <c r="AL399" s="156">
        <f>T399*$AL$5</f>
        <v>6231.4058520000008</v>
      </c>
      <c r="AM399" s="157">
        <f>SUM(AD399:AI399)</f>
        <v>27395.930727899999</v>
      </c>
      <c r="AN399" s="158">
        <f>$AN$5</f>
        <v>2200</v>
      </c>
      <c r="AO399" s="159">
        <v>0.2</v>
      </c>
      <c r="AP399" s="160">
        <f>(AC399+AM399)*AN399*$AP$5</f>
        <v>727919871.05448627</v>
      </c>
      <c r="AQ399" s="161">
        <f>AP399*$AQ$5</f>
        <v>202199.98035779886</v>
      </c>
      <c r="AR399" s="162">
        <f>AQ399*$AR$5</f>
        <v>40439.996071559777</v>
      </c>
      <c r="AS399" s="163">
        <f>AR399/$AS$5</f>
        <v>5.7705473846403788</v>
      </c>
      <c r="AT399" s="164">
        <f>AS399</f>
        <v>5.7705473846403788</v>
      </c>
      <c r="AU399" s="165"/>
      <c r="AV399" s="166"/>
      <c r="AW399" s="167"/>
      <c r="AX399" s="146"/>
      <c r="AY399" s="168"/>
    </row>
    <row r="400" spans="1:51" s="139" customFormat="1" ht="11.25" x14ac:dyDescent="0.25">
      <c r="A400" s="1"/>
      <c r="B400" s="140">
        <v>37</v>
      </c>
      <c r="C400" s="335" t="s">
        <v>427</v>
      </c>
      <c r="D400" s="142"/>
      <c r="E400" s="143"/>
      <c r="F400" s="143"/>
      <c r="G400" s="143"/>
      <c r="H400" s="143"/>
      <c r="I400" s="222"/>
      <c r="J400" s="222"/>
      <c r="K400" s="222"/>
      <c r="L400" s="222"/>
      <c r="M400" s="222"/>
      <c r="N400" s="222"/>
      <c r="O400" s="222">
        <v>833265</v>
      </c>
      <c r="P400" s="145"/>
      <c r="Q400" s="223">
        <f>O400</f>
        <v>833265</v>
      </c>
      <c r="R400" s="147">
        <f>Q400*$R$9</f>
        <v>121656.68999999999</v>
      </c>
      <c r="S400" s="147">
        <f>R400/$S$5</f>
        <v>333.30599999999998</v>
      </c>
      <c r="T400" s="148">
        <f>S400*$T$5*$T$9</f>
        <v>85159.68299999999</v>
      </c>
      <c r="U400" s="199"/>
      <c r="V400" s="150"/>
      <c r="W400" s="151"/>
      <c r="X400" s="151"/>
      <c r="Y400" s="152"/>
      <c r="Z400" s="153"/>
      <c r="AA400" s="153"/>
      <c r="AB400" s="154"/>
      <c r="AC400" s="155">
        <f>T400*$AC$5</f>
        <v>49392.616139999991</v>
      </c>
      <c r="AD400" s="156">
        <f>T400*$AD$5</f>
        <v>11070.75879</v>
      </c>
      <c r="AE400" s="156">
        <f>T400*$AE$5</f>
        <v>7472.762183249999</v>
      </c>
      <c r="AF400" s="156">
        <f>T400*$AF$5</f>
        <v>3406.3873199999998</v>
      </c>
      <c r="AG400" s="156">
        <f>T400*$AG$5</f>
        <v>1703.1936599999999</v>
      </c>
      <c r="AH400" s="156">
        <f>T400*$AH$5</f>
        <v>1703.1936599999999</v>
      </c>
      <c r="AI400" s="156">
        <f>T400*$AI$5</f>
        <v>851.59682999999995</v>
      </c>
      <c r="AJ400" s="156">
        <f>T400*$AJ$5</f>
        <v>1703.1936599999999</v>
      </c>
      <c r="AK400" s="156">
        <f>T400*$AK$5</f>
        <v>1703.1936599999999</v>
      </c>
      <c r="AL400" s="156">
        <f>T400*$AL$5</f>
        <v>5961.1778100000001</v>
      </c>
      <c r="AM400" s="157">
        <f>SUM(AD400:AI400)</f>
        <v>26207.892443250003</v>
      </c>
      <c r="AN400" s="158">
        <f>$AN$5</f>
        <v>2200</v>
      </c>
      <c r="AO400" s="159">
        <v>0.2</v>
      </c>
      <c r="AP400" s="160">
        <f>(AC400+AM400)*AN400*$AP$5</f>
        <v>696353260.53997231</v>
      </c>
      <c r="AQ400" s="161">
        <f>AP400*$AQ$5</f>
        <v>193431.47673562032</v>
      </c>
      <c r="AR400" s="162">
        <f>AQ400*$AR$5</f>
        <v>38686.295347124069</v>
      </c>
      <c r="AS400" s="163">
        <f>AR400/$AS$5</f>
        <v>5.5203047013590281</v>
      </c>
      <c r="AT400" s="164">
        <f>AS400</f>
        <v>5.5203047013590281</v>
      </c>
      <c r="AU400" s="165"/>
      <c r="AV400" s="166"/>
      <c r="AW400" s="167"/>
      <c r="AX400" s="146"/>
      <c r="AY400" s="168"/>
    </row>
    <row r="401" spans="1:51" s="139" customFormat="1" ht="11.25" x14ac:dyDescent="0.25">
      <c r="A401" s="1"/>
      <c r="B401" s="140">
        <v>38</v>
      </c>
      <c r="C401" s="343" t="s">
        <v>428</v>
      </c>
      <c r="D401" s="142"/>
      <c r="E401" s="143"/>
      <c r="F401" s="143"/>
      <c r="G401" s="143"/>
      <c r="H401" s="143"/>
      <c r="I401" s="222"/>
      <c r="J401" s="222"/>
      <c r="K401" s="222"/>
      <c r="L401" s="222"/>
      <c r="M401" s="222"/>
      <c r="N401" s="222"/>
      <c r="O401" s="222">
        <v>1100711</v>
      </c>
      <c r="P401" s="145"/>
      <c r="Q401" s="223">
        <f>O401</f>
        <v>1100711</v>
      </c>
      <c r="R401" s="147">
        <f>Q401*$R$8</f>
        <v>180516.60400000002</v>
      </c>
      <c r="S401" s="147">
        <f>R401/$S$5</f>
        <v>494.56603835616443</v>
      </c>
      <c r="T401" s="148">
        <f>S401*$T$5*$T$8</f>
        <v>144413.28320000003</v>
      </c>
      <c r="U401" s="199"/>
      <c r="V401" s="150"/>
      <c r="W401" s="151"/>
      <c r="X401" s="151"/>
      <c r="Y401" s="152"/>
      <c r="Z401" s="153"/>
      <c r="AA401" s="153"/>
      <c r="AB401" s="154"/>
      <c r="AC401" s="155">
        <f>T401*$AC$5</f>
        <v>83759.704256000012</v>
      </c>
      <c r="AD401" s="156">
        <f>T401*$AD$5</f>
        <v>18773.726816000006</v>
      </c>
      <c r="AE401" s="156">
        <f>T401*$AE$5</f>
        <v>12672.265600800003</v>
      </c>
      <c r="AF401" s="156">
        <f>T401*$AF$5</f>
        <v>5776.5313280000018</v>
      </c>
      <c r="AG401" s="156">
        <f>T401*$AG$5</f>
        <v>2888.2656640000009</v>
      </c>
      <c r="AH401" s="156">
        <f>T401*$AH$5</f>
        <v>2888.2656640000009</v>
      </c>
      <c r="AI401" s="156">
        <f>T401*$AI$5</f>
        <v>1444.1328320000005</v>
      </c>
      <c r="AJ401" s="156">
        <f>T401*$AJ$5</f>
        <v>2888.2656640000009</v>
      </c>
      <c r="AK401" s="156">
        <f>T401*$AK$5</f>
        <v>2888.2656640000009</v>
      </c>
      <c r="AL401" s="156">
        <f>T401*$AL$5</f>
        <v>10108.929824000003</v>
      </c>
      <c r="AM401" s="157">
        <f>SUM(AD401:AI401)</f>
        <v>44443.187904800012</v>
      </c>
      <c r="AN401" s="158">
        <f>$AN$5</f>
        <v>2200</v>
      </c>
      <c r="AO401" s="159">
        <v>0.2</v>
      </c>
      <c r="AP401" s="160">
        <f>(AC401+AM401)*AN401*$AP$5</f>
        <v>1180871711.5774424</v>
      </c>
      <c r="AQ401" s="161">
        <f>AP401*$AQ$5</f>
        <v>328019.94612421648</v>
      </c>
      <c r="AR401" s="162">
        <f>AQ401*$AR$5</f>
        <v>65603.989224843303</v>
      </c>
      <c r="AS401" s="163">
        <f>AR401/$AS$5</f>
        <v>9.361299832312115</v>
      </c>
      <c r="AT401" s="164">
        <f>AS401</f>
        <v>9.361299832312115</v>
      </c>
      <c r="AU401" s="165"/>
      <c r="AV401" s="166"/>
      <c r="AW401" s="167"/>
      <c r="AX401" s="146"/>
      <c r="AY401" s="168"/>
    </row>
    <row r="402" spans="1:51" s="190" customFormat="1" ht="16.7" customHeight="1" x14ac:dyDescent="0.25">
      <c r="A402" s="173"/>
      <c r="B402" s="120"/>
      <c r="C402" s="121" t="s">
        <v>423</v>
      </c>
      <c r="D402" s="240">
        <f>SUM(D398:D401)</f>
        <v>0</v>
      </c>
      <c r="E402" s="240">
        <f>SUM(E398:E401)</f>
        <v>0</v>
      </c>
      <c r="F402" s="240">
        <f>SUM(F398:F401)</f>
        <v>0</v>
      </c>
      <c r="G402" s="240">
        <f>SUM(G398:G401)</f>
        <v>0</v>
      </c>
      <c r="H402" s="240">
        <f>SUM(H398:H401)</f>
        <v>0</v>
      </c>
      <c r="I402" s="240">
        <v>35835204</v>
      </c>
      <c r="J402" s="240">
        <v>36914545</v>
      </c>
      <c r="K402" s="240">
        <v>37291102</v>
      </c>
      <c r="L402" s="240">
        <v>38412548</v>
      </c>
      <c r="M402" s="240">
        <v>38975046</v>
      </c>
      <c r="N402" s="240">
        <v>40054049</v>
      </c>
      <c r="O402" s="240">
        <f t="shared" ref="O402:U402" si="443">SUM(O398:O401)</f>
        <v>3995143</v>
      </c>
      <c r="P402" s="240">
        <f t="shared" si="443"/>
        <v>0</v>
      </c>
      <c r="Q402" s="240">
        <f t="shared" si="443"/>
        <v>3995143</v>
      </c>
      <c r="R402" s="240">
        <f t="shared" si="443"/>
        <v>624525.99800000002</v>
      </c>
      <c r="S402" s="240">
        <f t="shared" si="443"/>
        <v>1711.0301315068493</v>
      </c>
      <c r="T402" s="240">
        <f t="shared" si="443"/>
        <v>474737.97460000007</v>
      </c>
      <c r="U402" s="199">
        <f t="shared" si="443"/>
        <v>0</v>
      </c>
      <c r="V402" s="241"/>
      <c r="W402" s="242">
        <f>SUM(W398:W401)</f>
        <v>0</v>
      </c>
      <c r="X402" s="242">
        <f>SUM(X398:X401)</f>
        <v>0</v>
      </c>
      <c r="Y402" s="242">
        <f>SUM(Y398:Y401)</f>
        <v>0</v>
      </c>
      <c r="Z402" s="199"/>
      <c r="AA402" s="199"/>
      <c r="AB402" s="243"/>
      <c r="AC402" s="240">
        <f t="shared" ref="AC402:AM402" si="444">SUM(AC398:AC401)</f>
        <v>275348.02526800003</v>
      </c>
      <c r="AD402" s="244">
        <f t="shared" si="444"/>
        <v>61715.936698000005</v>
      </c>
      <c r="AE402" s="244">
        <f t="shared" si="444"/>
        <v>41658.257271150003</v>
      </c>
      <c r="AF402" s="244">
        <f t="shared" si="444"/>
        <v>18989.518984000002</v>
      </c>
      <c r="AG402" s="244">
        <f t="shared" si="444"/>
        <v>9494.759492000001</v>
      </c>
      <c r="AH402" s="244">
        <f t="shared" si="444"/>
        <v>9494.759492000001</v>
      </c>
      <c r="AI402" s="244">
        <f t="shared" si="444"/>
        <v>4747.3797460000005</v>
      </c>
      <c r="AJ402" s="244">
        <f t="shared" si="444"/>
        <v>9494.759492000001</v>
      </c>
      <c r="AK402" s="244">
        <f t="shared" si="444"/>
        <v>9494.759492000001</v>
      </c>
      <c r="AL402" s="244">
        <f t="shared" si="444"/>
        <v>33231.658222000005</v>
      </c>
      <c r="AM402" s="245">
        <f t="shared" si="444"/>
        <v>146100.61168315003</v>
      </c>
      <c r="AN402" s="158"/>
      <c r="AO402" s="183"/>
      <c r="AP402" s="184">
        <f>SUM(AP398:AP401)</f>
        <v>3881946537.0115643</v>
      </c>
      <c r="AQ402" s="184">
        <f>SUM(AQ398:AQ401)</f>
        <v>1078318.5687686908</v>
      </c>
      <c r="AR402" s="184">
        <f>SUM(AR398:AR401)</f>
        <v>215663.71375373821</v>
      </c>
      <c r="AS402" s="185">
        <f>SUM(AS398:AS401)</f>
        <v>30.773931757097344</v>
      </c>
      <c r="AT402" s="186">
        <f>SUM(AT398:AT401)</f>
        <v>30.773931757097344</v>
      </c>
      <c r="AU402" s="187"/>
      <c r="AV402" s="246">
        <f>SUM(AV398:AV401)</f>
        <v>0</v>
      </c>
      <c r="AW402" s="246"/>
      <c r="AX402" s="185">
        <f>SUM(AX398:AX401)</f>
        <v>0</v>
      </c>
      <c r="AY402" s="189"/>
    </row>
    <row r="403" spans="1:51" s="139" customFormat="1" ht="10.9" customHeight="1" x14ac:dyDescent="0.25">
      <c r="Q403" s="310"/>
      <c r="R403" s="310"/>
      <c r="S403" s="310"/>
      <c r="T403" s="310"/>
      <c r="U403" s="311"/>
      <c r="V403" s="312"/>
      <c r="W403" s="310"/>
      <c r="X403" s="310"/>
      <c r="Z403" s="86"/>
      <c r="AA403" s="86"/>
      <c r="AB403" s="313"/>
      <c r="AD403" s="314"/>
      <c r="AE403" s="314"/>
      <c r="AF403" s="314"/>
      <c r="AG403" s="314"/>
      <c r="AH403" s="314"/>
      <c r="AI403" s="314"/>
      <c r="AJ403" s="314"/>
      <c r="AK403" s="314"/>
      <c r="AL403" s="314"/>
      <c r="AM403" s="315"/>
      <c r="AN403" s="310"/>
      <c r="AO403" s="316"/>
      <c r="AP403" s="310"/>
      <c r="AQ403" s="317"/>
      <c r="AR403" s="317"/>
      <c r="AS403" s="318"/>
      <c r="AT403" s="318"/>
      <c r="AU403" s="319"/>
      <c r="AV403" s="310"/>
      <c r="AW403" s="310"/>
      <c r="AX403" s="310"/>
      <c r="AY403" s="310"/>
    </row>
    <row r="404" spans="1:51" s="139" customFormat="1" ht="15" customHeight="1" x14ac:dyDescent="0.25">
      <c r="A404" s="1"/>
      <c r="B404" s="120"/>
      <c r="C404" s="121" t="s">
        <v>429</v>
      </c>
      <c r="D404" s="122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213"/>
      <c r="Q404" s="76"/>
      <c r="R404" s="108"/>
      <c r="S404" s="108"/>
      <c r="T404" s="94"/>
      <c r="U404" s="199"/>
      <c r="V404" s="179"/>
      <c r="W404" s="180"/>
      <c r="X404" s="180"/>
      <c r="Y404" s="214"/>
      <c r="Z404" s="181"/>
      <c r="AA404" s="181"/>
      <c r="AB404" s="182"/>
      <c r="AC404" s="62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125"/>
      <c r="AN404" s="75"/>
      <c r="AO404" s="216"/>
      <c r="AP404" s="75"/>
      <c r="AQ404" s="51"/>
      <c r="AR404" s="217"/>
      <c r="AS404" s="218"/>
      <c r="AT404" s="219"/>
      <c r="AU404" s="220"/>
      <c r="AV404" s="135"/>
      <c r="AW404" s="136"/>
      <c r="AX404" s="137"/>
      <c r="AY404" s="138"/>
    </row>
    <row r="405" spans="1:51" s="139" customFormat="1" ht="11.25" x14ac:dyDescent="0.2">
      <c r="A405" s="1"/>
      <c r="B405" s="140">
        <v>1</v>
      </c>
      <c r="C405" s="63" t="s">
        <v>430</v>
      </c>
      <c r="D405" s="142"/>
      <c r="E405" s="143"/>
      <c r="F405" s="143"/>
      <c r="G405" s="143"/>
      <c r="H405" s="143"/>
      <c r="I405" s="143"/>
      <c r="J405" s="143"/>
      <c r="K405" s="143"/>
      <c r="L405" s="143"/>
      <c r="M405" s="143"/>
      <c r="N405" s="328">
        <v>261638</v>
      </c>
      <c r="O405" s="328">
        <v>267051</v>
      </c>
      <c r="P405" s="145"/>
      <c r="Q405" s="223">
        <f t="shared" ref="Q405:Q413" si="445">MAX(D405:P405)</f>
        <v>267051</v>
      </c>
      <c r="R405" s="147">
        <f>Q405*$R$10</f>
        <v>29375.61</v>
      </c>
      <c r="S405" s="147">
        <f t="shared" ref="S405:S413" si="446">R405/$S$5</f>
        <v>80.481123287671238</v>
      </c>
      <c r="T405" s="148">
        <f>S405*$T$5*$T$10</f>
        <v>17625.365999999998</v>
      </c>
      <c r="U405" s="199"/>
      <c r="V405" s="150"/>
      <c r="W405" s="151"/>
      <c r="X405" s="151"/>
      <c r="Y405" s="152"/>
      <c r="Z405" s="153"/>
      <c r="AA405" s="153"/>
      <c r="AB405" s="154"/>
      <c r="AC405" s="155">
        <f t="shared" ref="AC405:AC413" si="447">T405*$AC$5</f>
        <v>10222.712279999998</v>
      </c>
      <c r="AD405" s="156">
        <f t="shared" ref="AD405:AD413" si="448">T405*$AD$5</f>
        <v>2291.2975799999999</v>
      </c>
      <c r="AE405" s="156">
        <f t="shared" ref="AE405:AE413" si="449">T405*$AE$5</f>
        <v>1546.6258664999998</v>
      </c>
      <c r="AF405" s="156">
        <f t="shared" ref="AF405:AF413" si="450">T405*$AF$5</f>
        <v>705.01463999999999</v>
      </c>
      <c r="AG405" s="156">
        <f t="shared" ref="AG405:AG413" si="451">T405*$AG$5</f>
        <v>352.50731999999999</v>
      </c>
      <c r="AH405" s="156">
        <f t="shared" ref="AH405:AH413" si="452">T405*$AH$5</f>
        <v>352.50731999999999</v>
      </c>
      <c r="AI405" s="156">
        <f t="shared" ref="AI405:AI413" si="453">T405*$AI$5</f>
        <v>176.25366</v>
      </c>
      <c r="AJ405" s="156">
        <f t="shared" ref="AJ405:AJ413" si="454">T405*$AJ$5</f>
        <v>352.50731999999999</v>
      </c>
      <c r="AK405" s="156">
        <f t="shared" ref="AK405:AK413" si="455">T405*$AK$5</f>
        <v>352.50731999999999</v>
      </c>
      <c r="AL405" s="156">
        <f t="shared" ref="AL405:AL413" si="456">T405*$AL$5</f>
        <v>1233.7756199999999</v>
      </c>
      <c r="AM405" s="157">
        <f t="shared" ref="AM405:AM413" si="457">SUM(AD405:AI405)</f>
        <v>5424.2063865</v>
      </c>
      <c r="AN405" s="158">
        <f t="shared" ref="AN405:AN413" si="458">$AN$5</f>
        <v>2200</v>
      </c>
      <c r="AO405" s="159">
        <v>0.2</v>
      </c>
      <c r="AP405" s="160">
        <f t="shared" ref="AP405:AP413" si="459">(AC405+AM405)*AN405*$AP$5</f>
        <v>144123141.96038482</v>
      </c>
      <c r="AQ405" s="161">
        <f t="shared" ref="AQ405:AQ413" si="460">AP405*$AQ$5</f>
        <v>40034.209302843381</v>
      </c>
      <c r="AR405" s="162">
        <f t="shared" ref="AR405:AR413" si="461">AQ405*$AR$5</f>
        <v>8006.8418605686766</v>
      </c>
      <c r="AS405" s="163">
        <f t="shared" ref="AS405:AS413" si="462">AR405/$AS$5</f>
        <v>1.1425288043048911</v>
      </c>
      <c r="AT405" s="164">
        <f t="shared" ref="AT405:AT413" si="463">AS405</f>
        <v>1.1425288043048911</v>
      </c>
      <c r="AU405" s="165"/>
      <c r="AV405" s="166"/>
      <c r="AW405" s="167"/>
      <c r="AX405" s="146"/>
      <c r="AY405" s="168"/>
    </row>
    <row r="406" spans="1:51" s="139" customFormat="1" ht="11.25" x14ac:dyDescent="0.2">
      <c r="A406" s="1"/>
      <c r="B406" s="140">
        <v>2</v>
      </c>
      <c r="C406" s="63" t="s">
        <v>431</v>
      </c>
      <c r="D406" s="142"/>
      <c r="E406" s="143"/>
      <c r="F406" s="143"/>
      <c r="G406" s="143"/>
      <c r="H406" s="143"/>
      <c r="I406" s="143"/>
      <c r="J406" s="143"/>
      <c r="K406" s="143"/>
      <c r="L406" s="143"/>
      <c r="M406" s="143"/>
      <c r="N406" s="328">
        <v>420913</v>
      </c>
      <c r="O406" s="328">
        <v>429622</v>
      </c>
      <c r="P406" s="145"/>
      <c r="Q406" s="223">
        <f t="shared" si="445"/>
        <v>429622</v>
      </c>
      <c r="R406" s="147">
        <f>Q406*$R$10</f>
        <v>47258.42</v>
      </c>
      <c r="S406" s="147">
        <f t="shared" si="446"/>
        <v>129.47512328767124</v>
      </c>
      <c r="T406" s="148">
        <f>S406*$T$5*$T$10</f>
        <v>28355.052</v>
      </c>
      <c r="U406" s="199"/>
      <c r="V406" s="150"/>
      <c r="W406" s="151"/>
      <c r="X406" s="151"/>
      <c r="Y406" s="152"/>
      <c r="Z406" s="153"/>
      <c r="AA406" s="153"/>
      <c r="AB406" s="154"/>
      <c r="AC406" s="155">
        <f t="shared" si="447"/>
        <v>16445.93016</v>
      </c>
      <c r="AD406" s="156">
        <f t="shared" si="448"/>
        <v>3686.1567600000003</v>
      </c>
      <c r="AE406" s="156">
        <f t="shared" si="449"/>
        <v>2488.1558129999999</v>
      </c>
      <c r="AF406" s="156">
        <f t="shared" si="450"/>
        <v>1134.20208</v>
      </c>
      <c r="AG406" s="156">
        <f t="shared" si="451"/>
        <v>567.10104000000001</v>
      </c>
      <c r="AH406" s="156">
        <f t="shared" si="452"/>
        <v>567.10104000000001</v>
      </c>
      <c r="AI406" s="156">
        <f t="shared" si="453"/>
        <v>283.55052000000001</v>
      </c>
      <c r="AJ406" s="156">
        <f t="shared" si="454"/>
        <v>567.10104000000001</v>
      </c>
      <c r="AK406" s="156">
        <f t="shared" si="455"/>
        <v>567.10104000000001</v>
      </c>
      <c r="AL406" s="156">
        <f t="shared" si="456"/>
        <v>1984.8536400000003</v>
      </c>
      <c r="AM406" s="157">
        <f t="shared" si="457"/>
        <v>8726.267253</v>
      </c>
      <c r="AN406" s="158">
        <f t="shared" si="458"/>
        <v>2200</v>
      </c>
      <c r="AO406" s="159">
        <v>0.2</v>
      </c>
      <c r="AP406" s="160">
        <f t="shared" si="459"/>
        <v>231860103.48324648</v>
      </c>
      <c r="AQ406" s="161">
        <f t="shared" si="460"/>
        <v>64405.589453348541</v>
      </c>
      <c r="AR406" s="162">
        <f t="shared" si="461"/>
        <v>12881.11789066971</v>
      </c>
      <c r="AS406" s="163">
        <f t="shared" si="462"/>
        <v>1.8380590597416824</v>
      </c>
      <c r="AT406" s="164">
        <f t="shared" si="463"/>
        <v>1.8380590597416824</v>
      </c>
      <c r="AU406" s="165"/>
      <c r="AV406" s="166"/>
      <c r="AW406" s="167"/>
      <c r="AX406" s="146"/>
      <c r="AY406" s="168"/>
    </row>
    <row r="407" spans="1:51" s="139" customFormat="1" ht="11.25" x14ac:dyDescent="0.2">
      <c r="A407" s="1"/>
      <c r="B407" s="140">
        <v>3</v>
      </c>
      <c r="C407" s="63" t="s">
        <v>432</v>
      </c>
      <c r="D407" s="142"/>
      <c r="E407" s="143"/>
      <c r="F407" s="143"/>
      <c r="G407" s="143"/>
      <c r="H407" s="143"/>
      <c r="I407" s="143"/>
      <c r="J407" s="143"/>
      <c r="K407" s="143"/>
      <c r="L407" s="143"/>
      <c r="M407" s="143"/>
      <c r="N407" s="328">
        <v>543332</v>
      </c>
      <c r="O407" s="328">
        <v>554574</v>
      </c>
      <c r="P407" s="145"/>
      <c r="Q407" s="223">
        <f t="shared" si="445"/>
        <v>554574</v>
      </c>
      <c r="R407" s="147">
        <f>Q407*$R$9</f>
        <v>80967.803999999989</v>
      </c>
      <c r="S407" s="147">
        <f t="shared" si="446"/>
        <v>221.82959999999997</v>
      </c>
      <c r="T407" s="148">
        <f>S407*$T$5*$T$9</f>
        <v>56677.462799999987</v>
      </c>
      <c r="U407" s="199"/>
      <c r="V407" s="150"/>
      <c r="W407" s="151"/>
      <c r="X407" s="151"/>
      <c r="Y407" s="152"/>
      <c r="Z407" s="153"/>
      <c r="AA407" s="153"/>
      <c r="AB407" s="154"/>
      <c r="AC407" s="155">
        <f t="shared" si="447"/>
        <v>32872.928423999991</v>
      </c>
      <c r="AD407" s="156">
        <f t="shared" si="448"/>
        <v>7368.0701639999988</v>
      </c>
      <c r="AE407" s="156">
        <f t="shared" si="449"/>
        <v>4973.4473606999982</v>
      </c>
      <c r="AF407" s="156">
        <f t="shared" si="450"/>
        <v>2267.0985119999996</v>
      </c>
      <c r="AG407" s="156">
        <f t="shared" si="451"/>
        <v>1133.5492559999998</v>
      </c>
      <c r="AH407" s="156">
        <f t="shared" si="452"/>
        <v>1133.5492559999998</v>
      </c>
      <c r="AI407" s="156">
        <f t="shared" si="453"/>
        <v>566.77462799999989</v>
      </c>
      <c r="AJ407" s="156">
        <f t="shared" si="454"/>
        <v>1133.5492559999998</v>
      </c>
      <c r="AK407" s="156">
        <f t="shared" si="455"/>
        <v>1133.5492559999998</v>
      </c>
      <c r="AL407" s="156">
        <f t="shared" si="456"/>
        <v>3967.4223959999995</v>
      </c>
      <c r="AM407" s="157">
        <f t="shared" si="457"/>
        <v>17442.489176699997</v>
      </c>
      <c r="AN407" s="158">
        <f t="shared" si="458"/>
        <v>2200</v>
      </c>
      <c r="AO407" s="159">
        <v>0.2</v>
      </c>
      <c r="AP407" s="160">
        <f t="shared" si="459"/>
        <v>463453298.90334356</v>
      </c>
      <c r="AQ407" s="161">
        <f t="shared" si="460"/>
        <v>128737.03777211318</v>
      </c>
      <c r="AR407" s="162">
        <f t="shared" si="461"/>
        <v>25747.407554422636</v>
      </c>
      <c r="AS407" s="163">
        <f t="shared" si="462"/>
        <v>3.674002219523778</v>
      </c>
      <c r="AT407" s="164">
        <f t="shared" si="463"/>
        <v>3.674002219523778</v>
      </c>
      <c r="AU407" s="165"/>
      <c r="AV407" s="166"/>
      <c r="AW407" s="167"/>
      <c r="AX407" s="146"/>
      <c r="AY407" s="168"/>
    </row>
    <row r="408" spans="1:51" s="139" customFormat="1" ht="11.25" x14ac:dyDescent="0.2">
      <c r="A408" s="1"/>
      <c r="B408" s="140">
        <v>4</v>
      </c>
      <c r="C408" s="63" t="s">
        <v>433</v>
      </c>
      <c r="D408" s="142"/>
      <c r="E408" s="143"/>
      <c r="F408" s="143"/>
      <c r="G408" s="143"/>
      <c r="H408" s="143"/>
      <c r="I408" s="143"/>
      <c r="J408" s="143"/>
      <c r="K408" s="143"/>
      <c r="L408" s="143"/>
      <c r="M408" s="143"/>
      <c r="N408" s="328">
        <v>469777</v>
      </c>
      <c r="O408" s="328">
        <v>479497</v>
      </c>
      <c r="P408" s="145"/>
      <c r="Q408" s="223">
        <f t="shared" si="445"/>
        <v>479497</v>
      </c>
      <c r="R408" s="147">
        <f>Q408*$R$10</f>
        <v>52744.67</v>
      </c>
      <c r="S408" s="147">
        <f t="shared" si="446"/>
        <v>144.50594520547943</v>
      </c>
      <c r="T408" s="148">
        <f>S408*$T$5*$T$10</f>
        <v>31646.801999999992</v>
      </c>
      <c r="U408" s="199"/>
      <c r="V408" s="150"/>
      <c r="W408" s="151"/>
      <c r="X408" s="151"/>
      <c r="Y408" s="152"/>
      <c r="Z408" s="153"/>
      <c r="AA408" s="153"/>
      <c r="AB408" s="154"/>
      <c r="AC408" s="155">
        <f t="shared" si="447"/>
        <v>18355.145159999993</v>
      </c>
      <c r="AD408" s="156">
        <f t="shared" si="448"/>
        <v>4114.0842599999987</v>
      </c>
      <c r="AE408" s="156">
        <f t="shared" si="449"/>
        <v>2777.0068754999993</v>
      </c>
      <c r="AF408" s="156">
        <f t="shared" si="450"/>
        <v>1265.8720799999996</v>
      </c>
      <c r="AG408" s="156">
        <f t="shared" si="451"/>
        <v>632.93603999999982</v>
      </c>
      <c r="AH408" s="156">
        <f t="shared" si="452"/>
        <v>632.93603999999982</v>
      </c>
      <c r="AI408" s="156">
        <f t="shared" si="453"/>
        <v>316.46801999999991</v>
      </c>
      <c r="AJ408" s="156">
        <f t="shared" si="454"/>
        <v>632.93603999999982</v>
      </c>
      <c r="AK408" s="156">
        <f t="shared" si="455"/>
        <v>632.93603999999982</v>
      </c>
      <c r="AL408" s="156">
        <f t="shared" si="456"/>
        <v>2215.2761399999995</v>
      </c>
      <c r="AM408" s="157">
        <f t="shared" si="457"/>
        <v>9739.3033154999994</v>
      </c>
      <c r="AN408" s="158">
        <f t="shared" si="458"/>
        <v>2200</v>
      </c>
      <c r="AO408" s="159">
        <v>0.2</v>
      </c>
      <c r="AP408" s="160">
        <f t="shared" si="459"/>
        <v>258776841.1298914</v>
      </c>
      <c r="AQ408" s="161">
        <f t="shared" si="460"/>
        <v>71882.461620010741</v>
      </c>
      <c r="AR408" s="162">
        <f t="shared" si="461"/>
        <v>14376.492324002149</v>
      </c>
      <c r="AS408" s="163">
        <f t="shared" si="462"/>
        <v>2.0514401147263341</v>
      </c>
      <c r="AT408" s="164">
        <f t="shared" si="463"/>
        <v>2.0514401147263341</v>
      </c>
      <c r="AU408" s="165"/>
      <c r="AV408" s="166"/>
      <c r="AW408" s="167"/>
      <c r="AX408" s="146"/>
      <c r="AY408" s="168"/>
    </row>
    <row r="409" spans="1:51" s="139" customFormat="1" ht="11.25" x14ac:dyDescent="0.2">
      <c r="A409" s="1"/>
      <c r="B409" s="140">
        <v>5</v>
      </c>
      <c r="C409" s="63" t="s">
        <v>434</v>
      </c>
      <c r="D409" s="142"/>
      <c r="E409" s="143"/>
      <c r="F409" s="143"/>
      <c r="G409" s="143"/>
      <c r="H409" s="143"/>
      <c r="I409" s="143"/>
      <c r="J409" s="143"/>
      <c r="K409" s="143"/>
      <c r="L409" s="143"/>
      <c r="M409" s="143"/>
      <c r="N409" s="328">
        <v>170543</v>
      </c>
      <c r="O409" s="328">
        <v>174073</v>
      </c>
      <c r="P409" s="145"/>
      <c r="Q409" s="223">
        <f t="shared" si="445"/>
        <v>174073</v>
      </c>
      <c r="R409" s="147">
        <f>Q409*$R$10</f>
        <v>19148.03</v>
      </c>
      <c r="S409" s="147">
        <f t="shared" si="446"/>
        <v>52.460356164383562</v>
      </c>
      <c r="T409" s="148">
        <f>S409*$T$5*$T$10</f>
        <v>11488.817999999999</v>
      </c>
      <c r="U409" s="199"/>
      <c r="V409" s="150"/>
      <c r="W409" s="151"/>
      <c r="X409" s="151"/>
      <c r="Y409" s="152"/>
      <c r="Z409" s="153"/>
      <c r="AA409" s="153"/>
      <c r="AB409" s="154"/>
      <c r="AC409" s="155">
        <f t="shared" si="447"/>
        <v>6663.514439999999</v>
      </c>
      <c r="AD409" s="156">
        <f t="shared" si="448"/>
        <v>1493.5463399999999</v>
      </c>
      <c r="AE409" s="156">
        <f t="shared" si="449"/>
        <v>1008.1437794999998</v>
      </c>
      <c r="AF409" s="156">
        <f t="shared" si="450"/>
        <v>459.55271999999997</v>
      </c>
      <c r="AG409" s="156">
        <f t="shared" si="451"/>
        <v>229.77635999999998</v>
      </c>
      <c r="AH409" s="156">
        <f t="shared" si="452"/>
        <v>229.77635999999998</v>
      </c>
      <c r="AI409" s="156">
        <f t="shared" si="453"/>
        <v>114.88817999999999</v>
      </c>
      <c r="AJ409" s="156">
        <f t="shared" si="454"/>
        <v>229.77635999999998</v>
      </c>
      <c r="AK409" s="156">
        <f t="shared" si="455"/>
        <v>229.77635999999998</v>
      </c>
      <c r="AL409" s="156">
        <f t="shared" si="456"/>
        <v>804.21726000000001</v>
      </c>
      <c r="AM409" s="157">
        <f t="shared" si="457"/>
        <v>3535.6837394999993</v>
      </c>
      <c r="AN409" s="158">
        <f t="shared" si="458"/>
        <v>2200</v>
      </c>
      <c r="AO409" s="159">
        <v>0.2</v>
      </c>
      <c r="AP409" s="160">
        <f t="shared" si="459"/>
        <v>93944406.463447317</v>
      </c>
      <c r="AQ409" s="161">
        <f t="shared" si="460"/>
        <v>26095.670549722177</v>
      </c>
      <c r="AR409" s="162">
        <f t="shared" si="461"/>
        <v>5219.1341099444362</v>
      </c>
      <c r="AS409" s="163">
        <f t="shared" si="462"/>
        <v>0.74473945632768779</v>
      </c>
      <c r="AT409" s="164">
        <f t="shared" si="463"/>
        <v>0.74473945632768779</v>
      </c>
      <c r="AU409" s="165"/>
      <c r="AV409" s="166"/>
      <c r="AW409" s="167"/>
      <c r="AX409" s="146"/>
      <c r="AY409" s="168"/>
    </row>
    <row r="410" spans="1:51" s="139" customFormat="1" ht="11.25" x14ac:dyDescent="0.2">
      <c r="A410" s="1"/>
      <c r="B410" s="140">
        <v>6</v>
      </c>
      <c r="C410" s="63" t="s">
        <v>435</v>
      </c>
      <c r="D410" s="142"/>
      <c r="E410" s="143"/>
      <c r="F410" s="143"/>
      <c r="G410" s="143"/>
      <c r="H410" s="143"/>
      <c r="I410" s="143"/>
      <c r="J410" s="143"/>
      <c r="K410" s="143"/>
      <c r="L410" s="143"/>
      <c r="M410" s="143"/>
      <c r="N410" s="328">
        <v>215353</v>
      </c>
      <c r="O410" s="328">
        <v>219809</v>
      </c>
      <c r="P410" s="145"/>
      <c r="Q410" s="223">
        <f t="shared" si="445"/>
        <v>219809</v>
      </c>
      <c r="R410" s="147">
        <f>Q410*$R$10</f>
        <v>24178.99</v>
      </c>
      <c r="S410" s="147">
        <f t="shared" si="446"/>
        <v>66.243808219178092</v>
      </c>
      <c r="T410" s="148">
        <f>S410*$T$5*$T$10</f>
        <v>14507.394000000002</v>
      </c>
      <c r="U410" s="199"/>
      <c r="V410" s="150"/>
      <c r="W410" s="151"/>
      <c r="X410" s="151"/>
      <c r="Y410" s="152"/>
      <c r="Z410" s="153"/>
      <c r="AA410" s="153"/>
      <c r="AB410" s="154"/>
      <c r="AC410" s="155">
        <f t="shared" si="447"/>
        <v>8414.2885200000001</v>
      </c>
      <c r="AD410" s="156">
        <f t="shared" si="448"/>
        <v>1885.9612200000004</v>
      </c>
      <c r="AE410" s="156">
        <f t="shared" si="449"/>
        <v>1273.0238235000002</v>
      </c>
      <c r="AF410" s="156">
        <f t="shared" si="450"/>
        <v>580.29576000000009</v>
      </c>
      <c r="AG410" s="156">
        <f t="shared" si="451"/>
        <v>290.14788000000004</v>
      </c>
      <c r="AH410" s="156">
        <f t="shared" si="452"/>
        <v>290.14788000000004</v>
      </c>
      <c r="AI410" s="156">
        <f t="shared" si="453"/>
        <v>145.07394000000002</v>
      </c>
      <c r="AJ410" s="156">
        <f t="shared" si="454"/>
        <v>290.14788000000004</v>
      </c>
      <c r="AK410" s="156">
        <f t="shared" si="455"/>
        <v>290.14788000000004</v>
      </c>
      <c r="AL410" s="156">
        <f t="shared" si="456"/>
        <v>1015.5175800000003</v>
      </c>
      <c r="AM410" s="157">
        <f t="shared" si="457"/>
        <v>4464.6505035000009</v>
      </c>
      <c r="AN410" s="158">
        <f t="shared" si="458"/>
        <v>2200</v>
      </c>
      <c r="AO410" s="159">
        <v>0.2</v>
      </c>
      <c r="AP410" s="160">
        <f t="shared" si="459"/>
        <v>118627392.18789756</v>
      </c>
      <c r="AQ410" s="161">
        <f t="shared" si="460"/>
        <v>32952.056021691373</v>
      </c>
      <c r="AR410" s="162">
        <f t="shared" si="461"/>
        <v>6590.4112043382747</v>
      </c>
      <c r="AS410" s="163">
        <f t="shared" si="462"/>
        <v>0.94041255769667165</v>
      </c>
      <c r="AT410" s="164">
        <f t="shared" si="463"/>
        <v>0.94041255769667165</v>
      </c>
      <c r="AU410" s="165"/>
      <c r="AV410" s="166"/>
      <c r="AW410" s="167"/>
      <c r="AX410" s="146"/>
      <c r="AY410" s="168"/>
    </row>
    <row r="411" spans="1:51" s="139" customFormat="1" ht="11.25" x14ac:dyDescent="0.2">
      <c r="A411" s="1"/>
      <c r="B411" s="140">
        <v>7</v>
      </c>
      <c r="C411" s="63" t="s">
        <v>436</v>
      </c>
      <c r="D411" s="142"/>
      <c r="E411" s="143"/>
      <c r="F411" s="143"/>
      <c r="G411" s="143"/>
      <c r="H411" s="143"/>
      <c r="I411" s="143"/>
      <c r="J411" s="143"/>
      <c r="K411" s="143"/>
      <c r="L411" s="143"/>
      <c r="M411" s="143"/>
      <c r="N411" s="328">
        <v>396487</v>
      </c>
      <c r="O411" s="328">
        <v>404690</v>
      </c>
      <c r="P411" s="145"/>
      <c r="Q411" s="223">
        <f t="shared" si="445"/>
        <v>404690</v>
      </c>
      <c r="R411" s="147">
        <f>Q411*$R$10</f>
        <v>44515.9</v>
      </c>
      <c r="S411" s="147">
        <f t="shared" si="446"/>
        <v>121.9613698630137</v>
      </c>
      <c r="T411" s="148">
        <f>S411*$T$5*$T$10</f>
        <v>26709.54</v>
      </c>
      <c r="U411" s="199"/>
      <c r="V411" s="150"/>
      <c r="W411" s="151"/>
      <c r="X411" s="151"/>
      <c r="Y411" s="152"/>
      <c r="Z411" s="153"/>
      <c r="AA411" s="153"/>
      <c r="AB411" s="154"/>
      <c r="AC411" s="155">
        <f t="shared" si="447"/>
        <v>15491.5332</v>
      </c>
      <c r="AD411" s="156">
        <f t="shared" si="448"/>
        <v>3472.2402000000002</v>
      </c>
      <c r="AE411" s="156">
        <f t="shared" si="449"/>
        <v>2343.7621349999999</v>
      </c>
      <c r="AF411" s="156">
        <f t="shared" si="450"/>
        <v>1068.3816000000002</v>
      </c>
      <c r="AG411" s="156">
        <f t="shared" si="451"/>
        <v>534.19080000000008</v>
      </c>
      <c r="AH411" s="156">
        <f t="shared" si="452"/>
        <v>534.19080000000008</v>
      </c>
      <c r="AI411" s="156">
        <f t="shared" si="453"/>
        <v>267.09540000000004</v>
      </c>
      <c r="AJ411" s="156">
        <f t="shared" si="454"/>
        <v>534.19080000000008</v>
      </c>
      <c r="AK411" s="156">
        <f t="shared" si="455"/>
        <v>534.19080000000008</v>
      </c>
      <c r="AL411" s="156">
        <f t="shared" si="456"/>
        <v>1869.6678000000002</v>
      </c>
      <c r="AM411" s="157">
        <f t="shared" si="457"/>
        <v>8219.8609350000006</v>
      </c>
      <c r="AN411" s="158">
        <f t="shared" si="458"/>
        <v>2200</v>
      </c>
      <c r="AO411" s="159">
        <v>0.2</v>
      </c>
      <c r="AP411" s="160">
        <f t="shared" si="459"/>
        <v>218404702.92171961</v>
      </c>
      <c r="AQ411" s="161">
        <f t="shared" si="460"/>
        <v>60667.977887248846</v>
      </c>
      <c r="AR411" s="162">
        <f t="shared" si="461"/>
        <v>12133.595577449771</v>
      </c>
      <c r="AS411" s="163">
        <f t="shared" si="462"/>
        <v>1.7313920629922619</v>
      </c>
      <c r="AT411" s="164">
        <f t="shared" si="463"/>
        <v>1.7313920629922619</v>
      </c>
      <c r="AU411" s="165"/>
      <c r="AV411" s="166"/>
      <c r="AW411" s="167"/>
      <c r="AX411" s="146"/>
      <c r="AY411" s="168"/>
    </row>
    <row r="412" spans="1:51" s="139" customFormat="1" ht="11.25" x14ac:dyDescent="0.2">
      <c r="A412" s="1"/>
      <c r="B412" s="140">
        <v>8</v>
      </c>
      <c r="C412" s="63" t="s">
        <v>437</v>
      </c>
      <c r="D412" s="142"/>
      <c r="E412" s="143"/>
      <c r="F412" s="143"/>
      <c r="G412" s="143"/>
      <c r="H412" s="143"/>
      <c r="I412" s="143"/>
      <c r="J412" s="143"/>
      <c r="K412" s="143"/>
      <c r="L412" s="143"/>
      <c r="M412" s="143"/>
      <c r="N412" s="328">
        <v>624125</v>
      </c>
      <c r="O412" s="328">
        <v>637038</v>
      </c>
      <c r="P412" s="145"/>
      <c r="Q412" s="223">
        <f t="shared" si="445"/>
        <v>637038</v>
      </c>
      <c r="R412" s="147">
        <f>Q412*$R$9</f>
        <v>93007.547999999995</v>
      </c>
      <c r="S412" s="147">
        <f t="shared" si="446"/>
        <v>254.81519999999998</v>
      </c>
      <c r="T412" s="148">
        <f>S412*$T$5*$T$9</f>
        <v>65105.283599999995</v>
      </c>
      <c r="U412" s="199"/>
      <c r="V412" s="150"/>
      <c r="W412" s="151"/>
      <c r="X412" s="151"/>
      <c r="Y412" s="152"/>
      <c r="Z412" s="153"/>
      <c r="AA412" s="153"/>
      <c r="AB412" s="154"/>
      <c r="AC412" s="155">
        <f t="shared" si="447"/>
        <v>37761.064487999996</v>
      </c>
      <c r="AD412" s="156">
        <f t="shared" si="448"/>
        <v>8463.6868679999989</v>
      </c>
      <c r="AE412" s="156">
        <f t="shared" si="449"/>
        <v>5712.9886358999993</v>
      </c>
      <c r="AF412" s="156">
        <f t="shared" si="450"/>
        <v>2604.2113439999998</v>
      </c>
      <c r="AG412" s="156">
        <f t="shared" si="451"/>
        <v>1302.1056719999999</v>
      </c>
      <c r="AH412" s="156">
        <f t="shared" si="452"/>
        <v>1302.1056719999999</v>
      </c>
      <c r="AI412" s="156">
        <f t="shared" si="453"/>
        <v>651.05283599999996</v>
      </c>
      <c r="AJ412" s="156">
        <f t="shared" si="454"/>
        <v>1302.1056719999999</v>
      </c>
      <c r="AK412" s="156">
        <f t="shared" si="455"/>
        <v>1302.1056719999999</v>
      </c>
      <c r="AL412" s="156">
        <f t="shared" si="456"/>
        <v>4557.3698519999998</v>
      </c>
      <c r="AM412" s="157">
        <f t="shared" si="457"/>
        <v>20036.151027899999</v>
      </c>
      <c r="AN412" s="158">
        <f t="shared" si="458"/>
        <v>2200</v>
      </c>
      <c r="AO412" s="159">
        <v>0.2</v>
      </c>
      <c r="AP412" s="160">
        <f t="shared" si="459"/>
        <v>532367840.22833419</v>
      </c>
      <c r="AQ412" s="161">
        <f t="shared" si="460"/>
        <v>147879.96744937816</v>
      </c>
      <c r="AR412" s="162">
        <f t="shared" si="461"/>
        <v>29575.993489875633</v>
      </c>
      <c r="AS412" s="163">
        <f t="shared" si="462"/>
        <v>4.2203187057470934</v>
      </c>
      <c r="AT412" s="164">
        <f t="shared" si="463"/>
        <v>4.2203187057470934</v>
      </c>
      <c r="AU412" s="165"/>
      <c r="AV412" s="166"/>
      <c r="AW412" s="167"/>
      <c r="AX412" s="146"/>
      <c r="AY412" s="168"/>
    </row>
    <row r="413" spans="1:51" s="139" customFormat="1" ht="11.25" x14ac:dyDescent="0.2">
      <c r="A413" s="1"/>
      <c r="B413" s="140">
        <v>9</v>
      </c>
      <c r="C413" s="258" t="s">
        <v>438</v>
      </c>
      <c r="D413" s="142"/>
      <c r="E413" s="143"/>
      <c r="F413" s="143"/>
      <c r="G413" s="143"/>
      <c r="H413" s="143"/>
      <c r="I413" s="143"/>
      <c r="J413" s="143"/>
      <c r="K413" s="143"/>
      <c r="L413" s="143"/>
      <c r="M413" s="143"/>
      <c r="N413" s="328">
        <v>788589</v>
      </c>
      <c r="O413" s="328">
        <v>804905</v>
      </c>
      <c r="P413" s="145"/>
      <c r="Q413" s="223">
        <f t="shared" si="445"/>
        <v>804905</v>
      </c>
      <c r="R413" s="147">
        <f>Q413*$R$9</f>
        <v>117516.12999999999</v>
      </c>
      <c r="S413" s="147">
        <f t="shared" si="446"/>
        <v>321.96199999999999</v>
      </c>
      <c r="T413" s="148">
        <f>S413*$T$5*$T$9</f>
        <v>82261.290999999983</v>
      </c>
      <c r="U413" s="199"/>
      <c r="V413" s="150"/>
      <c r="W413" s="151"/>
      <c r="X413" s="151"/>
      <c r="Y413" s="152"/>
      <c r="Z413" s="153"/>
      <c r="AA413" s="153"/>
      <c r="AB413" s="154"/>
      <c r="AC413" s="155">
        <f t="shared" si="447"/>
        <v>47711.54877999999</v>
      </c>
      <c r="AD413" s="156">
        <f t="shared" si="448"/>
        <v>10693.967829999998</v>
      </c>
      <c r="AE413" s="156">
        <f t="shared" si="449"/>
        <v>7218.4282852499982</v>
      </c>
      <c r="AF413" s="156">
        <f t="shared" si="450"/>
        <v>3290.4516399999993</v>
      </c>
      <c r="AG413" s="156">
        <f t="shared" si="451"/>
        <v>1645.2258199999997</v>
      </c>
      <c r="AH413" s="156">
        <f t="shared" si="452"/>
        <v>1645.2258199999997</v>
      </c>
      <c r="AI413" s="156">
        <f t="shared" si="453"/>
        <v>822.61290999999983</v>
      </c>
      <c r="AJ413" s="156">
        <f t="shared" si="454"/>
        <v>1645.2258199999997</v>
      </c>
      <c r="AK413" s="156">
        <f t="shared" si="455"/>
        <v>1645.2258199999997</v>
      </c>
      <c r="AL413" s="156">
        <f t="shared" si="456"/>
        <v>5758.2903699999997</v>
      </c>
      <c r="AM413" s="157">
        <f t="shared" si="457"/>
        <v>25315.912305249996</v>
      </c>
      <c r="AN413" s="158">
        <f t="shared" si="458"/>
        <v>2200</v>
      </c>
      <c r="AO413" s="159">
        <v>0.2</v>
      </c>
      <c r="AP413" s="160">
        <f t="shared" si="459"/>
        <v>672653022.95779419</v>
      </c>
      <c r="AQ413" s="161">
        <f t="shared" si="460"/>
        <v>186848.07688056555</v>
      </c>
      <c r="AR413" s="162">
        <f t="shared" si="461"/>
        <v>37369.615376113114</v>
      </c>
      <c r="AS413" s="163">
        <f t="shared" si="462"/>
        <v>5.3324222854042684</v>
      </c>
      <c r="AT413" s="233">
        <f t="shared" si="463"/>
        <v>5.3324222854042684</v>
      </c>
      <c r="AU413" s="187"/>
      <c r="AV413" s="166"/>
      <c r="AW413" s="167"/>
      <c r="AX413" s="146"/>
      <c r="AY413" s="168"/>
    </row>
    <row r="414" spans="1:51" s="190" customFormat="1" ht="16.7" customHeight="1" x14ac:dyDescent="0.25">
      <c r="A414" s="173"/>
      <c r="B414" s="120"/>
      <c r="C414" s="121" t="s">
        <v>439</v>
      </c>
      <c r="D414" s="240">
        <f t="shared" ref="D414:U414" si="464">SUM(D405:D413)</f>
        <v>0</v>
      </c>
      <c r="E414" s="240">
        <f t="shared" si="464"/>
        <v>0</v>
      </c>
      <c r="F414" s="240">
        <f t="shared" si="464"/>
        <v>0</v>
      </c>
      <c r="G414" s="240">
        <f t="shared" si="464"/>
        <v>0</v>
      </c>
      <c r="H414" s="240">
        <f t="shared" si="464"/>
        <v>0</v>
      </c>
      <c r="I414" s="240">
        <f t="shared" si="464"/>
        <v>0</v>
      </c>
      <c r="J414" s="240">
        <f t="shared" si="464"/>
        <v>0</v>
      </c>
      <c r="K414" s="240">
        <f t="shared" si="464"/>
        <v>0</v>
      </c>
      <c r="L414" s="240">
        <f t="shared" si="464"/>
        <v>0</v>
      </c>
      <c r="M414" s="240">
        <f t="shared" si="464"/>
        <v>0</v>
      </c>
      <c r="N414" s="240">
        <f t="shared" si="464"/>
        <v>3890757</v>
      </c>
      <c r="O414" s="240">
        <f t="shared" si="464"/>
        <v>3971259</v>
      </c>
      <c r="P414" s="240">
        <f t="shared" si="464"/>
        <v>0</v>
      </c>
      <c r="Q414" s="240">
        <f t="shared" si="464"/>
        <v>3971259</v>
      </c>
      <c r="R414" s="240">
        <f t="shared" si="464"/>
        <v>508713.10199999996</v>
      </c>
      <c r="S414" s="240">
        <f t="shared" si="464"/>
        <v>1393.7345260273971</v>
      </c>
      <c r="T414" s="240">
        <f t="shared" si="464"/>
        <v>334377.00939999998</v>
      </c>
      <c r="U414" s="199">
        <f t="shared" si="464"/>
        <v>0</v>
      </c>
      <c r="V414" s="241"/>
      <c r="W414" s="242">
        <f>SUM(W405:W413)</f>
        <v>0</v>
      </c>
      <c r="X414" s="242">
        <f>SUM(X405:X413)</f>
        <v>0</v>
      </c>
      <c r="Y414" s="242">
        <f>SUM(Y405:Y413)</f>
        <v>0</v>
      </c>
      <c r="Z414" s="199"/>
      <c r="AA414" s="199"/>
      <c r="AB414" s="243"/>
      <c r="AC414" s="240">
        <f t="shared" ref="AC414:AM414" si="465">SUM(AC405:AC413)</f>
        <v>193938.66545199996</v>
      </c>
      <c r="AD414" s="244">
        <f t="shared" si="465"/>
        <v>43469.011222000001</v>
      </c>
      <c r="AE414" s="244">
        <f t="shared" si="465"/>
        <v>29341.582574849992</v>
      </c>
      <c r="AF414" s="244">
        <f t="shared" si="465"/>
        <v>13375.080375999996</v>
      </c>
      <c r="AG414" s="244">
        <f t="shared" si="465"/>
        <v>6687.5401879999981</v>
      </c>
      <c r="AH414" s="244">
        <f t="shared" si="465"/>
        <v>6687.5401879999981</v>
      </c>
      <c r="AI414" s="244">
        <f t="shared" si="465"/>
        <v>3343.7700939999991</v>
      </c>
      <c r="AJ414" s="244">
        <f t="shared" si="465"/>
        <v>6687.5401879999981</v>
      </c>
      <c r="AK414" s="244">
        <f t="shared" si="465"/>
        <v>6687.5401879999981</v>
      </c>
      <c r="AL414" s="244">
        <f t="shared" si="465"/>
        <v>23406.390657999997</v>
      </c>
      <c r="AM414" s="245">
        <f t="shared" si="465"/>
        <v>102904.52464285</v>
      </c>
      <c r="AN414" s="158"/>
      <c r="AO414" s="183"/>
      <c r="AP414" s="184">
        <f>SUM(AP405:AP413)</f>
        <v>2734210750.2360592</v>
      </c>
      <c r="AQ414" s="184">
        <f>SUM(AQ405:AQ413)</f>
        <v>759503.04693692201</v>
      </c>
      <c r="AR414" s="184">
        <f>SUM(AR405:AR413)</f>
        <v>151900.60938738441</v>
      </c>
      <c r="AS414" s="185">
        <f>SUM(AS405:AS413)</f>
        <v>21.675315266464672</v>
      </c>
      <c r="AT414" s="186">
        <f>SUM(AT405:AT413)</f>
        <v>21.675315266464672</v>
      </c>
      <c r="AU414" s="187"/>
      <c r="AV414" s="246">
        <f>SUM(AV409:AV413)</f>
        <v>0</v>
      </c>
      <c r="AW414" s="246"/>
      <c r="AX414" s="185">
        <f>SUM(AX409:AX413)</f>
        <v>0</v>
      </c>
      <c r="AY414" s="189"/>
    </row>
    <row r="415" spans="1:51" s="139" customFormat="1" ht="10.9" customHeight="1" x14ac:dyDescent="0.25">
      <c r="Q415" s="310"/>
      <c r="R415" s="310"/>
      <c r="S415" s="310"/>
      <c r="T415" s="310"/>
      <c r="U415" s="311"/>
      <c r="V415" s="312"/>
      <c r="W415" s="310"/>
      <c r="X415" s="310"/>
      <c r="Z415" s="86"/>
      <c r="AA415" s="86"/>
      <c r="AB415" s="313"/>
      <c r="AD415" s="314"/>
      <c r="AE415" s="314"/>
      <c r="AF415" s="314"/>
      <c r="AG415" s="314"/>
      <c r="AH415" s="314"/>
      <c r="AI415" s="314"/>
      <c r="AJ415" s="314"/>
      <c r="AK415" s="314"/>
      <c r="AL415" s="314"/>
      <c r="AM415" s="315"/>
      <c r="AN415" s="310"/>
      <c r="AO415" s="316"/>
      <c r="AP415" s="310"/>
      <c r="AQ415" s="317"/>
      <c r="AR415" s="317"/>
      <c r="AS415" s="318"/>
      <c r="AT415" s="318"/>
      <c r="AU415" s="319"/>
      <c r="AV415" s="310"/>
      <c r="AW415" s="310"/>
      <c r="AX415" s="310"/>
      <c r="AY415" s="310"/>
    </row>
    <row r="416" spans="1:51" s="351" customFormat="1" ht="26.45" customHeight="1" thickBot="1" x14ac:dyDescent="0.3">
      <c r="A416" s="346"/>
      <c r="B416" s="347"/>
      <c r="C416" s="348" t="s">
        <v>440</v>
      </c>
      <c r="D416" s="349">
        <f t="shared" ref="D416:P416" si="466">D272+D283+D312+D350+D358+D395+D402+D414</f>
        <v>0</v>
      </c>
      <c r="E416" s="349">
        <f t="shared" si="466"/>
        <v>0</v>
      </c>
      <c r="F416" s="349">
        <f t="shared" si="466"/>
        <v>0</v>
      </c>
      <c r="G416" s="349">
        <f t="shared" si="466"/>
        <v>0</v>
      </c>
      <c r="H416" s="349">
        <f t="shared" si="466"/>
        <v>0</v>
      </c>
      <c r="I416" s="349">
        <f t="shared" si="466"/>
        <v>71670408</v>
      </c>
      <c r="J416" s="349">
        <f t="shared" si="466"/>
        <v>73829090</v>
      </c>
      <c r="K416" s="349">
        <f t="shared" si="466"/>
        <v>74582204</v>
      </c>
      <c r="L416" s="349">
        <f t="shared" si="466"/>
        <v>76825096</v>
      </c>
      <c r="M416" s="349">
        <f t="shared" si="466"/>
        <v>77950092</v>
      </c>
      <c r="N416" s="349">
        <f t="shared" si="466"/>
        <v>107667740</v>
      </c>
      <c r="O416" s="349">
        <f t="shared" si="466"/>
        <v>135928519</v>
      </c>
      <c r="P416" s="349">
        <f t="shared" si="466"/>
        <v>0</v>
      </c>
      <c r="Q416" s="350">
        <f>Q272+Q283+Q312+Q350+Q358+Q395+Q402+Q414</f>
        <v>145532848</v>
      </c>
      <c r="R416" s="350">
        <f>R272+R283+R312+R350+R358+R395+R402+R414</f>
        <v>28084149.244000003</v>
      </c>
      <c r="S416" s="350">
        <f>S272+S283+S312+S350+S358+S395+S402+S414</f>
        <v>76942.874641095899</v>
      </c>
      <c r="T416" s="350">
        <f>T272+T283+T312+T350+T358+T395+T402+T414</f>
        <v>23553287.563599996</v>
      </c>
      <c r="U416" s="350">
        <f t="shared" ref="U416:AB416" si="467">U268+U279+U308+U346+U354+U395+U402+U414</f>
        <v>0</v>
      </c>
      <c r="V416" s="350">
        <f t="shared" si="467"/>
        <v>0</v>
      </c>
      <c r="W416" s="350">
        <f t="shared" si="467"/>
        <v>0</v>
      </c>
      <c r="X416" s="350">
        <f t="shared" si="467"/>
        <v>0</v>
      </c>
      <c r="Y416" s="350">
        <f t="shared" si="467"/>
        <v>0</v>
      </c>
      <c r="Z416" s="350">
        <f t="shared" si="467"/>
        <v>0</v>
      </c>
      <c r="AA416" s="350">
        <f t="shared" si="467"/>
        <v>0</v>
      </c>
      <c r="AB416" s="350">
        <f t="shared" si="467"/>
        <v>0</v>
      </c>
      <c r="AC416" s="350">
        <f t="shared" ref="AC416:AX416" si="468">AC272+AC283+AC312+AC350+AC358+AC395+AC402+AC414</f>
        <v>13660906.786887996</v>
      </c>
      <c r="AD416" s="349">
        <f t="shared" si="468"/>
        <v>3061927.3832680006</v>
      </c>
      <c r="AE416" s="349">
        <f t="shared" si="468"/>
        <v>2066800.9837058997</v>
      </c>
      <c r="AF416" s="349">
        <f t="shared" si="468"/>
        <v>942131.50254399993</v>
      </c>
      <c r="AG416" s="349">
        <f t="shared" si="468"/>
        <v>471065.75127199996</v>
      </c>
      <c r="AH416" s="349">
        <f t="shared" si="468"/>
        <v>471065.75127199996</v>
      </c>
      <c r="AI416" s="349">
        <f t="shared" si="468"/>
        <v>235532.87563599998</v>
      </c>
      <c r="AJ416" s="349">
        <f t="shared" si="468"/>
        <v>471065.75127199996</v>
      </c>
      <c r="AK416" s="349">
        <f t="shared" si="468"/>
        <v>471065.75127199996</v>
      </c>
      <c r="AL416" s="349">
        <f t="shared" si="468"/>
        <v>1648730.1294520004</v>
      </c>
      <c r="AM416" s="350">
        <f t="shared" si="468"/>
        <v>7248524.2476978991</v>
      </c>
      <c r="AN416" s="350">
        <f t="shared" si="468"/>
        <v>0</v>
      </c>
      <c r="AO416" s="350">
        <f t="shared" si="468"/>
        <v>0</v>
      </c>
      <c r="AP416" s="350">
        <f t="shared" si="468"/>
        <v>192595932882.32928</v>
      </c>
      <c r="AQ416" s="350">
        <f t="shared" si="468"/>
        <v>53498874.525001094</v>
      </c>
      <c r="AR416" s="350">
        <f t="shared" si="468"/>
        <v>10699774.905000217</v>
      </c>
      <c r="AS416" s="350">
        <f t="shared" si="468"/>
        <v>1526.7943642979769</v>
      </c>
      <c r="AT416" s="350">
        <f>AT272+AT283+AT312+AT350+AT358+AT395+AT402+AT414</f>
        <v>1526.7943642979769</v>
      </c>
      <c r="AU416" s="350">
        <f t="shared" si="468"/>
        <v>0</v>
      </c>
      <c r="AV416" s="350">
        <f t="shared" si="468"/>
        <v>0</v>
      </c>
      <c r="AW416" s="350"/>
      <c r="AX416" s="350">
        <f t="shared" si="468"/>
        <v>0</v>
      </c>
      <c r="AY416" s="350"/>
    </row>
    <row r="417" spans="1:51" s="139" customFormat="1" ht="10.9" customHeight="1" x14ac:dyDescent="0.25">
      <c r="Q417" s="310"/>
      <c r="R417" s="310"/>
      <c r="S417" s="310"/>
      <c r="T417" s="310"/>
      <c r="U417" s="311"/>
      <c r="V417" s="312"/>
      <c r="W417" s="310"/>
      <c r="X417" s="310"/>
      <c r="Z417" s="86"/>
      <c r="AA417" s="86"/>
      <c r="AB417" s="313"/>
      <c r="AD417" s="314"/>
      <c r="AE417" s="314"/>
      <c r="AF417" s="314"/>
      <c r="AG417" s="314"/>
      <c r="AH417" s="314"/>
      <c r="AI417" s="314"/>
      <c r="AJ417" s="314"/>
      <c r="AK417" s="314"/>
      <c r="AL417" s="314"/>
      <c r="AM417" s="315"/>
      <c r="AN417" s="310"/>
      <c r="AO417" s="316"/>
      <c r="AP417" s="310"/>
      <c r="AQ417" s="317"/>
      <c r="AR417" s="317"/>
      <c r="AS417" s="318"/>
      <c r="AT417" s="318"/>
      <c r="AU417" s="319"/>
      <c r="AV417" s="310"/>
      <c r="AW417" s="310"/>
      <c r="AX417" s="310"/>
      <c r="AY417" s="310"/>
    </row>
    <row r="418" spans="1:51" s="290" customFormat="1" ht="23.1" customHeight="1" x14ac:dyDescent="0.25">
      <c r="B418" s="291" t="s">
        <v>441</v>
      </c>
      <c r="C418" s="292"/>
      <c r="D418" s="293"/>
      <c r="E418" s="292"/>
      <c r="F418" s="292"/>
      <c r="G418" s="292"/>
      <c r="H418" s="292"/>
      <c r="I418" s="292"/>
      <c r="J418" s="292"/>
      <c r="K418" s="292"/>
      <c r="L418" s="292"/>
      <c r="M418" s="292"/>
      <c r="N418" s="292"/>
      <c r="O418" s="292"/>
      <c r="P418" s="292"/>
      <c r="Q418" s="292"/>
      <c r="R418" s="292"/>
      <c r="S418" s="294"/>
      <c r="T418" s="292"/>
      <c r="U418" s="292"/>
      <c r="V418" s="292"/>
      <c r="W418" s="292"/>
      <c r="X418" s="292"/>
      <c r="Y418" s="292"/>
      <c r="Z418" s="295"/>
      <c r="AA418" s="296"/>
      <c r="AB418" s="116"/>
      <c r="AC418" s="117"/>
      <c r="AD418" s="117"/>
      <c r="AE418" s="117"/>
      <c r="AF418" s="117"/>
      <c r="AG418" s="117"/>
      <c r="AH418" s="117"/>
      <c r="AI418" s="117"/>
      <c r="AJ418" s="117"/>
      <c r="AK418" s="117"/>
      <c r="AL418" s="117"/>
      <c r="AM418" s="117"/>
      <c r="AN418" s="297"/>
      <c r="AO418" s="292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</row>
    <row r="419" spans="1:51" s="139" customFormat="1" ht="15" customHeight="1" x14ac:dyDescent="0.25">
      <c r="A419" s="1"/>
      <c r="B419" s="126"/>
      <c r="C419" s="352" t="s">
        <v>442</v>
      </c>
      <c r="D419" s="122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213"/>
      <c r="Q419" s="76"/>
      <c r="R419" s="108"/>
      <c r="S419" s="108"/>
      <c r="T419" s="94"/>
      <c r="U419" s="199"/>
      <c r="V419" s="179"/>
      <c r="W419" s="180"/>
      <c r="X419" s="180"/>
      <c r="Y419" s="214"/>
      <c r="Z419" s="181"/>
      <c r="AA419" s="181"/>
      <c r="AB419" s="182"/>
      <c r="AC419" s="62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125"/>
      <c r="AN419" s="75"/>
      <c r="AO419" s="216"/>
      <c r="AP419" s="75"/>
      <c r="AQ419" s="51"/>
      <c r="AR419" s="259"/>
      <c r="AS419" s="218"/>
      <c r="AT419" s="219"/>
      <c r="AU419" s="220"/>
      <c r="AV419" s="135"/>
      <c r="AW419" s="136"/>
      <c r="AX419" s="137"/>
      <c r="AY419" s="138"/>
    </row>
    <row r="420" spans="1:51" ht="10.9" customHeight="1" x14ac:dyDescent="0.25">
      <c r="B420" s="140">
        <v>1</v>
      </c>
      <c r="C420" s="170" t="s">
        <v>443</v>
      </c>
      <c r="D420" s="300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7">
        <v>606044</v>
      </c>
      <c r="P420" s="237"/>
      <c r="Q420" s="223">
        <f t="shared" ref="Q420:Q426" si="469">MAX(D420:P420)</f>
        <v>606044</v>
      </c>
      <c r="R420" s="147">
        <f>Q420*$R$9</f>
        <v>88482.423999999999</v>
      </c>
      <c r="S420" s="147">
        <f t="shared" ref="S420:S429" si="470">R420/$S$5</f>
        <v>242.41759999999999</v>
      </c>
      <c r="T420" s="148">
        <f>S420*$T$5*$T$9</f>
        <v>61937.696799999998</v>
      </c>
      <c r="U420" s="199"/>
      <c r="V420" s="150"/>
      <c r="W420" s="249"/>
      <c r="X420" s="249"/>
      <c r="Y420" s="152"/>
      <c r="Z420" s="153"/>
      <c r="AA420" s="153"/>
      <c r="AB420" s="154"/>
      <c r="AC420" s="155">
        <f t="shared" ref="AC420:AC429" si="471">T420*$AC$5</f>
        <v>35923.864143999999</v>
      </c>
      <c r="AD420" s="156">
        <f t="shared" ref="AD420:AD429" si="472">T420*$AD$5</f>
        <v>8051.900584</v>
      </c>
      <c r="AE420" s="156">
        <f t="shared" ref="AE420:AE429" si="473">T420*$AE$5</f>
        <v>5435.0328941999996</v>
      </c>
      <c r="AF420" s="156">
        <f t="shared" ref="AF420:AF429" si="474">T420*$AF$5</f>
        <v>2477.5078720000001</v>
      </c>
      <c r="AG420" s="156">
        <f t="shared" ref="AG420:AG429" si="475">T420*$AG$5</f>
        <v>1238.7539360000001</v>
      </c>
      <c r="AH420" s="156">
        <f t="shared" ref="AH420:AH429" si="476">T420*$AH$5</f>
        <v>1238.7539360000001</v>
      </c>
      <c r="AI420" s="156">
        <f t="shared" ref="AI420:AI429" si="477">T420*$AI$5</f>
        <v>619.37696800000003</v>
      </c>
      <c r="AJ420" s="156">
        <f t="shared" ref="AJ420:AJ429" si="478">T420*$AJ$5</f>
        <v>1238.7539360000001</v>
      </c>
      <c r="AK420" s="156">
        <f t="shared" ref="AK420:AK429" si="479">T420*$AK$5</f>
        <v>1238.7539360000001</v>
      </c>
      <c r="AL420" s="156">
        <f t="shared" ref="AL420:AL429" si="480">T420*$AL$5</f>
        <v>4335.6387760000007</v>
      </c>
      <c r="AM420" s="157">
        <f t="shared" ref="AM420:AM426" si="481">SUM(AD420:AI420)</f>
        <v>19061.326190200001</v>
      </c>
      <c r="AN420" s="158">
        <f t="shared" ref="AN420:AN429" si="482">$AN$5</f>
        <v>2200</v>
      </c>
      <c r="AO420" s="159">
        <v>0.2</v>
      </c>
      <c r="AP420" s="160">
        <f t="shared" ref="AP420:AP429" si="483">(AC420+AM420)*AN420*$AP$5</f>
        <v>506466388.76070279</v>
      </c>
      <c r="AQ420" s="161">
        <f t="shared" ref="AQ420:AQ429" si="484">AP420*$AQ$5</f>
        <v>140685.11924389275</v>
      </c>
      <c r="AR420" s="162">
        <f t="shared" ref="AR420:AR429" si="485">AQ420*$AR$5</f>
        <v>28137.023848778554</v>
      </c>
      <c r="AS420" s="163">
        <f t="shared" ref="AS420:AS429" si="486">AR420/$AS$5</f>
        <v>4.0149862797914606</v>
      </c>
      <c r="AT420" s="164">
        <f t="shared" ref="AT420:AT426" si="487">AS420</f>
        <v>4.0149862797914606</v>
      </c>
      <c r="AU420" s="165"/>
      <c r="AV420" s="166"/>
      <c r="AW420" s="167"/>
      <c r="AX420" s="146"/>
      <c r="AY420" s="168"/>
    </row>
    <row r="421" spans="1:51" ht="10.9" customHeight="1" x14ac:dyDescent="0.25">
      <c r="B421" s="140">
        <v>2</v>
      </c>
      <c r="C421" s="170" t="s">
        <v>444</v>
      </c>
      <c r="D421" s="300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7">
        <v>868895</v>
      </c>
      <c r="P421" s="237"/>
      <c r="Q421" s="223">
        <f t="shared" si="469"/>
        <v>868895</v>
      </c>
      <c r="R421" s="147">
        <f>Q421*$R$9</f>
        <v>126858.67</v>
      </c>
      <c r="S421" s="147">
        <f t="shared" si="470"/>
        <v>347.55799999999999</v>
      </c>
      <c r="T421" s="148">
        <f>S421*$T$5*$T$9</f>
        <v>88801.068999999989</v>
      </c>
      <c r="U421" s="199"/>
      <c r="V421" s="150"/>
      <c r="W421" s="249"/>
      <c r="X421" s="249"/>
      <c r="Y421" s="152"/>
      <c r="Z421" s="153"/>
      <c r="AA421" s="153"/>
      <c r="AB421" s="154"/>
      <c r="AC421" s="155">
        <f t="shared" si="471"/>
        <v>51504.620019999988</v>
      </c>
      <c r="AD421" s="156">
        <f t="shared" si="472"/>
        <v>11544.138969999998</v>
      </c>
      <c r="AE421" s="156">
        <f t="shared" si="473"/>
        <v>7792.2938047499983</v>
      </c>
      <c r="AF421" s="156">
        <f t="shared" si="474"/>
        <v>3552.0427599999998</v>
      </c>
      <c r="AG421" s="156">
        <f t="shared" si="475"/>
        <v>1776.0213799999999</v>
      </c>
      <c r="AH421" s="156">
        <f t="shared" si="476"/>
        <v>1776.0213799999999</v>
      </c>
      <c r="AI421" s="156">
        <f t="shared" si="477"/>
        <v>888.01068999999995</v>
      </c>
      <c r="AJ421" s="156">
        <f t="shared" si="478"/>
        <v>1776.0213799999999</v>
      </c>
      <c r="AK421" s="156">
        <f t="shared" si="479"/>
        <v>1776.0213799999999</v>
      </c>
      <c r="AL421" s="156">
        <f t="shared" si="480"/>
        <v>6216.0748299999996</v>
      </c>
      <c r="AM421" s="157">
        <f t="shared" si="481"/>
        <v>27328.528984749992</v>
      </c>
      <c r="AN421" s="158">
        <f t="shared" si="482"/>
        <v>2200</v>
      </c>
      <c r="AO421" s="159">
        <v>0.2</v>
      </c>
      <c r="AP421" s="160">
        <f t="shared" si="483"/>
        <v>726128982.15679181</v>
      </c>
      <c r="AQ421" s="161">
        <f t="shared" si="484"/>
        <v>201702.51117975288</v>
      </c>
      <c r="AR421" s="162">
        <f t="shared" si="485"/>
        <v>40340.502235950582</v>
      </c>
      <c r="AS421" s="163">
        <f t="shared" si="486"/>
        <v>5.756350204901624</v>
      </c>
      <c r="AT421" s="164">
        <f t="shared" si="487"/>
        <v>5.756350204901624</v>
      </c>
      <c r="AU421" s="165"/>
      <c r="AV421" s="166"/>
      <c r="AW421" s="167"/>
      <c r="AX421" s="146"/>
      <c r="AY421" s="168"/>
    </row>
    <row r="422" spans="1:51" ht="10.9" customHeight="1" x14ac:dyDescent="0.25">
      <c r="B422" s="140">
        <v>3</v>
      </c>
      <c r="C422" s="170" t="s">
        <v>445</v>
      </c>
      <c r="D422" s="300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7">
        <v>1116745</v>
      </c>
      <c r="P422" s="237"/>
      <c r="Q422" s="223">
        <f t="shared" si="469"/>
        <v>1116745</v>
      </c>
      <c r="R422" s="147">
        <f>Q422*$R$8</f>
        <v>183146.18000000002</v>
      </c>
      <c r="S422" s="147">
        <f t="shared" si="470"/>
        <v>501.7703561643836</v>
      </c>
      <c r="T422" s="148">
        <f>S422*$T$5*$T$8</f>
        <v>146516.94400000002</v>
      </c>
      <c r="U422" s="199"/>
      <c r="V422" s="150"/>
      <c r="W422" s="249"/>
      <c r="X422" s="249"/>
      <c r="Y422" s="152"/>
      <c r="Z422" s="153"/>
      <c r="AA422" s="153"/>
      <c r="AB422" s="154"/>
      <c r="AC422" s="155">
        <f t="shared" si="471"/>
        <v>84979.827520000006</v>
      </c>
      <c r="AD422" s="156">
        <f t="shared" si="472"/>
        <v>19047.202720000001</v>
      </c>
      <c r="AE422" s="156">
        <f t="shared" si="473"/>
        <v>12856.861836</v>
      </c>
      <c r="AF422" s="156">
        <f t="shared" si="474"/>
        <v>5860.6777600000005</v>
      </c>
      <c r="AG422" s="156">
        <f t="shared" si="475"/>
        <v>2930.3388800000002</v>
      </c>
      <c r="AH422" s="156">
        <f t="shared" si="476"/>
        <v>2930.3388800000002</v>
      </c>
      <c r="AI422" s="156">
        <f t="shared" si="477"/>
        <v>1465.1694400000001</v>
      </c>
      <c r="AJ422" s="156">
        <f t="shared" si="478"/>
        <v>2930.3388800000002</v>
      </c>
      <c r="AK422" s="156">
        <f t="shared" si="479"/>
        <v>2930.3388800000002</v>
      </c>
      <c r="AL422" s="156">
        <f t="shared" si="480"/>
        <v>10256.186080000001</v>
      </c>
      <c r="AM422" s="157">
        <f t="shared" si="481"/>
        <v>45090.589516000007</v>
      </c>
      <c r="AN422" s="158">
        <f t="shared" si="482"/>
        <v>2200</v>
      </c>
      <c r="AO422" s="159">
        <v>0.2</v>
      </c>
      <c r="AP422" s="160">
        <f t="shared" si="483"/>
        <v>1198073408.5019145</v>
      </c>
      <c r="AQ422" s="161">
        <f t="shared" si="484"/>
        <v>332798.19565216312</v>
      </c>
      <c r="AR422" s="162">
        <f t="shared" si="485"/>
        <v>66559.639130432624</v>
      </c>
      <c r="AS422" s="163">
        <f t="shared" si="486"/>
        <v>9.4976654010320534</v>
      </c>
      <c r="AT422" s="164">
        <f t="shared" si="487"/>
        <v>9.4976654010320534</v>
      </c>
      <c r="AU422" s="165"/>
      <c r="AV422" s="166"/>
      <c r="AW422" s="167"/>
      <c r="AX422" s="146"/>
      <c r="AY422" s="168"/>
    </row>
    <row r="423" spans="1:51" ht="10.9" customHeight="1" x14ac:dyDescent="0.25">
      <c r="B423" s="140">
        <v>4</v>
      </c>
      <c r="C423" s="170" t="s">
        <v>446</v>
      </c>
      <c r="D423" s="300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7">
        <v>202092</v>
      </c>
      <c r="P423" s="237"/>
      <c r="Q423" s="223">
        <f t="shared" si="469"/>
        <v>202092</v>
      </c>
      <c r="R423" s="147">
        <f t="shared" ref="R423:R429" si="488">Q423*$R$10</f>
        <v>22230.12</v>
      </c>
      <c r="S423" s="147">
        <f t="shared" si="470"/>
        <v>60.904438356164384</v>
      </c>
      <c r="T423" s="148">
        <f t="shared" ref="T423:T429" si="489">S423*$T$5*$T$10</f>
        <v>13338.071999999998</v>
      </c>
      <c r="U423" s="199"/>
      <c r="V423" s="150"/>
      <c r="W423" s="249"/>
      <c r="X423" s="249"/>
      <c r="Y423" s="152"/>
      <c r="Z423" s="153"/>
      <c r="AA423" s="153"/>
      <c r="AB423" s="154"/>
      <c r="AC423" s="155">
        <f t="shared" si="471"/>
        <v>7736.0817599999982</v>
      </c>
      <c r="AD423" s="156">
        <f t="shared" si="472"/>
        <v>1733.9493599999998</v>
      </c>
      <c r="AE423" s="156">
        <f t="shared" si="473"/>
        <v>1170.4158179999997</v>
      </c>
      <c r="AF423" s="156">
        <f t="shared" si="474"/>
        <v>533.52287999999999</v>
      </c>
      <c r="AG423" s="156">
        <f t="shared" si="475"/>
        <v>266.76143999999999</v>
      </c>
      <c r="AH423" s="156">
        <f t="shared" si="476"/>
        <v>266.76143999999999</v>
      </c>
      <c r="AI423" s="156">
        <f t="shared" si="477"/>
        <v>133.38072</v>
      </c>
      <c r="AJ423" s="156">
        <f t="shared" si="478"/>
        <v>266.76143999999999</v>
      </c>
      <c r="AK423" s="156">
        <f t="shared" si="479"/>
        <v>266.76143999999999</v>
      </c>
      <c r="AL423" s="156">
        <f t="shared" si="480"/>
        <v>933.66503999999998</v>
      </c>
      <c r="AM423" s="157">
        <f t="shared" si="481"/>
        <v>4104.7916580000001</v>
      </c>
      <c r="AN423" s="158">
        <f t="shared" si="482"/>
        <v>2200</v>
      </c>
      <c r="AO423" s="159">
        <v>0.2</v>
      </c>
      <c r="AP423" s="160">
        <f t="shared" si="483"/>
        <v>109065811.41826126</v>
      </c>
      <c r="AQ423" s="161">
        <f t="shared" si="484"/>
        <v>30296.061150979491</v>
      </c>
      <c r="AR423" s="162">
        <f t="shared" si="485"/>
        <v>6059.2122301958989</v>
      </c>
      <c r="AS423" s="163">
        <f t="shared" si="486"/>
        <v>0.8646136173224741</v>
      </c>
      <c r="AT423" s="164">
        <f t="shared" si="487"/>
        <v>0.8646136173224741</v>
      </c>
      <c r="AU423" s="165"/>
      <c r="AV423" s="166"/>
      <c r="AW423" s="167"/>
      <c r="AX423" s="146"/>
      <c r="AY423" s="168"/>
    </row>
    <row r="424" spans="1:51" ht="10.9" customHeight="1" x14ac:dyDescent="0.25">
      <c r="B424" s="140">
        <v>5</v>
      </c>
      <c r="C424" s="170" t="s">
        <v>447</v>
      </c>
      <c r="D424" s="300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7">
        <v>144018</v>
      </c>
      <c r="P424" s="237"/>
      <c r="Q424" s="223">
        <f>MAX(D424:P424)</f>
        <v>144018</v>
      </c>
      <c r="R424" s="147">
        <f t="shared" si="488"/>
        <v>15841.98</v>
      </c>
      <c r="S424" s="147">
        <f t="shared" si="470"/>
        <v>43.402684931506847</v>
      </c>
      <c r="T424" s="148">
        <f t="shared" si="489"/>
        <v>9505.1880000000001</v>
      </c>
      <c r="U424" s="199"/>
      <c r="V424" s="150"/>
      <c r="W424" s="249"/>
      <c r="X424" s="249"/>
      <c r="Y424" s="152"/>
      <c r="Z424" s="153"/>
      <c r="AA424" s="153"/>
      <c r="AB424" s="154"/>
      <c r="AC424" s="155">
        <f t="shared" si="471"/>
        <v>5513.0090399999999</v>
      </c>
      <c r="AD424" s="156">
        <f t="shared" si="472"/>
        <v>1235.67444</v>
      </c>
      <c r="AE424" s="156">
        <f t="shared" si="473"/>
        <v>834.08024699999999</v>
      </c>
      <c r="AF424" s="156">
        <f t="shared" si="474"/>
        <v>380.20751999999999</v>
      </c>
      <c r="AG424" s="156">
        <f t="shared" si="475"/>
        <v>190.10375999999999</v>
      </c>
      <c r="AH424" s="156">
        <f t="shared" si="476"/>
        <v>190.10375999999999</v>
      </c>
      <c r="AI424" s="156">
        <f t="shared" si="477"/>
        <v>95.051879999999997</v>
      </c>
      <c r="AJ424" s="156">
        <f t="shared" si="478"/>
        <v>190.10375999999999</v>
      </c>
      <c r="AK424" s="156">
        <f t="shared" si="479"/>
        <v>190.10375999999999</v>
      </c>
      <c r="AL424" s="156">
        <f t="shared" si="480"/>
        <v>665.36316000000011</v>
      </c>
      <c r="AM424" s="157">
        <f>SUM(AD424:AI424)</f>
        <v>2925.2216069999999</v>
      </c>
      <c r="AN424" s="158">
        <f t="shared" si="482"/>
        <v>2200</v>
      </c>
      <c r="AO424" s="159">
        <v>0.2</v>
      </c>
      <c r="AP424" s="160">
        <f t="shared" si="483"/>
        <v>77724204.960291117</v>
      </c>
      <c r="AQ424" s="161">
        <f t="shared" si="484"/>
        <v>21590.058660618753</v>
      </c>
      <c r="AR424" s="162">
        <f t="shared" si="485"/>
        <v>4318.0117321237512</v>
      </c>
      <c r="AS424" s="163">
        <f t="shared" si="486"/>
        <v>0.61615464214094628</v>
      </c>
      <c r="AT424" s="164">
        <f>AS424</f>
        <v>0.61615464214094628</v>
      </c>
      <c r="AU424" s="165"/>
      <c r="AV424" s="166"/>
      <c r="AW424" s="167"/>
      <c r="AX424" s="146"/>
      <c r="AY424" s="168"/>
    </row>
    <row r="425" spans="1:51" ht="10.9" customHeight="1" x14ac:dyDescent="0.25">
      <c r="B425" s="140">
        <v>6</v>
      </c>
      <c r="C425" s="170" t="s">
        <v>448</v>
      </c>
      <c r="D425" s="300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7">
        <v>116112</v>
      </c>
      <c r="P425" s="237"/>
      <c r="Q425" s="223">
        <f>MAX(D425:P425)</f>
        <v>116112</v>
      </c>
      <c r="R425" s="147">
        <f t="shared" si="488"/>
        <v>12772.32</v>
      </c>
      <c r="S425" s="147">
        <f t="shared" si="470"/>
        <v>34.992657534246575</v>
      </c>
      <c r="T425" s="148">
        <f t="shared" si="489"/>
        <v>7663.3919999999998</v>
      </c>
      <c r="U425" s="199"/>
      <c r="V425" s="150"/>
      <c r="W425" s="249"/>
      <c r="X425" s="249"/>
      <c r="Y425" s="152"/>
      <c r="Z425" s="153"/>
      <c r="AA425" s="153"/>
      <c r="AB425" s="154"/>
      <c r="AC425" s="155">
        <f t="shared" si="471"/>
        <v>4444.7673599999998</v>
      </c>
      <c r="AD425" s="156">
        <f t="shared" si="472"/>
        <v>996.24095999999997</v>
      </c>
      <c r="AE425" s="156">
        <f t="shared" si="473"/>
        <v>672.46264799999994</v>
      </c>
      <c r="AF425" s="156">
        <f t="shared" si="474"/>
        <v>306.53568000000001</v>
      </c>
      <c r="AG425" s="156">
        <f t="shared" si="475"/>
        <v>153.26784000000001</v>
      </c>
      <c r="AH425" s="156">
        <f t="shared" si="476"/>
        <v>153.26784000000001</v>
      </c>
      <c r="AI425" s="156">
        <f t="shared" si="477"/>
        <v>76.633920000000003</v>
      </c>
      <c r="AJ425" s="156">
        <f t="shared" si="478"/>
        <v>153.26784000000001</v>
      </c>
      <c r="AK425" s="156">
        <f t="shared" si="479"/>
        <v>153.26784000000001</v>
      </c>
      <c r="AL425" s="156">
        <f t="shared" si="480"/>
        <v>536.43744000000004</v>
      </c>
      <c r="AM425" s="157">
        <f>SUM(AD425:AI425)</f>
        <v>2358.4088879999999</v>
      </c>
      <c r="AN425" s="158">
        <f t="shared" si="482"/>
        <v>2200</v>
      </c>
      <c r="AO425" s="159">
        <v>0.2</v>
      </c>
      <c r="AP425" s="160">
        <f t="shared" si="483"/>
        <v>62663784.293278076</v>
      </c>
      <c r="AQ425" s="161">
        <f t="shared" si="484"/>
        <v>17406.608140661338</v>
      </c>
      <c r="AR425" s="162">
        <f t="shared" si="485"/>
        <v>3481.3216281322675</v>
      </c>
      <c r="AS425" s="163">
        <f t="shared" si="486"/>
        <v>0.49676393095494686</v>
      </c>
      <c r="AT425" s="164">
        <f>AS425</f>
        <v>0.49676393095494686</v>
      </c>
      <c r="AU425" s="165"/>
      <c r="AV425" s="166"/>
      <c r="AW425" s="167"/>
      <c r="AX425" s="146"/>
      <c r="AY425" s="168"/>
    </row>
    <row r="426" spans="1:51" ht="10.9" customHeight="1" x14ac:dyDescent="0.25">
      <c r="B426" s="140">
        <v>7</v>
      </c>
      <c r="C426" s="170" t="s">
        <v>449</v>
      </c>
      <c r="D426" s="300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7">
        <v>419987</v>
      </c>
      <c r="P426" s="237"/>
      <c r="Q426" s="223">
        <f t="shared" si="469"/>
        <v>419987</v>
      </c>
      <c r="R426" s="147">
        <f t="shared" si="488"/>
        <v>46198.57</v>
      </c>
      <c r="S426" s="147">
        <f t="shared" si="470"/>
        <v>126.57142465753425</v>
      </c>
      <c r="T426" s="148">
        <f t="shared" si="489"/>
        <v>27719.142</v>
      </c>
      <c r="U426" s="199"/>
      <c r="V426" s="150"/>
      <c r="W426" s="249"/>
      <c r="X426" s="249"/>
      <c r="Y426" s="152"/>
      <c r="Z426" s="153"/>
      <c r="AA426" s="153"/>
      <c r="AB426" s="154"/>
      <c r="AC426" s="155">
        <f t="shared" si="471"/>
        <v>16077.102359999999</v>
      </c>
      <c r="AD426" s="156">
        <f t="shared" si="472"/>
        <v>3603.48846</v>
      </c>
      <c r="AE426" s="156">
        <f t="shared" si="473"/>
        <v>2432.3547104999998</v>
      </c>
      <c r="AF426" s="156">
        <f t="shared" si="474"/>
        <v>1108.76568</v>
      </c>
      <c r="AG426" s="156">
        <f t="shared" si="475"/>
        <v>554.38283999999999</v>
      </c>
      <c r="AH426" s="156">
        <f t="shared" si="476"/>
        <v>554.38283999999999</v>
      </c>
      <c r="AI426" s="156">
        <f t="shared" si="477"/>
        <v>277.19141999999999</v>
      </c>
      <c r="AJ426" s="156">
        <f t="shared" si="478"/>
        <v>554.38283999999999</v>
      </c>
      <c r="AK426" s="156">
        <f t="shared" si="479"/>
        <v>554.38283999999999</v>
      </c>
      <c r="AL426" s="156">
        <f t="shared" si="480"/>
        <v>1940.3399400000001</v>
      </c>
      <c r="AM426" s="157">
        <f t="shared" si="481"/>
        <v>8530.5659505000003</v>
      </c>
      <c r="AN426" s="158">
        <f t="shared" si="482"/>
        <v>2200</v>
      </c>
      <c r="AO426" s="159">
        <v>0.2</v>
      </c>
      <c r="AP426" s="160">
        <f t="shared" si="483"/>
        <v>226660248.50128305</v>
      </c>
      <c r="AQ426" s="161">
        <f t="shared" si="484"/>
        <v>62961.185176139705</v>
      </c>
      <c r="AR426" s="162">
        <f t="shared" si="485"/>
        <v>12592.237035227941</v>
      </c>
      <c r="AS426" s="163">
        <f t="shared" si="486"/>
        <v>1.7968374764880053</v>
      </c>
      <c r="AT426" s="164">
        <f t="shared" si="487"/>
        <v>1.7968374764880053</v>
      </c>
      <c r="AU426" s="165"/>
      <c r="AV426" s="166"/>
      <c r="AW426" s="167"/>
      <c r="AX426" s="146"/>
      <c r="AY426" s="168"/>
    </row>
    <row r="427" spans="1:51" ht="10.9" customHeight="1" x14ac:dyDescent="0.25">
      <c r="B427" s="140">
        <v>8</v>
      </c>
      <c r="C427" s="170" t="s">
        <v>450</v>
      </c>
      <c r="D427" s="300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7">
        <v>221184</v>
      </c>
      <c r="P427" s="237"/>
      <c r="Q427" s="223">
        <f>MAX(D427:P427)</f>
        <v>221184</v>
      </c>
      <c r="R427" s="147">
        <f t="shared" si="488"/>
        <v>24330.240000000002</v>
      </c>
      <c r="S427" s="147">
        <f t="shared" si="470"/>
        <v>66.658191780821923</v>
      </c>
      <c r="T427" s="148">
        <f t="shared" si="489"/>
        <v>14598.144</v>
      </c>
      <c r="U427" s="199"/>
      <c r="V427" s="150"/>
      <c r="W427" s="249"/>
      <c r="X427" s="249"/>
      <c r="Y427" s="152"/>
      <c r="Z427" s="153"/>
      <c r="AA427" s="153"/>
      <c r="AB427" s="154"/>
      <c r="AC427" s="155">
        <f t="shared" si="471"/>
        <v>8466.9235200000003</v>
      </c>
      <c r="AD427" s="156">
        <f t="shared" si="472"/>
        <v>1897.75872</v>
      </c>
      <c r="AE427" s="156">
        <f t="shared" si="473"/>
        <v>1280.987136</v>
      </c>
      <c r="AF427" s="156">
        <f t="shared" si="474"/>
        <v>583.92575999999997</v>
      </c>
      <c r="AG427" s="156">
        <f t="shared" si="475"/>
        <v>291.96287999999998</v>
      </c>
      <c r="AH427" s="156">
        <f t="shared" si="476"/>
        <v>291.96287999999998</v>
      </c>
      <c r="AI427" s="156">
        <f t="shared" si="477"/>
        <v>145.98143999999999</v>
      </c>
      <c r="AJ427" s="156">
        <f t="shared" si="478"/>
        <v>291.96287999999998</v>
      </c>
      <c r="AK427" s="156">
        <f t="shared" si="479"/>
        <v>291.96287999999998</v>
      </c>
      <c r="AL427" s="156">
        <f t="shared" si="480"/>
        <v>1021.8700800000001</v>
      </c>
      <c r="AM427" s="157">
        <f>SUM(AD427:AI427)</f>
        <v>4492.5788159999993</v>
      </c>
      <c r="AN427" s="158">
        <f t="shared" si="482"/>
        <v>2200</v>
      </c>
      <c r="AO427" s="159">
        <v>0.2</v>
      </c>
      <c r="AP427" s="160">
        <f t="shared" si="483"/>
        <v>119369457.63680255</v>
      </c>
      <c r="AQ427" s="161">
        <f t="shared" si="484"/>
        <v>33158.185329544212</v>
      </c>
      <c r="AR427" s="162">
        <f t="shared" si="485"/>
        <v>6631.6370659088425</v>
      </c>
      <c r="AS427" s="163">
        <f t="shared" si="486"/>
        <v>0.94629524342306537</v>
      </c>
      <c r="AT427" s="164">
        <f>AS427</f>
        <v>0.94629524342306537</v>
      </c>
      <c r="AU427" s="165"/>
      <c r="AV427" s="166"/>
      <c r="AW427" s="167"/>
      <c r="AX427" s="146"/>
      <c r="AY427" s="168"/>
    </row>
    <row r="428" spans="1:51" ht="10.9" customHeight="1" x14ac:dyDescent="0.25">
      <c r="B428" s="140">
        <v>9</v>
      </c>
      <c r="C428" s="170" t="s">
        <v>451</v>
      </c>
      <c r="D428" s="300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7">
        <v>443663</v>
      </c>
      <c r="P428" s="237"/>
      <c r="Q428" s="223">
        <f>MAX(D428:P428)</f>
        <v>443663</v>
      </c>
      <c r="R428" s="147">
        <f t="shared" si="488"/>
        <v>48802.93</v>
      </c>
      <c r="S428" s="147">
        <f t="shared" si="470"/>
        <v>133.70665753424657</v>
      </c>
      <c r="T428" s="148">
        <f t="shared" si="489"/>
        <v>29281.757999999998</v>
      </c>
      <c r="U428" s="199"/>
      <c r="V428" s="150"/>
      <c r="W428" s="249"/>
      <c r="X428" s="249"/>
      <c r="Y428" s="152"/>
      <c r="Z428" s="153"/>
      <c r="AA428" s="153"/>
      <c r="AB428" s="154"/>
      <c r="AC428" s="155">
        <f t="shared" si="471"/>
        <v>16983.419639999996</v>
      </c>
      <c r="AD428" s="156">
        <f t="shared" si="472"/>
        <v>3806.6285399999997</v>
      </c>
      <c r="AE428" s="156">
        <f t="shared" si="473"/>
        <v>2569.4742644999997</v>
      </c>
      <c r="AF428" s="156">
        <f t="shared" si="474"/>
        <v>1171.2703199999999</v>
      </c>
      <c r="AG428" s="156">
        <f t="shared" si="475"/>
        <v>585.63515999999993</v>
      </c>
      <c r="AH428" s="156">
        <f t="shared" si="476"/>
        <v>585.63515999999993</v>
      </c>
      <c r="AI428" s="156">
        <f t="shared" si="477"/>
        <v>292.81757999999996</v>
      </c>
      <c r="AJ428" s="156">
        <f t="shared" si="478"/>
        <v>585.63515999999993</v>
      </c>
      <c r="AK428" s="156">
        <f t="shared" si="479"/>
        <v>585.63515999999993</v>
      </c>
      <c r="AL428" s="156">
        <f t="shared" si="480"/>
        <v>2049.7230600000003</v>
      </c>
      <c r="AM428" s="157">
        <f>SUM(AD428:AI428)</f>
        <v>9011.4610245000003</v>
      </c>
      <c r="AN428" s="158">
        <f t="shared" si="482"/>
        <v>2200</v>
      </c>
      <c r="AO428" s="159">
        <v>0.2</v>
      </c>
      <c r="AP428" s="160">
        <f t="shared" si="483"/>
        <v>239437806.00548288</v>
      </c>
      <c r="AQ428" s="161">
        <f t="shared" si="484"/>
        <v>66510.506989029818</v>
      </c>
      <c r="AR428" s="162">
        <f t="shared" si="485"/>
        <v>13302.101397805964</v>
      </c>
      <c r="AS428" s="163">
        <f t="shared" si="486"/>
        <v>1.8981309072211705</v>
      </c>
      <c r="AT428" s="164">
        <f>AS428</f>
        <v>1.8981309072211705</v>
      </c>
      <c r="AU428" s="165"/>
      <c r="AV428" s="166"/>
      <c r="AW428" s="167"/>
      <c r="AX428" s="146"/>
      <c r="AY428" s="168"/>
    </row>
    <row r="429" spans="1:51" ht="10.9" customHeight="1" x14ac:dyDescent="0.25">
      <c r="B429" s="140">
        <v>10</v>
      </c>
      <c r="C429" s="170" t="s">
        <v>452</v>
      </c>
      <c r="D429" s="300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7">
        <v>443663</v>
      </c>
      <c r="P429" s="237"/>
      <c r="Q429" s="223">
        <f>MAX(D429:P429)</f>
        <v>443663</v>
      </c>
      <c r="R429" s="147">
        <f t="shared" si="488"/>
        <v>48802.93</v>
      </c>
      <c r="S429" s="147">
        <f t="shared" si="470"/>
        <v>133.70665753424657</v>
      </c>
      <c r="T429" s="148">
        <f t="shared" si="489"/>
        <v>29281.757999999998</v>
      </c>
      <c r="U429" s="199"/>
      <c r="V429" s="150"/>
      <c r="W429" s="249"/>
      <c r="X429" s="249"/>
      <c r="Y429" s="152"/>
      <c r="Z429" s="153"/>
      <c r="AA429" s="153"/>
      <c r="AB429" s="154"/>
      <c r="AC429" s="155">
        <f t="shared" si="471"/>
        <v>16983.419639999996</v>
      </c>
      <c r="AD429" s="156">
        <f t="shared" si="472"/>
        <v>3806.6285399999997</v>
      </c>
      <c r="AE429" s="156">
        <f t="shared" si="473"/>
        <v>2569.4742644999997</v>
      </c>
      <c r="AF429" s="156">
        <f t="shared" si="474"/>
        <v>1171.2703199999999</v>
      </c>
      <c r="AG429" s="156">
        <f t="shared" si="475"/>
        <v>585.63515999999993</v>
      </c>
      <c r="AH429" s="156">
        <f t="shared" si="476"/>
        <v>585.63515999999993</v>
      </c>
      <c r="AI429" s="156">
        <f t="shared" si="477"/>
        <v>292.81757999999996</v>
      </c>
      <c r="AJ429" s="156">
        <f t="shared" si="478"/>
        <v>585.63515999999993</v>
      </c>
      <c r="AK429" s="156">
        <f t="shared" si="479"/>
        <v>585.63515999999993</v>
      </c>
      <c r="AL429" s="156">
        <f t="shared" si="480"/>
        <v>2049.7230600000003</v>
      </c>
      <c r="AM429" s="157">
        <f>SUM(AD429:AI429)</f>
        <v>9011.4610245000003</v>
      </c>
      <c r="AN429" s="158">
        <f t="shared" si="482"/>
        <v>2200</v>
      </c>
      <c r="AO429" s="159">
        <v>0.2</v>
      </c>
      <c r="AP429" s="160">
        <f t="shared" si="483"/>
        <v>239437806.00548288</v>
      </c>
      <c r="AQ429" s="161">
        <f t="shared" si="484"/>
        <v>66510.506989029818</v>
      </c>
      <c r="AR429" s="162">
        <f t="shared" si="485"/>
        <v>13302.101397805964</v>
      </c>
      <c r="AS429" s="163">
        <f t="shared" si="486"/>
        <v>1.8981309072211705</v>
      </c>
      <c r="AT429" s="164">
        <f>AS429</f>
        <v>1.8981309072211705</v>
      </c>
      <c r="AU429" s="165"/>
      <c r="AV429" s="166"/>
      <c r="AW429" s="167"/>
      <c r="AX429" s="146"/>
      <c r="AY429" s="168"/>
    </row>
    <row r="430" spans="1:51" s="263" customFormat="1" ht="16.7" customHeight="1" x14ac:dyDescent="0.25">
      <c r="A430" s="173"/>
      <c r="B430" s="225"/>
      <c r="C430" s="352" t="s">
        <v>453</v>
      </c>
      <c r="D430" s="240">
        <f t="shared" ref="D430:J430" si="490">SUM(D420:D429)</f>
        <v>0</v>
      </c>
      <c r="E430" s="240">
        <f t="shared" si="490"/>
        <v>0</v>
      </c>
      <c r="F430" s="240">
        <f t="shared" si="490"/>
        <v>0</v>
      </c>
      <c r="G430" s="240">
        <f t="shared" si="490"/>
        <v>0</v>
      </c>
      <c r="H430" s="240">
        <f t="shared" si="490"/>
        <v>0</v>
      </c>
      <c r="I430" s="240">
        <f t="shared" si="490"/>
        <v>0</v>
      </c>
      <c r="J430" s="240">
        <f t="shared" si="490"/>
        <v>0</v>
      </c>
      <c r="K430" s="240">
        <v>4292491</v>
      </c>
      <c r="L430" s="240">
        <v>4363756</v>
      </c>
      <c r="M430" s="240">
        <v>4434012</v>
      </c>
      <c r="N430" s="240">
        <v>4500212</v>
      </c>
      <c r="O430" s="240">
        <f t="shared" ref="O430:U430" si="491">SUM(O420:O429)</f>
        <v>4582403</v>
      </c>
      <c r="P430" s="240">
        <f t="shared" si="491"/>
        <v>0</v>
      </c>
      <c r="Q430" s="240">
        <f t="shared" si="491"/>
        <v>4582403</v>
      </c>
      <c r="R430" s="240">
        <f t="shared" si="491"/>
        <v>617466.36400000006</v>
      </c>
      <c r="S430" s="240">
        <f t="shared" si="491"/>
        <v>1691.6886684931505</v>
      </c>
      <c r="T430" s="240">
        <f t="shared" si="491"/>
        <v>428643.16379999998</v>
      </c>
      <c r="U430" s="199">
        <f t="shared" si="491"/>
        <v>0</v>
      </c>
      <c r="V430" s="241"/>
      <c r="W430" s="242">
        <f>SUM(W420:W429)</f>
        <v>0</v>
      </c>
      <c r="X430" s="242">
        <f>SUM(X420:X429)</f>
        <v>0</v>
      </c>
      <c r="Y430" s="242">
        <f>SUM(Y420:Y429)</f>
        <v>0</v>
      </c>
      <c r="Z430" s="199"/>
      <c r="AA430" s="199"/>
      <c r="AB430" s="243"/>
      <c r="AC430" s="240">
        <f t="shared" ref="AC430:AM430" si="492">SUM(AC420:AC429)</f>
        <v>248613.03500400003</v>
      </c>
      <c r="AD430" s="244">
        <f t="shared" si="492"/>
        <v>55723.611294000002</v>
      </c>
      <c r="AE430" s="244">
        <f t="shared" si="492"/>
        <v>37613.437623450001</v>
      </c>
      <c r="AF430" s="244">
        <f t="shared" si="492"/>
        <v>17145.726552000004</v>
      </c>
      <c r="AG430" s="244">
        <f t="shared" si="492"/>
        <v>8572.8632760000019</v>
      </c>
      <c r="AH430" s="244">
        <f t="shared" si="492"/>
        <v>8572.8632760000019</v>
      </c>
      <c r="AI430" s="244">
        <f t="shared" si="492"/>
        <v>4286.4316380000009</v>
      </c>
      <c r="AJ430" s="244">
        <f t="shared" si="492"/>
        <v>8572.8632760000019</v>
      </c>
      <c r="AK430" s="244">
        <f t="shared" si="492"/>
        <v>8572.8632760000019</v>
      </c>
      <c r="AL430" s="244">
        <f t="shared" si="492"/>
        <v>30005.021466000009</v>
      </c>
      <c r="AM430" s="245">
        <f t="shared" si="492"/>
        <v>131914.93365944998</v>
      </c>
      <c r="AN430" s="158"/>
      <c r="AO430" s="183"/>
      <c r="AP430" s="160">
        <f>SUM(AP420:AP429)</f>
        <v>3505027898.2402902</v>
      </c>
      <c r="AQ430" s="160">
        <f>SUM(AQ420:AQ429)</f>
        <v>973618.9385118119</v>
      </c>
      <c r="AR430" s="160">
        <f>SUM(AR420:AR429)</f>
        <v>194723.78770236237</v>
      </c>
      <c r="AS430" s="185">
        <f>SUM(AS420:AS429)</f>
        <v>27.785928610496914</v>
      </c>
      <c r="AT430" s="186">
        <f>SUM(AT420:AT429)</f>
        <v>27.785928610496914</v>
      </c>
      <c r="AU430" s="187"/>
      <c r="AV430" s="246">
        <f>SUM(AV420:AV429)</f>
        <v>0</v>
      </c>
      <c r="AW430" s="246"/>
      <c r="AX430" s="185">
        <f>SUM(AX420:AX429)</f>
        <v>0</v>
      </c>
      <c r="AY430" s="189"/>
    </row>
    <row r="431" spans="1:51" s="139" customFormat="1" ht="10.9" customHeight="1" x14ac:dyDescent="0.25">
      <c r="B431" s="247"/>
      <c r="C431" s="152"/>
      <c r="D431" s="247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248"/>
      <c r="Q431" s="249"/>
      <c r="R431" s="250"/>
      <c r="S431" s="250"/>
      <c r="T431" s="251"/>
      <c r="U431" s="199"/>
      <c r="V431" s="179"/>
      <c r="W431" s="249"/>
      <c r="X431" s="249"/>
      <c r="Y431" s="152"/>
      <c r="Z431" s="153"/>
      <c r="AA431" s="153"/>
      <c r="AB431" s="154"/>
      <c r="AC431" s="247"/>
      <c r="AD431" s="252"/>
      <c r="AE431" s="252"/>
      <c r="AF431" s="252"/>
      <c r="AG431" s="252"/>
      <c r="AH431" s="252"/>
      <c r="AI431" s="252"/>
      <c r="AJ431" s="252"/>
      <c r="AK431" s="252"/>
      <c r="AL431" s="252"/>
      <c r="AM431" s="214"/>
      <c r="AN431" s="203"/>
      <c r="AO431" s="204"/>
      <c r="AP431" s="203"/>
      <c r="AQ431" s="205"/>
      <c r="AR431" s="206"/>
      <c r="AS431" s="253"/>
      <c r="AT431" s="254"/>
      <c r="AU431" s="255"/>
      <c r="AV431" s="256"/>
      <c r="AW431" s="257"/>
      <c r="AX431" s="214"/>
      <c r="AY431" s="212"/>
    </row>
    <row r="432" spans="1:51" s="139" customFormat="1" ht="15" customHeight="1" x14ac:dyDescent="0.25">
      <c r="A432" s="1"/>
      <c r="B432" s="126"/>
      <c r="C432" s="352" t="s">
        <v>454</v>
      </c>
      <c r="D432" s="122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213"/>
      <c r="Q432" s="76"/>
      <c r="R432" s="108"/>
      <c r="S432" s="108"/>
      <c r="T432" s="94"/>
      <c r="U432" s="199"/>
      <c r="V432" s="179"/>
      <c r="W432" s="180"/>
      <c r="X432" s="180"/>
      <c r="Y432" s="214"/>
      <c r="Z432" s="181"/>
      <c r="AA432" s="181"/>
      <c r="AB432" s="182"/>
      <c r="AC432" s="62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125"/>
      <c r="AN432" s="75"/>
      <c r="AO432" s="216"/>
      <c r="AP432" s="75"/>
      <c r="AQ432" s="51"/>
      <c r="AR432" s="259"/>
      <c r="AS432" s="218"/>
      <c r="AT432" s="219"/>
      <c r="AU432" s="220"/>
      <c r="AV432" s="135"/>
      <c r="AW432" s="136"/>
      <c r="AX432" s="137"/>
      <c r="AY432" s="138"/>
    </row>
    <row r="433" spans="2:51" ht="10.9" customHeight="1" x14ac:dyDescent="0.25">
      <c r="B433" s="140">
        <v>1</v>
      </c>
      <c r="C433" s="339" t="s">
        <v>455</v>
      </c>
      <c r="D433" s="235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>
        <v>226089</v>
      </c>
      <c r="P433" s="237"/>
      <c r="Q433" s="223">
        <f t="shared" ref="Q433:Q453" si="493">MAX(D433:P433)</f>
        <v>226089</v>
      </c>
      <c r="R433" s="147">
        <f t="shared" ref="R433:R453" si="494">Q433*$R$10</f>
        <v>24869.79</v>
      </c>
      <c r="S433" s="147">
        <f t="shared" ref="S433:S453" si="495">R433/$S$5</f>
        <v>68.136410958904108</v>
      </c>
      <c r="T433" s="148">
        <f t="shared" ref="T433:T453" si="496">S433*$T$5*$T$10</f>
        <v>14921.874</v>
      </c>
      <c r="U433" s="199"/>
      <c r="V433" s="150"/>
      <c r="W433" s="249"/>
      <c r="X433" s="249"/>
      <c r="Y433" s="152"/>
      <c r="Z433" s="153"/>
      <c r="AA433" s="153"/>
      <c r="AB433" s="154"/>
      <c r="AC433" s="155">
        <f t="shared" ref="AC433:AC453" si="497">T433*$AC$5</f>
        <v>8654.6869200000001</v>
      </c>
      <c r="AD433" s="156">
        <f t="shared" ref="AD433:AD453" si="498">T433*$AD$5</f>
        <v>1939.8436200000001</v>
      </c>
      <c r="AE433" s="156">
        <f t="shared" ref="AE433:AE453" si="499">T433*$AE$5</f>
        <v>1309.3944434999999</v>
      </c>
      <c r="AF433" s="156">
        <f t="shared" ref="AF433:AF453" si="500">T433*$AF$5</f>
        <v>596.87495999999999</v>
      </c>
      <c r="AG433" s="156">
        <f t="shared" ref="AG433:AG453" si="501">T433*$AG$5</f>
        <v>298.43747999999999</v>
      </c>
      <c r="AH433" s="156">
        <f t="shared" ref="AH433:AH453" si="502">T433*$AH$5</f>
        <v>298.43747999999999</v>
      </c>
      <c r="AI433" s="156">
        <f t="shared" ref="AI433:AI453" si="503">T433*$AI$5</f>
        <v>149.21874</v>
      </c>
      <c r="AJ433" s="156">
        <f t="shared" ref="AJ433:AJ453" si="504">T433*$AJ$5</f>
        <v>298.43747999999999</v>
      </c>
      <c r="AK433" s="156">
        <f t="shared" ref="AK433:AK453" si="505">T433*$AK$5</f>
        <v>298.43747999999999</v>
      </c>
      <c r="AL433" s="156">
        <f t="shared" ref="AL433:AL453" si="506">T433*$AL$5</f>
        <v>1044.5311800000002</v>
      </c>
      <c r="AM433" s="157">
        <f t="shared" ref="AM433:AM453" si="507">SUM(AD433:AI433)</f>
        <v>4592.2067234999995</v>
      </c>
      <c r="AN433" s="158">
        <f t="shared" ref="AN433:AN453" si="508">$AN$5</f>
        <v>2200</v>
      </c>
      <c r="AO433" s="159">
        <v>0.2</v>
      </c>
      <c r="AP433" s="160">
        <f t="shared" ref="AP433:AP453" si="509">(AC433+AM433)*AN433*$AP$5</f>
        <v>122016607.47453274</v>
      </c>
      <c r="AQ433" s="161">
        <f t="shared" ref="AQ433:AQ453" si="510">AP433*$AQ$5</f>
        <v>33893.504787739257</v>
      </c>
      <c r="AR433" s="162">
        <f t="shared" ref="AR433:AR453" si="511">AQ433*$AR$5</f>
        <v>6778.7009575478514</v>
      </c>
      <c r="AS433" s="163">
        <f t="shared" ref="AS433:AS453" si="512">AR433/$AS$5</f>
        <v>0.96728038777794678</v>
      </c>
      <c r="AT433" s="164">
        <f t="shared" ref="AT433:AT453" si="513">AS433</f>
        <v>0.96728038777794678</v>
      </c>
      <c r="AU433" s="165"/>
      <c r="AV433" s="166"/>
      <c r="AW433" s="167"/>
      <c r="AX433" s="146"/>
      <c r="AY433" s="168"/>
    </row>
    <row r="434" spans="2:51" ht="10.9" customHeight="1" x14ac:dyDescent="0.25">
      <c r="B434" s="140">
        <v>2</v>
      </c>
      <c r="C434" s="339" t="s">
        <v>456</v>
      </c>
      <c r="D434" s="235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>
        <v>298236</v>
      </c>
      <c r="P434" s="237"/>
      <c r="Q434" s="223">
        <f t="shared" si="493"/>
        <v>298236</v>
      </c>
      <c r="R434" s="147">
        <f t="shared" si="494"/>
        <v>32805.96</v>
      </c>
      <c r="S434" s="147">
        <f t="shared" si="495"/>
        <v>89.879342465753425</v>
      </c>
      <c r="T434" s="148">
        <f t="shared" si="496"/>
        <v>19683.575999999997</v>
      </c>
      <c r="U434" s="199"/>
      <c r="V434" s="150"/>
      <c r="W434" s="249"/>
      <c r="X434" s="249"/>
      <c r="Y434" s="152"/>
      <c r="Z434" s="153"/>
      <c r="AA434" s="153"/>
      <c r="AB434" s="154"/>
      <c r="AC434" s="155">
        <f t="shared" si="497"/>
        <v>11416.474079999998</v>
      </c>
      <c r="AD434" s="156">
        <f t="shared" si="498"/>
        <v>2558.8648799999996</v>
      </c>
      <c r="AE434" s="156">
        <f t="shared" si="499"/>
        <v>1727.2337939999998</v>
      </c>
      <c r="AF434" s="156">
        <f t="shared" si="500"/>
        <v>787.34303999999986</v>
      </c>
      <c r="AG434" s="156">
        <f t="shared" si="501"/>
        <v>393.67151999999993</v>
      </c>
      <c r="AH434" s="156">
        <f t="shared" si="502"/>
        <v>393.67151999999993</v>
      </c>
      <c r="AI434" s="156">
        <f t="shared" si="503"/>
        <v>196.83575999999996</v>
      </c>
      <c r="AJ434" s="156">
        <f t="shared" si="504"/>
        <v>393.67151999999993</v>
      </c>
      <c r="AK434" s="156">
        <f t="shared" si="505"/>
        <v>393.67151999999993</v>
      </c>
      <c r="AL434" s="156">
        <f t="shared" si="506"/>
        <v>1377.85032</v>
      </c>
      <c r="AM434" s="157">
        <f t="shared" si="507"/>
        <v>6057.6205139999984</v>
      </c>
      <c r="AN434" s="158">
        <f t="shared" si="508"/>
        <v>2200</v>
      </c>
      <c r="AO434" s="159">
        <v>0.2</v>
      </c>
      <c r="AP434" s="160">
        <f t="shared" si="509"/>
        <v>160953186.3415502</v>
      </c>
      <c r="AQ434" s="161">
        <f t="shared" si="510"/>
        <v>44709.222004945863</v>
      </c>
      <c r="AR434" s="162">
        <f t="shared" si="511"/>
        <v>8941.8444009891737</v>
      </c>
      <c r="AS434" s="163">
        <f t="shared" si="512"/>
        <v>1.2759481165795055</v>
      </c>
      <c r="AT434" s="164">
        <f t="shared" si="513"/>
        <v>1.2759481165795055</v>
      </c>
      <c r="AU434" s="165"/>
      <c r="AV434" s="166"/>
      <c r="AW434" s="167"/>
      <c r="AX434" s="146"/>
      <c r="AY434" s="168"/>
    </row>
    <row r="435" spans="2:51" ht="10.9" customHeight="1" x14ac:dyDescent="0.25">
      <c r="B435" s="140">
        <v>3</v>
      </c>
      <c r="C435" s="339" t="s">
        <v>457</v>
      </c>
      <c r="D435" s="235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>
        <v>257744</v>
      </c>
      <c r="P435" s="237"/>
      <c r="Q435" s="223">
        <f t="shared" si="493"/>
        <v>257744</v>
      </c>
      <c r="R435" s="147">
        <f t="shared" si="494"/>
        <v>28351.84</v>
      </c>
      <c r="S435" s="147">
        <f t="shared" si="495"/>
        <v>77.676273972602743</v>
      </c>
      <c r="T435" s="148">
        <f t="shared" si="496"/>
        <v>17011.103999999999</v>
      </c>
      <c r="U435" s="199"/>
      <c r="V435" s="150"/>
      <c r="W435" s="249"/>
      <c r="X435" s="249"/>
      <c r="Y435" s="152"/>
      <c r="Z435" s="153"/>
      <c r="AA435" s="153"/>
      <c r="AB435" s="154"/>
      <c r="AC435" s="155">
        <f t="shared" si="497"/>
        <v>9866.4403199999997</v>
      </c>
      <c r="AD435" s="156">
        <f t="shared" si="498"/>
        <v>2211.4435199999998</v>
      </c>
      <c r="AE435" s="156">
        <f t="shared" si="499"/>
        <v>1492.7243759999999</v>
      </c>
      <c r="AF435" s="156">
        <f t="shared" si="500"/>
        <v>680.44416000000001</v>
      </c>
      <c r="AG435" s="156">
        <f t="shared" si="501"/>
        <v>340.22208000000001</v>
      </c>
      <c r="AH435" s="156">
        <f t="shared" si="502"/>
        <v>340.22208000000001</v>
      </c>
      <c r="AI435" s="156">
        <f t="shared" si="503"/>
        <v>170.11104</v>
      </c>
      <c r="AJ435" s="156">
        <f t="shared" si="504"/>
        <v>340.22208000000001</v>
      </c>
      <c r="AK435" s="156">
        <f t="shared" si="505"/>
        <v>340.22208000000001</v>
      </c>
      <c r="AL435" s="156">
        <f t="shared" si="506"/>
        <v>1190.77728</v>
      </c>
      <c r="AM435" s="157">
        <f t="shared" si="507"/>
        <v>5235.1672559999988</v>
      </c>
      <c r="AN435" s="158">
        <f t="shared" si="508"/>
        <v>2200</v>
      </c>
      <c r="AO435" s="159">
        <v>0.2</v>
      </c>
      <c r="AP435" s="160">
        <f t="shared" si="509"/>
        <v>139100303.31823292</v>
      </c>
      <c r="AQ435" s="161">
        <f t="shared" si="510"/>
        <v>38638.976235071437</v>
      </c>
      <c r="AR435" s="162">
        <f t="shared" si="511"/>
        <v>7727.7952470142882</v>
      </c>
      <c r="AS435" s="163">
        <f t="shared" si="512"/>
        <v>1.1027105089917648</v>
      </c>
      <c r="AT435" s="164">
        <f t="shared" si="513"/>
        <v>1.1027105089917648</v>
      </c>
      <c r="AU435" s="165"/>
      <c r="AV435" s="166"/>
      <c r="AW435" s="167"/>
      <c r="AX435" s="146"/>
      <c r="AY435" s="168"/>
    </row>
    <row r="436" spans="2:51" ht="10.9" customHeight="1" x14ac:dyDescent="0.25">
      <c r="B436" s="140">
        <v>4</v>
      </c>
      <c r="C436" s="339" t="s">
        <v>458</v>
      </c>
      <c r="D436" s="235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>
        <v>145210</v>
      </c>
      <c r="P436" s="237"/>
      <c r="Q436" s="223">
        <f t="shared" si="493"/>
        <v>145210</v>
      </c>
      <c r="R436" s="147">
        <f t="shared" si="494"/>
        <v>15973.1</v>
      </c>
      <c r="S436" s="147">
        <f t="shared" si="495"/>
        <v>43.761917808219181</v>
      </c>
      <c r="T436" s="148">
        <f t="shared" si="496"/>
        <v>9583.86</v>
      </c>
      <c r="U436" s="199"/>
      <c r="V436" s="150"/>
      <c r="W436" s="249"/>
      <c r="X436" s="249"/>
      <c r="Y436" s="152"/>
      <c r="Z436" s="153"/>
      <c r="AA436" s="153"/>
      <c r="AB436" s="154"/>
      <c r="AC436" s="155">
        <f t="shared" si="497"/>
        <v>5558.6387999999997</v>
      </c>
      <c r="AD436" s="156">
        <f t="shared" si="498"/>
        <v>1245.9018000000001</v>
      </c>
      <c r="AE436" s="156">
        <f t="shared" si="499"/>
        <v>840.98371499999996</v>
      </c>
      <c r="AF436" s="156">
        <f t="shared" si="500"/>
        <v>383.35440000000006</v>
      </c>
      <c r="AG436" s="156">
        <f t="shared" si="501"/>
        <v>191.67720000000003</v>
      </c>
      <c r="AH436" s="156">
        <f t="shared" si="502"/>
        <v>191.67720000000003</v>
      </c>
      <c r="AI436" s="156">
        <f t="shared" si="503"/>
        <v>95.838600000000014</v>
      </c>
      <c r="AJ436" s="156">
        <f t="shared" si="504"/>
        <v>191.67720000000003</v>
      </c>
      <c r="AK436" s="156">
        <f t="shared" si="505"/>
        <v>191.67720000000003</v>
      </c>
      <c r="AL436" s="156">
        <f t="shared" si="506"/>
        <v>670.87020000000007</v>
      </c>
      <c r="AM436" s="157">
        <f t="shared" si="507"/>
        <v>2949.4329150000003</v>
      </c>
      <c r="AN436" s="158">
        <f t="shared" si="508"/>
        <v>2200</v>
      </c>
      <c r="AO436" s="159">
        <v>0.2</v>
      </c>
      <c r="AP436" s="160">
        <f t="shared" si="509"/>
        <v>78367508.243996412</v>
      </c>
      <c r="AQ436" s="161">
        <f t="shared" si="510"/>
        <v>21768.754031499186</v>
      </c>
      <c r="AR436" s="162">
        <f t="shared" si="511"/>
        <v>4353.7508062998377</v>
      </c>
      <c r="AS436" s="163">
        <f t="shared" si="512"/>
        <v>0.62125439587611841</v>
      </c>
      <c r="AT436" s="164">
        <f t="shared" si="513"/>
        <v>0.62125439587611841</v>
      </c>
      <c r="AU436" s="165"/>
      <c r="AV436" s="166"/>
      <c r="AW436" s="167"/>
      <c r="AX436" s="146"/>
      <c r="AY436" s="168"/>
    </row>
    <row r="437" spans="2:51" ht="10.9" customHeight="1" x14ac:dyDescent="0.25">
      <c r="B437" s="140">
        <v>5</v>
      </c>
      <c r="C437" s="339" t="s">
        <v>459</v>
      </c>
      <c r="D437" s="235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>
        <v>132694</v>
      </c>
      <c r="P437" s="237"/>
      <c r="Q437" s="223">
        <f t="shared" si="493"/>
        <v>132694</v>
      </c>
      <c r="R437" s="147">
        <f t="shared" si="494"/>
        <v>14596.34</v>
      </c>
      <c r="S437" s="147">
        <f t="shared" si="495"/>
        <v>39.989972602739726</v>
      </c>
      <c r="T437" s="148">
        <f t="shared" si="496"/>
        <v>8757.8040000000001</v>
      </c>
      <c r="U437" s="199"/>
      <c r="V437" s="150"/>
      <c r="W437" s="249"/>
      <c r="X437" s="249"/>
      <c r="Y437" s="152"/>
      <c r="Z437" s="153"/>
      <c r="AA437" s="153"/>
      <c r="AB437" s="154"/>
      <c r="AC437" s="155">
        <f t="shared" si="497"/>
        <v>5079.5263199999999</v>
      </c>
      <c r="AD437" s="156">
        <f t="shared" si="498"/>
        <v>1138.5145199999999</v>
      </c>
      <c r="AE437" s="156">
        <f t="shared" si="499"/>
        <v>768.49730099999999</v>
      </c>
      <c r="AF437" s="156">
        <f t="shared" si="500"/>
        <v>350.31216000000001</v>
      </c>
      <c r="AG437" s="156">
        <f t="shared" si="501"/>
        <v>175.15608</v>
      </c>
      <c r="AH437" s="156">
        <f t="shared" si="502"/>
        <v>175.15608</v>
      </c>
      <c r="AI437" s="156">
        <f t="shared" si="503"/>
        <v>87.578040000000001</v>
      </c>
      <c r="AJ437" s="156">
        <f t="shared" si="504"/>
        <v>175.15608</v>
      </c>
      <c r="AK437" s="156">
        <f t="shared" si="505"/>
        <v>175.15608</v>
      </c>
      <c r="AL437" s="156">
        <f t="shared" si="506"/>
        <v>613.04628000000002</v>
      </c>
      <c r="AM437" s="157">
        <f t="shared" si="507"/>
        <v>2695.2141810000003</v>
      </c>
      <c r="AN437" s="158">
        <f t="shared" si="508"/>
        <v>2200</v>
      </c>
      <c r="AO437" s="159">
        <v>0.2</v>
      </c>
      <c r="AP437" s="160">
        <f t="shared" si="509"/>
        <v>71612823.765090957</v>
      </c>
      <c r="AQ437" s="161">
        <f t="shared" si="510"/>
        <v>19892.452637254682</v>
      </c>
      <c r="AR437" s="162">
        <f t="shared" si="511"/>
        <v>3978.4905274509365</v>
      </c>
      <c r="AS437" s="163">
        <f t="shared" si="512"/>
        <v>0.56770698165681166</v>
      </c>
      <c r="AT437" s="164">
        <f t="shared" si="513"/>
        <v>0.56770698165681166</v>
      </c>
      <c r="AU437" s="165"/>
      <c r="AV437" s="166"/>
      <c r="AW437" s="167"/>
      <c r="AX437" s="146"/>
      <c r="AY437" s="168"/>
    </row>
    <row r="438" spans="2:51" ht="10.9" customHeight="1" x14ac:dyDescent="0.25">
      <c r="B438" s="140">
        <v>6</v>
      </c>
      <c r="C438" s="339" t="s">
        <v>460</v>
      </c>
      <c r="D438" s="235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>
        <v>265761</v>
      </c>
      <c r="P438" s="237"/>
      <c r="Q438" s="223">
        <f t="shared" si="493"/>
        <v>265761</v>
      </c>
      <c r="R438" s="147">
        <f t="shared" si="494"/>
        <v>29233.71</v>
      </c>
      <c r="S438" s="147">
        <f t="shared" si="495"/>
        <v>80.09235616438356</v>
      </c>
      <c r="T438" s="148">
        <f t="shared" si="496"/>
        <v>17540.225999999999</v>
      </c>
      <c r="U438" s="199"/>
      <c r="V438" s="150"/>
      <c r="W438" s="249"/>
      <c r="X438" s="249"/>
      <c r="Y438" s="152"/>
      <c r="Z438" s="153"/>
      <c r="AA438" s="153"/>
      <c r="AB438" s="154"/>
      <c r="AC438" s="155">
        <f t="shared" si="497"/>
        <v>10173.331079999998</v>
      </c>
      <c r="AD438" s="156">
        <f t="shared" si="498"/>
        <v>2280.2293799999998</v>
      </c>
      <c r="AE438" s="156">
        <f t="shared" si="499"/>
        <v>1539.1548314999998</v>
      </c>
      <c r="AF438" s="156">
        <f t="shared" si="500"/>
        <v>701.60903999999994</v>
      </c>
      <c r="AG438" s="156">
        <f t="shared" si="501"/>
        <v>350.80451999999997</v>
      </c>
      <c r="AH438" s="156">
        <f t="shared" si="502"/>
        <v>350.80451999999997</v>
      </c>
      <c r="AI438" s="156">
        <f t="shared" si="503"/>
        <v>175.40225999999998</v>
      </c>
      <c r="AJ438" s="156">
        <f t="shared" si="504"/>
        <v>350.80451999999997</v>
      </c>
      <c r="AK438" s="156">
        <f t="shared" si="505"/>
        <v>350.80451999999997</v>
      </c>
      <c r="AL438" s="156">
        <f t="shared" si="506"/>
        <v>1227.81582</v>
      </c>
      <c r="AM438" s="157">
        <f t="shared" si="507"/>
        <v>5398.0045514999993</v>
      </c>
      <c r="AN438" s="158">
        <f t="shared" si="508"/>
        <v>2200</v>
      </c>
      <c r="AO438" s="159">
        <v>0.2</v>
      </c>
      <c r="AP438" s="160">
        <f t="shared" si="509"/>
        <v>143426949.64832121</v>
      </c>
      <c r="AQ438" s="161">
        <f t="shared" si="510"/>
        <v>39840.822534021441</v>
      </c>
      <c r="AR438" s="162">
        <f t="shared" si="511"/>
        <v>7968.164506804289</v>
      </c>
      <c r="AS438" s="163">
        <f t="shared" si="512"/>
        <v>1.1370097755143107</v>
      </c>
      <c r="AT438" s="164">
        <f t="shared" si="513"/>
        <v>1.1370097755143107</v>
      </c>
      <c r="AU438" s="165"/>
      <c r="AV438" s="166"/>
      <c r="AW438" s="167"/>
      <c r="AX438" s="146"/>
      <c r="AY438" s="168"/>
    </row>
    <row r="439" spans="2:51" ht="10.9" customHeight="1" x14ac:dyDescent="0.25">
      <c r="B439" s="140">
        <v>7</v>
      </c>
      <c r="C439" s="339" t="s">
        <v>461</v>
      </c>
      <c r="D439" s="235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>
        <v>306269</v>
      </c>
      <c r="P439" s="237"/>
      <c r="Q439" s="223">
        <f t="shared" si="493"/>
        <v>306269</v>
      </c>
      <c r="R439" s="147">
        <f t="shared" si="494"/>
        <v>33689.590000000004</v>
      </c>
      <c r="S439" s="147">
        <f t="shared" si="495"/>
        <v>92.30024657534247</v>
      </c>
      <c r="T439" s="148">
        <f t="shared" si="496"/>
        <v>20213.754000000001</v>
      </c>
      <c r="U439" s="199"/>
      <c r="V439" s="150"/>
      <c r="W439" s="249"/>
      <c r="X439" s="249"/>
      <c r="Y439" s="152"/>
      <c r="Z439" s="153"/>
      <c r="AA439" s="153"/>
      <c r="AB439" s="154"/>
      <c r="AC439" s="155">
        <f t="shared" si="497"/>
        <v>11723.97732</v>
      </c>
      <c r="AD439" s="156">
        <f t="shared" si="498"/>
        <v>2627.7880200000004</v>
      </c>
      <c r="AE439" s="156">
        <f t="shared" si="499"/>
        <v>1773.7569134999999</v>
      </c>
      <c r="AF439" s="156">
        <f t="shared" si="500"/>
        <v>808.55016000000001</v>
      </c>
      <c r="AG439" s="156">
        <f t="shared" si="501"/>
        <v>404.27508</v>
      </c>
      <c r="AH439" s="156">
        <f t="shared" si="502"/>
        <v>404.27508</v>
      </c>
      <c r="AI439" s="156">
        <f t="shared" si="503"/>
        <v>202.13754</v>
      </c>
      <c r="AJ439" s="156">
        <f t="shared" si="504"/>
        <v>404.27508</v>
      </c>
      <c r="AK439" s="156">
        <f t="shared" si="505"/>
        <v>404.27508</v>
      </c>
      <c r="AL439" s="156">
        <f t="shared" si="506"/>
        <v>1414.9627800000003</v>
      </c>
      <c r="AM439" s="157">
        <f t="shared" si="507"/>
        <v>6220.7827935000005</v>
      </c>
      <c r="AN439" s="158">
        <f t="shared" si="508"/>
        <v>2200</v>
      </c>
      <c r="AO439" s="159">
        <v>0.2</v>
      </c>
      <c r="AP439" s="160">
        <f t="shared" si="509"/>
        <v>165288467.61504397</v>
      </c>
      <c r="AQ439" s="161">
        <f t="shared" si="510"/>
        <v>45913.46689947816</v>
      </c>
      <c r="AR439" s="162">
        <f t="shared" si="511"/>
        <v>9182.6933798956325</v>
      </c>
      <c r="AS439" s="163">
        <f t="shared" si="512"/>
        <v>1.3103158361723219</v>
      </c>
      <c r="AT439" s="164">
        <f t="shared" si="513"/>
        <v>1.3103158361723219</v>
      </c>
      <c r="AU439" s="165"/>
      <c r="AV439" s="166"/>
      <c r="AW439" s="167"/>
      <c r="AX439" s="146"/>
      <c r="AY439" s="168"/>
    </row>
    <row r="440" spans="2:51" ht="10.9" customHeight="1" x14ac:dyDescent="0.25">
      <c r="B440" s="140">
        <v>8</v>
      </c>
      <c r="C440" s="339" t="s">
        <v>462</v>
      </c>
      <c r="D440" s="235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>
        <v>237207</v>
      </c>
      <c r="P440" s="237"/>
      <c r="Q440" s="223">
        <f t="shared" si="493"/>
        <v>237207</v>
      </c>
      <c r="R440" s="147">
        <f t="shared" si="494"/>
        <v>26092.77</v>
      </c>
      <c r="S440" s="147">
        <f t="shared" si="495"/>
        <v>71.487041095890419</v>
      </c>
      <c r="T440" s="148">
        <f t="shared" si="496"/>
        <v>15655.662000000002</v>
      </c>
      <c r="U440" s="199"/>
      <c r="V440" s="150"/>
      <c r="W440" s="249"/>
      <c r="X440" s="249"/>
      <c r="Y440" s="152"/>
      <c r="Z440" s="153"/>
      <c r="AA440" s="153"/>
      <c r="AB440" s="154"/>
      <c r="AC440" s="155">
        <f t="shared" si="497"/>
        <v>9080.2839600000007</v>
      </c>
      <c r="AD440" s="156">
        <f t="shared" si="498"/>
        <v>2035.2360600000004</v>
      </c>
      <c r="AE440" s="156">
        <f t="shared" si="499"/>
        <v>1373.7843405000001</v>
      </c>
      <c r="AF440" s="156">
        <f t="shared" si="500"/>
        <v>626.22648000000015</v>
      </c>
      <c r="AG440" s="156">
        <f t="shared" si="501"/>
        <v>313.11324000000008</v>
      </c>
      <c r="AH440" s="156">
        <f t="shared" si="502"/>
        <v>313.11324000000008</v>
      </c>
      <c r="AI440" s="156">
        <f t="shared" si="503"/>
        <v>156.55662000000004</v>
      </c>
      <c r="AJ440" s="156">
        <f t="shared" si="504"/>
        <v>313.11324000000008</v>
      </c>
      <c r="AK440" s="156">
        <f t="shared" si="505"/>
        <v>313.11324000000008</v>
      </c>
      <c r="AL440" s="156">
        <f t="shared" si="506"/>
        <v>1095.8963400000002</v>
      </c>
      <c r="AM440" s="157">
        <f t="shared" si="507"/>
        <v>4818.0299805000004</v>
      </c>
      <c r="AN440" s="158">
        <f t="shared" si="508"/>
        <v>2200</v>
      </c>
      <c r="AO440" s="159">
        <v>0.2</v>
      </c>
      <c r="AP440" s="160">
        <f t="shared" si="509"/>
        <v>128016813.77338788</v>
      </c>
      <c r="AQ440" s="161">
        <f t="shared" si="510"/>
        <v>35560.22889298138</v>
      </c>
      <c r="AR440" s="162">
        <f t="shared" si="511"/>
        <v>7112.0457785962763</v>
      </c>
      <c r="AS440" s="163">
        <f t="shared" si="512"/>
        <v>1.0148467149823455</v>
      </c>
      <c r="AT440" s="164">
        <f t="shared" si="513"/>
        <v>1.0148467149823455</v>
      </c>
      <c r="AU440" s="165"/>
      <c r="AV440" s="166"/>
      <c r="AW440" s="167"/>
      <c r="AX440" s="146"/>
      <c r="AY440" s="168"/>
    </row>
    <row r="441" spans="2:51" ht="10.9" customHeight="1" x14ac:dyDescent="0.25">
      <c r="B441" s="140">
        <v>9</v>
      </c>
      <c r="C441" s="339" t="s">
        <v>463</v>
      </c>
      <c r="D441" s="235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>
        <v>120160</v>
      </c>
      <c r="P441" s="237"/>
      <c r="Q441" s="223">
        <f t="shared" si="493"/>
        <v>120160</v>
      </c>
      <c r="R441" s="147">
        <f t="shared" si="494"/>
        <v>13217.6</v>
      </c>
      <c r="S441" s="147">
        <f t="shared" si="495"/>
        <v>36.21260273972603</v>
      </c>
      <c r="T441" s="148">
        <f t="shared" si="496"/>
        <v>7930.5599999999995</v>
      </c>
      <c r="U441" s="199"/>
      <c r="V441" s="150"/>
      <c r="W441" s="249"/>
      <c r="X441" s="249"/>
      <c r="Y441" s="152"/>
      <c r="Z441" s="153"/>
      <c r="AA441" s="153"/>
      <c r="AB441" s="154"/>
      <c r="AC441" s="155">
        <f t="shared" si="497"/>
        <v>4599.724799999999</v>
      </c>
      <c r="AD441" s="156">
        <f t="shared" si="498"/>
        <v>1030.9728</v>
      </c>
      <c r="AE441" s="156">
        <f t="shared" si="499"/>
        <v>695.90663999999992</v>
      </c>
      <c r="AF441" s="156">
        <f t="shared" si="500"/>
        <v>317.22239999999999</v>
      </c>
      <c r="AG441" s="156">
        <f t="shared" si="501"/>
        <v>158.6112</v>
      </c>
      <c r="AH441" s="156">
        <f t="shared" si="502"/>
        <v>158.6112</v>
      </c>
      <c r="AI441" s="156">
        <f t="shared" si="503"/>
        <v>79.305599999999998</v>
      </c>
      <c r="AJ441" s="156">
        <f t="shared" si="504"/>
        <v>158.6112</v>
      </c>
      <c r="AK441" s="156">
        <f t="shared" si="505"/>
        <v>158.6112</v>
      </c>
      <c r="AL441" s="156">
        <f t="shared" si="506"/>
        <v>555.13920000000007</v>
      </c>
      <c r="AM441" s="157">
        <f t="shared" si="507"/>
        <v>2440.6298399999996</v>
      </c>
      <c r="AN441" s="158">
        <f t="shared" si="508"/>
        <v>2200</v>
      </c>
      <c r="AO441" s="159">
        <v>0.2</v>
      </c>
      <c r="AP441" s="160">
        <f t="shared" si="509"/>
        <v>64848424.974854387</v>
      </c>
      <c r="AQ441" s="161">
        <f t="shared" si="510"/>
        <v>18013.452822980107</v>
      </c>
      <c r="AR441" s="162">
        <f t="shared" si="511"/>
        <v>3602.6905645960214</v>
      </c>
      <c r="AS441" s="163">
        <f t="shared" si="512"/>
        <v>0.51408255773345057</v>
      </c>
      <c r="AT441" s="164">
        <f t="shared" si="513"/>
        <v>0.51408255773345057</v>
      </c>
      <c r="AU441" s="165"/>
      <c r="AV441" s="166"/>
      <c r="AW441" s="167"/>
      <c r="AX441" s="146"/>
      <c r="AY441" s="168"/>
    </row>
    <row r="442" spans="2:51" ht="10.9" customHeight="1" x14ac:dyDescent="0.25">
      <c r="B442" s="140">
        <v>10</v>
      </c>
      <c r="C442" s="339" t="s">
        <v>464</v>
      </c>
      <c r="D442" s="235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>
        <v>193785</v>
      </c>
      <c r="P442" s="237"/>
      <c r="Q442" s="223">
        <f t="shared" si="493"/>
        <v>193785</v>
      </c>
      <c r="R442" s="147">
        <f t="shared" si="494"/>
        <v>21316.35</v>
      </c>
      <c r="S442" s="147">
        <f t="shared" si="495"/>
        <v>58.400958904109586</v>
      </c>
      <c r="T442" s="148">
        <f t="shared" si="496"/>
        <v>12789.81</v>
      </c>
      <c r="U442" s="199"/>
      <c r="V442" s="150"/>
      <c r="W442" s="249"/>
      <c r="X442" s="249"/>
      <c r="Y442" s="152"/>
      <c r="Z442" s="153"/>
      <c r="AA442" s="153"/>
      <c r="AB442" s="154"/>
      <c r="AC442" s="155">
        <f t="shared" si="497"/>
        <v>7418.0897999999988</v>
      </c>
      <c r="AD442" s="156">
        <f t="shared" si="498"/>
        <v>1662.6752999999999</v>
      </c>
      <c r="AE442" s="156">
        <f t="shared" si="499"/>
        <v>1122.3058274999999</v>
      </c>
      <c r="AF442" s="156">
        <f t="shared" si="500"/>
        <v>511.5924</v>
      </c>
      <c r="AG442" s="156">
        <f t="shared" si="501"/>
        <v>255.7962</v>
      </c>
      <c r="AH442" s="156">
        <f t="shared" si="502"/>
        <v>255.7962</v>
      </c>
      <c r="AI442" s="156">
        <f t="shared" si="503"/>
        <v>127.8981</v>
      </c>
      <c r="AJ442" s="156">
        <f t="shared" si="504"/>
        <v>255.7962</v>
      </c>
      <c r="AK442" s="156">
        <f t="shared" si="505"/>
        <v>255.7962</v>
      </c>
      <c r="AL442" s="156">
        <f t="shared" si="506"/>
        <v>895.2867</v>
      </c>
      <c r="AM442" s="157">
        <f t="shared" si="507"/>
        <v>3936.0640274999992</v>
      </c>
      <c r="AN442" s="158">
        <f t="shared" si="508"/>
        <v>2200</v>
      </c>
      <c r="AO442" s="159">
        <v>0.2</v>
      </c>
      <c r="AP442" s="160">
        <f t="shared" si="509"/>
        <v>104582656.73894937</v>
      </c>
      <c r="AQ442" s="161">
        <f t="shared" si="510"/>
        <v>29050.740307100532</v>
      </c>
      <c r="AR442" s="162">
        <f t="shared" si="511"/>
        <v>5810.1480614201064</v>
      </c>
      <c r="AS442" s="163">
        <f t="shared" si="512"/>
        <v>0.82907363890127084</v>
      </c>
      <c r="AT442" s="164">
        <f t="shared" si="513"/>
        <v>0.82907363890127084</v>
      </c>
      <c r="AU442" s="165"/>
      <c r="AV442" s="166"/>
      <c r="AW442" s="167"/>
      <c r="AX442" s="146"/>
      <c r="AY442" s="168"/>
    </row>
    <row r="443" spans="2:51" ht="10.9" customHeight="1" x14ac:dyDescent="0.25">
      <c r="B443" s="140">
        <v>11</v>
      </c>
      <c r="C443" s="345" t="s">
        <v>465</v>
      </c>
      <c r="D443" s="235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>
        <v>290539</v>
      </c>
      <c r="P443" s="237"/>
      <c r="Q443" s="223">
        <f t="shared" si="493"/>
        <v>290539</v>
      </c>
      <c r="R443" s="147">
        <f t="shared" si="494"/>
        <v>31959.29</v>
      </c>
      <c r="S443" s="147">
        <f t="shared" si="495"/>
        <v>87.559698630136992</v>
      </c>
      <c r="T443" s="148">
        <f t="shared" si="496"/>
        <v>19175.574000000001</v>
      </c>
      <c r="U443" s="199"/>
      <c r="V443" s="150"/>
      <c r="W443" s="249"/>
      <c r="X443" s="249"/>
      <c r="Y443" s="152"/>
      <c r="Z443" s="153"/>
      <c r="AA443" s="153"/>
      <c r="AB443" s="154"/>
      <c r="AC443" s="155">
        <f t="shared" si="497"/>
        <v>11121.832919999999</v>
      </c>
      <c r="AD443" s="156">
        <f t="shared" si="498"/>
        <v>2492.8246200000003</v>
      </c>
      <c r="AE443" s="156">
        <f t="shared" si="499"/>
        <v>1682.6566184999999</v>
      </c>
      <c r="AF443" s="156">
        <f t="shared" si="500"/>
        <v>767.02296000000001</v>
      </c>
      <c r="AG443" s="156">
        <f t="shared" si="501"/>
        <v>383.51148000000001</v>
      </c>
      <c r="AH443" s="156">
        <f t="shared" si="502"/>
        <v>383.51148000000001</v>
      </c>
      <c r="AI443" s="156">
        <f t="shared" si="503"/>
        <v>191.75574</v>
      </c>
      <c r="AJ443" s="156">
        <f t="shared" si="504"/>
        <v>383.51148000000001</v>
      </c>
      <c r="AK443" s="156">
        <f t="shared" si="505"/>
        <v>383.51148000000001</v>
      </c>
      <c r="AL443" s="156">
        <f t="shared" si="506"/>
        <v>1342.2901800000002</v>
      </c>
      <c r="AM443" s="157">
        <f t="shared" si="507"/>
        <v>5901.2828985000006</v>
      </c>
      <c r="AN443" s="158">
        <f t="shared" si="508"/>
        <v>2200</v>
      </c>
      <c r="AO443" s="159">
        <v>0.2</v>
      </c>
      <c r="AP443" s="160">
        <f t="shared" si="509"/>
        <v>156799238.87957072</v>
      </c>
      <c r="AQ443" s="161">
        <f t="shared" si="510"/>
        <v>43555.347617641622</v>
      </c>
      <c r="AR443" s="162">
        <f t="shared" si="511"/>
        <v>8711.0695235283256</v>
      </c>
      <c r="AS443" s="163">
        <f t="shared" si="512"/>
        <v>1.2430179114623752</v>
      </c>
      <c r="AT443" s="164">
        <f t="shared" si="513"/>
        <v>1.2430179114623752</v>
      </c>
      <c r="AU443" s="165"/>
      <c r="AV443" s="166"/>
      <c r="AW443" s="167"/>
      <c r="AX443" s="146"/>
      <c r="AY443" s="168"/>
    </row>
    <row r="444" spans="2:51" ht="10.9" customHeight="1" x14ac:dyDescent="0.25">
      <c r="B444" s="140">
        <v>12</v>
      </c>
      <c r="C444" s="353" t="s">
        <v>466</v>
      </c>
      <c r="D444" s="235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>
        <v>113189</v>
      </c>
      <c r="P444" s="237"/>
      <c r="Q444" s="223">
        <f t="shared" si="493"/>
        <v>113189</v>
      </c>
      <c r="R444" s="147">
        <f t="shared" si="494"/>
        <v>12450.79</v>
      </c>
      <c r="S444" s="147">
        <f t="shared" si="495"/>
        <v>34.111753424657536</v>
      </c>
      <c r="T444" s="148">
        <f t="shared" si="496"/>
        <v>7470.4740000000002</v>
      </c>
      <c r="U444" s="199"/>
      <c r="V444" s="150"/>
      <c r="W444" s="249"/>
      <c r="X444" s="249"/>
      <c r="Y444" s="152"/>
      <c r="Z444" s="153"/>
      <c r="AA444" s="153"/>
      <c r="AB444" s="154"/>
      <c r="AC444" s="155">
        <f t="shared" si="497"/>
        <v>4332.8749200000002</v>
      </c>
      <c r="AD444" s="156">
        <f t="shared" si="498"/>
        <v>971.16162000000008</v>
      </c>
      <c r="AE444" s="156">
        <f t="shared" si="499"/>
        <v>655.53409349999993</v>
      </c>
      <c r="AF444" s="156">
        <f t="shared" si="500"/>
        <v>298.81896</v>
      </c>
      <c r="AG444" s="156">
        <f t="shared" si="501"/>
        <v>149.40948</v>
      </c>
      <c r="AH444" s="156">
        <f t="shared" si="502"/>
        <v>149.40948</v>
      </c>
      <c r="AI444" s="156">
        <f t="shared" si="503"/>
        <v>74.704740000000001</v>
      </c>
      <c r="AJ444" s="156">
        <f t="shared" si="504"/>
        <v>149.40948</v>
      </c>
      <c r="AK444" s="156">
        <f t="shared" si="505"/>
        <v>149.40948</v>
      </c>
      <c r="AL444" s="156">
        <f t="shared" si="506"/>
        <v>522.93318000000011</v>
      </c>
      <c r="AM444" s="157">
        <f t="shared" si="507"/>
        <v>2299.0383735</v>
      </c>
      <c r="AN444" s="158">
        <f t="shared" si="508"/>
        <v>2200</v>
      </c>
      <c r="AO444" s="159">
        <v>0.2</v>
      </c>
      <c r="AP444" s="160">
        <f t="shared" si="509"/>
        <v>61086288.069896758</v>
      </c>
      <c r="AQ444" s="161">
        <f t="shared" si="510"/>
        <v>16968.414710222169</v>
      </c>
      <c r="AR444" s="162">
        <f t="shared" si="511"/>
        <v>3393.6829420444337</v>
      </c>
      <c r="AS444" s="163">
        <f t="shared" si="512"/>
        <v>0.48425841067985642</v>
      </c>
      <c r="AT444" s="164">
        <f t="shared" si="513"/>
        <v>0.48425841067985642</v>
      </c>
      <c r="AU444" s="165"/>
      <c r="AV444" s="166"/>
      <c r="AW444" s="167"/>
      <c r="AX444" s="146"/>
      <c r="AY444" s="168"/>
    </row>
    <row r="445" spans="2:51" ht="10.9" customHeight="1" x14ac:dyDescent="0.25">
      <c r="B445" s="140">
        <v>13</v>
      </c>
      <c r="C445" s="354" t="s">
        <v>467</v>
      </c>
      <c r="D445" s="235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>
        <v>63721</v>
      </c>
      <c r="P445" s="237"/>
      <c r="Q445" s="223">
        <f t="shared" si="493"/>
        <v>63721</v>
      </c>
      <c r="R445" s="147">
        <f t="shared" si="494"/>
        <v>7009.31</v>
      </c>
      <c r="S445" s="147">
        <f t="shared" si="495"/>
        <v>19.203589041095892</v>
      </c>
      <c r="T445" s="148">
        <f t="shared" si="496"/>
        <v>4205.5860000000002</v>
      </c>
      <c r="U445" s="199"/>
      <c r="V445" s="150"/>
      <c r="W445" s="249"/>
      <c r="X445" s="249"/>
      <c r="Y445" s="152"/>
      <c r="Z445" s="153"/>
      <c r="AA445" s="153"/>
      <c r="AB445" s="154"/>
      <c r="AC445" s="155">
        <f t="shared" si="497"/>
        <v>2439.2398800000001</v>
      </c>
      <c r="AD445" s="156">
        <f t="shared" si="498"/>
        <v>546.72618</v>
      </c>
      <c r="AE445" s="156">
        <f t="shared" si="499"/>
        <v>369.04017149999999</v>
      </c>
      <c r="AF445" s="156">
        <f t="shared" si="500"/>
        <v>168.22344000000001</v>
      </c>
      <c r="AG445" s="156">
        <f t="shared" si="501"/>
        <v>84.111720000000005</v>
      </c>
      <c r="AH445" s="156">
        <f t="shared" si="502"/>
        <v>84.111720000000005</v>
      </c>
      <c r="AI445" s="156">
        <f t="shared" si="503"/>
        <v>42.055860000000003</v>
      </c>
      <c r="AJ445" s="156">
        <f t="shared" si="504"/>
        <v>84.111720000000005</v>
      </c>
      <c r="AK445" s="156">
        <f t="shared" si="505"/>
        <v>84.111720000000005</v>
      </c>
      <c r="AL445" s="156">
        <f t="shared" si="506"/>
        <v>294.39102000000003</v>
      </c>
      <c r="AM445" s="157">
        <f t="shared" si="507"/>
        <v>1294.2690915000001</v>
      </c>
      <c r="AN445" s="158">
        <f t="shared" si="508"/>
        <v>2200</v>
      </c>
      <c r="AO445" s="159">
        <v>0.2</v>
      </c>
      <c r="AP445" s="160">
        <f t="shared" si="509"/>
        <v>34389201.79612764</v>
      </c>
      <c r="AQ445" s="161">
        <f t="shared" si="510"/>
        <v>9552.5568186843848</v>
      </c>
      <c r="AR445" s="162">
        <f t="shared" si="511"/>
        <v>1910.511363736877</v>
      </c>
      <c r="AS445" s="163">
        <f t="shared" si="512"/>
        <v>0.27261863067021647</v>
      </c>
      <c r="AT445" s="164">
        <f t="shared" si="513"/>
        <v>0.27261863067021647</v>
      </c>
      <c r="AU445" s="165"/>
      <c r="AV445" s="166"/>
      <c r="AW445" s="167"/>
      <c r="AX445" s="146"/>
      <c r="AY445" s="168"/>
    </row>
    <row r="446" spans="2:51" ht="10.9" customHeight="1" x14ac:dyDescent="0.25">
      <c r="B446" s="140">
        <v>14</v>
      </c>
      <c r="C446" s="345" t="s">
        <v>468</v>
      </c>
      <c r="D446" s="235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>
        <v>232237</v>
      </c>
      <c r="P446" s="237"/>
      <c r="Q446" s="223">
        <f t="shared" si="493"/>
        <v>232237</v>
      </c>
      <c r="R446" s="147">
        <f t="shared" si="494"/>
        <v>25546.07</v>
      </c>
      <c r="S446" s="147">
        <f t="shared" si="495"/>
        <v>69.989232876712322</v>
      </c>
      <c r="T446" s="148">
        <f t="shared" si="496"/>
        <v>15327.641999999996</v>
      </c>
      <c r="U446" s="199"/>
      <c r="V446" s="150"/>
      <c r="W446" s="249"/>
      <c r="X446" s="249"/>
      <c r="Y446" s="152"/>
      <c r="Z446" s="153"/>
      <c r="AA446" s="153"/>
      <c r="AB446" s="154"/>
      <c r="AC446" s="155">
        <f t="shared" si="497"/>
        <v>8890.0323599999974</v>
      </c>
      <c r="AD446" s="156">
        <f t="shared" si="498"/>
        <v>1992.5934599999996</v>
      </c>
      <c r="AE446" s="156">
        <f t="shared" si="499"/>
        <v>1345.0005854999995</v>
      </c>
      <c r="AF446" s="156">
        <f t="shared" si="500"/>
        <v>613.10567999999989</v>
      </c>
      <c r="AG446" s="156">
        <f t="shared" si="501"/>
        <v>306.55283999999995</v>
      </c>
      <c r="AH446" s="156">
        <f t="shared" si="502"/>
        <v>306.55283999999995</v>
      </c>
      <c r="AI446" s="156">
        <f t="shared" si="503"/>
        <v>153.27641999999997</v>
      </c>
      <c r="AJ446" s="156">
        <f t="shared" si="504"/>
        <v>306.55283999999995</v>
      </c>
      <c r="AK446" s="156">
        <f t="shared" si="505"/>
        <v>306.55283999999995</v>
      </c>
      <c r="AL446" s="156">
        <f t="shared" si="506"/>
        <v>1072.9349399999999</v>
      </c>
      <c r="AM446" s="157">
        <f t="shared" si="507"/>
        <v>4717.0818254999995</v>
      </c>
      <c r="AN446" s="158">
        <f t="shared" si="508"/>
        <v>2200</v>
      </c>
      <c r="AO446" s="159">
        <v>0.2</v>
      </c>
      <c r="AP446" s="160">
        <f t="shared" si="509"/>
        <v>125334584.47807306</v>
      </c>
      <c r="AQ446" s="161">
        <f t="shared" si="510"/>
        <v>34815.165140233279</v>
      </c>
      <c r="AR446" s="162">
        <f t="shared" si="511"/>
        <v>6963.033028046656</v>
      </c>
      <c r="AS446" s="163">
        <f t="shared" si="512"/>
        <v>0.9935834800294886</v>
      </c>
      <c r="AT446" s="164">
        <f t="shared" si="513"/>
        <v>0.9935834800294886</v>
      </c>
      <c r="AU446" s="165"/>
      <c r="AV446" s="166"/>
      <c r="AW446" s="167"/>
      <c r="AX446" s="146"/>
      <c r="AY446" s="168"/>
    </row>
    <row r="447" spans="2:51" ht="10.9" customHeight="1" x14ac:dyDescent="0.25">
      <c r="B447" s="140">
        <v>15</v>
      </c>
      <c r="C447" s="339" t="s">
        <v>469</v>
      </c>
      <c r="D447" s="235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>
        <v>74403</v>
      </c>
      <c r="P447" s="237"/>
      <c r="Q447" s="223">
        <f t="shared" si="493"/>
        <v>74403</v>
      </c>
      <c r="R447" s="147">
        <f t="shared" si="494"/>
        <v>8184.33</v>
      </c>
      <c r="S447" s="147">
        <f t="shared" si="495"/>
        <v>22.422821917808218</v>
      </c>
      <c r="T447" s="148">
        <f t="shared" si="496"/>
        <v>4910.598</v>
      </c>
      <c r="U447" s="199"/>
      <c r="V447" s="150"/>
      <c r="W447" s="249"/>
      <c r="X447" s="249"/>
      <c r="Y447" s="152"/>
      <c r="Z447" s="153"/>
      <c r="AA447" s="153"/>
      <c r="AB447" s="154"/>
      <c r="AC447" s="155">
        <f t="shared" si="497"/>
        <v>2848.1468399999999</v>
      </c>
      <c r="AD447" s="156">
        <f t="shared" si="498"/>
        <v>638.37774000000002</v>
      </c>
      <c r="AE447" s="156">
        <f t="shared" si="499"/>
        <v>430.90497449999998</v>
      </c>
      <c r="AF447" s="156">
        <f t="shared" si="500"/>
        <v>196.42392000000001</v>
      </c>
      <c r="AG447" s="156">
        <f t="shared" si="501"/>
        <v>98.211960000000005</v>
      </c>
      <c r="AH447" s="156">
        <f t="shared" si="502"/>
        <v>98.211960000000005</v>
      </c>
      <c r="AI447" s="156">
        <f t="shared" si="503"/>
        <v>49.105980000000002</v>
      </c>
      <c r="AJ447" s="156">
        <f t="shared" si="504"/>
        <v>98.211960000000005</v>
      </c>
      <c r="AK447" s="156">
        <f t="shared" si="505"/>
        <v>98.211960000000005</v>
      </c>
      <c r="AL447" s="156">
        <f t="shared" si="506"/>
        <v>343.74186000000003</v>
      </c>
      <c r="AM447" s="157">
        <f t="shared" si="507"/>
        <v>1511.2365345000003</v>
      </c>
      <c r="AN447" s="158">
        <f t="shared" si="508"/>
        <v>2200</v>
      </c>
      <c r="AO447" s="159">
        <v>0.2</v>
      </c>
      <c r="AP447" s="160">
        <f t="shared" si="509"/>
        <v>40154105.887184523</v>
      </c>
      <c r="AQ447" s="161">
        <f t="shared" si="510"/>
        <v>11153.919194309165</v>
      </c>
      <c r="AR447" s="162">
        <f t="shared" si="511"/>
        <v>2230.7838388618329</v>
      </c>
      <c r="AS447" s="163">
        <f t="shared" si="512"/>
        <v>0.31831961170973644</v>
      </c>
      <c r="AT447" s="164">
        <f t="shared" si="513"/>
        <v>0.31831961170973644</v>
      </c>
      <c r="AU447" s="165"/>
      <c r="AV447" s="166"/>
      <c r="AW447" s="167"/>
      <c r="AX447" s="146"/>
      <c r="AY447" s="168"/>
    </row>
    <row r="448" spans="2:51" ht="10.9" customHeight="1" x14ac:dyDescent="0.25">
      <c r="B448" s="140">
        <v>16</v>
      </c>
      <c r="C448" s="339" t="s">
        <v>470</v>
      </c>
      <c r="D448" s="235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>
        <v>122280</v>
      </c>
      <c r="P448" s="237"/>
      <c r="Q448" s="223">
        <f t="shared" si="493"/>
        <v>122280</v>
      </c>
      <c r="R448" s="147">
        <f t="shared" si="494"/>
        <v>13450.8</v>
      </c>
      <c r="S448" s="147">
        <f t="shared" si="495"/>
        <v>36.851506849315065</v>
      </c>
      <c r="T448" s="148">
        <f t="shared" si="496"/>
        <v>8070.48</v>
      </c>
      <c r="U448" s="199"/>
      <c r="V448" s="150"/>
      <c r="W448" s="249"/>
      <c r="X448" s="249"/>
      <c r="Y448" s="152"/>
      <c r="Z448" s="153"/>
      <c r="AA448" s="153"/>
      <c r="AB448" s="154"/>
      <c r="AC448" s="155">
        <f t="shared" si="497"/>
        <v>4680.8783999999996</v>
      </c>
      <c r="AD448" s="156">
        <f t="shared" si="498"/>
        <v>1049.1623999999999</v>
      </c>
      <c r="AE448" s="156">
        <f t="shared" si="499"/>
        <v>708.18461999999988</v>
      </c>
      <c r="AF448" s="156">
        <f t="shared" si="500"/>
        <v>322.81919999999997</v>
      </c>
      <c r="AG448" s="156">
        <f t="shared" si="501"/>
        <v>161.40959999999998</v>
      </c>
      <c r="AH448" s="156">
        <f t="shared" si="502"/>
        <v>161.40959999999998</v>
      </c>
      <c r="AI448" s="156">
        <f t="shared" si="503"/>
        <v>80.704799999999992</v>
      </c>
      <c r="AJ448" s="156">
        <f t="shared" si="504"/>
        <v>161.40959999999998</v>
      </c>
      <c r="AK448" s="156">
        <f t="shared" si="505"/>
        <v>161.40959999999998</v>
      </c>
      <c r="AL448" s="156">
        <f t="shared" si="506"/>
        <v>564.93360000000007</v>
      </c>
      <c r="AM448" s="157">
        <f t="shared" si="507"/>
        <v>2483.6902199999995</v>
      </c>
      <c r="AN448" s="158">
        <f t="shared" si="508"/>
        <v>2200</v>
      </c>
      <c r="AO448" s="159">
        <v>0.2</v>
      </c>
      <c r="AP448" s="160">
        <f t="shared" si="509"/>
        <v>65992554.976075187</v>
      </c>
      <c r="AQ448" s="161">
        <f t="shared" si="510"/>
        <v>18331.266737633217</v>
      </c>
      <c r="AR448" s="162">
        <f t="shared" si="511"/>
        <v>3666.2533475266437</v>
      </c>
      <c r="AS448" s="163">
        <f t="shared" si="512"/>
        <v>0.52315258954432697</v>
      </c>
      <c r="AT448" s="164">
        <f t="shared" si="513"/>
        <v>0.52315258954432697</v>
      </c>
      <c r="AU448" s="165"/>
      <c r="AV448" s="166"/>
      <c r="AW448" s="167"/>
      <c r="AX448" s="146"/>
      <c r="AY448" s="168"/>
    </row>
    <row r="449" spans="1:51" ht="10.9" customHeight="1" x14ac:dyDescent="0.25">
      <c r="B449" s="140">
        <v>17</v>
      </c>
      <c r="C449" s="339" t="s">
        <v>471</v>
      </c>
      <c r="D449" s="235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>
        <v>310573</v>
      </c>
      <c r="P449" s="237"/>
      <c r="Q449" s="223">
        <f t="shared" si="493"/>
        <v>310573</v>
      </c>
      <c r="R449" s="147">
        <f t="shared" si="494"/>
        <v>34163.03</v>
      </c>
      <c r="S449" s="147">
        <f t="shared" si="495"/>
        <v>93.597342465753428</v>
      </c>
      <c r="T449" s="148">
        <f t="shared" si="496"/>
        <v>20497.817999999999</v>
      </c>
      <c r="U449" s="199"/>
      <c r="V449" s="150"/>
      <c r="W449" s="249"/>
      <c r="X449" s="249"/>
      <c r="Y449" s="152"/>
      <c r="Z449" s="153"/>
      <c r="AA449" s="153"/>
      <c r="AB449" s="154"/>
      <c r="AC449" s="155">
        <f t="shared" si="497"/>
        <v>11888.734439999998</v>
      </c>
      <c r="AD449" s="156">
        <f t="shared" si="498"/>
        <v>2664.7163399999999</v>
      </c>
      <c r="AE449" s="156">
        <f t="shared" si="499"/>
        <v>1798.6835294999998</v>
      </c>
      <c r="AF449" s="156">
        <f t="shared" si="500"/>
        <v>819.91272000000004</v>
      </c>
      <c r="AG449" s="156">
        <f t="shared" si="501"/>
        <v>409.95636000000002</v>
      </c>
      <c r="AH449" s="156">
        <f t="shared" si="502"/>
        <v>409.95636000000002</v>
      </c>
      <c r="AI449" s="156">
        <f t="shared" si="503"/>
        <v>204.97818000000001</v>
      </c>
      <c r="AJ449" s="156">
        <f t="shared" si="504"/>
        <v>409.95636000000002</v>
      </c>
      <c r="AK449" s="156">
        <f t="shared" si="505"/>
        <v>409.95636000000002</v>
      </c>
      <c r="AL449" s="156">
        <f t="shared" si="506"/>
        <v>1434.84726</v>
      </c>
      <c r="AM449" s="157">
        <f t="shared" si="507"/>
        <v>6308.2034895000006</v>
      </c>
      <c r="AN449" s="158">
        <f t="shared" si="508"/>
        <v>2200</v>
      </c>
      <c r="AO449" s="159">
        <v>0.2</v>
      </c>
      <c r="AP449" s="160">
        <f t="shared" si="509"/>
        <v>167611267.39110732</v>
      </c>
      <c r="AQ449" s="161">
        <f t="shared" si="510"/>
        <v>46558.689111113534</v>
      </c>
      <c r="AR449" s="162">
        <f t="shared" si="511"/>
        <v>9311.7378222227071</v>
      </c>
      <c r="AS449" s="163">
        <f t="shared" si="512"/>
        <v>1.328729712075158</v>
      </c>
      <c r="AT449" s="164">
        <f t="shared" si="513"/>
        <v>1.328729712075158</v>
      </c>
      <c r="AU449" s="165"/>
      <c r="AV449" s="166"/>
      <c r="AW449" s="167"/>
      <c r="AX449" s="146"/>
      <c r="AY449" s="168"/>
    </row>
    <row r="450" spans="1:51" ht="10.9" customHeight="1" x14ac:dyDescent="0.25">
      <c r="B450" s="140">
        <v>18</v>
      </c>
      <c r="C450" s="339" t="s">
        <v>472</v>
      </c>
      <c r="D450" s="235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>
        <v>342892</v>
      </c>
      <c r="P450" s="237"/>
      <c r="Q450" s="223">
        <f t="shared" si="493"/>
        <v>342892</v>
      </c>
      <c r="R450" s="147">
        <f t="shared" si="494"/>
        <v>37718.120000000003</v>
      </c>
      <c r="S450" s="147">
        <f t="shared" si="495"/>
        <v>103.33731506849315</v>
      </c>
      <c r="T450" s="148">
        <f t="shared" si="496"/>
        <v>22630.871999999999</v>
      </c>
      <c r="U450" s="199"/>
      <c r="V450" s="150"/>
      <c r="W450" s="249"/>
      <c r="X450" s="249"/>
      <c r="Y450" s="152"/>
      <c r="Z450" s="153"/>
      <c r="AA450" s="153"/>
      <c r="AB450" s="154"/>
      <c r="AC450" s="155">
        <f t="shared" si="497"/>
        <v>13125.90576</v>
      </c>
      <c r="AD450" s="156">
        <f t="shared" si="498"/>
        <v>2942.0133599999999</v>
      </c>
      <c r="AE450" s="156">
        <f t="shared" si="499"/>
        <v>1985.8590179999999</v>
      </c>
      <c r="AF450" s="156">
        <f t="shared" si="500"/>
        <v>905.23487999999998</v>
      </c>
      <c r="AG450" s="156">
        <f t="shared" si="501"/>
        <v>452.61743999999999</v>
      </c>
      <c r="AH450" s="156">
        <f t="shared" si="502"/>
        <v>452.61743999999999</v>
      </c>
      <c r="AI450" s="156">
        <f t="shared" si="503"/>
        <v>226.30871999999999</v>
      </c>
      <c r="AJ450" s="156">
        <f t="shared" si="504"/>
        <v>452.61743999999999</v>
      </c>
      <c r="AK450" s="156">
        <f t="shared" si="505"/>
        <v>452.61743999999999</v>
      </c>
      <c r="AL450" s="156">
        <f t="shared" si="506"/>
        <v>1584.1610400000002</v>
      </c>
      <c r="AM450" s="157">
        <f t="shared" si="507"/>
        <v>6964.650858</v>
      </c>
      <c r="AN450" s="158">
        <f t="shared" si="508"/>
        <v>2200</v>
      </c>
      <c r="AO450" s="159">
        <v>0.2</v>
      </c>
      <c r="AP450" s="160">
        <f t="shared" si="509"/>
        <v>185053313.38613325</v>
      </c>
      <c r="AQ450" s="161">
        <f t="shared" si="510"/>
        <v>51403.702275110641</v>
      </c>
      <c r="AR450" s="162">
        <f t="shared" si="511"/>
        <v>10280.740455022129</v>
      </c>
      <c r="AS450" s="163">
        <f t="shared" si="512"/>
        <v>1.4670006357052126</v>
      </c>
      <c r="AT450" s="164">
        <f t="shared" si="513"/>
        <v>1.4670006357052126</v>
      </c>
      <c r="AU450" s="165"/>
      <c r="AV450" s="166"/>
      <c r="AW450" s="167"/>
      <c r="AX450" s="146"/>
      <c r="AY450" s="168"/>
    </row>
    <row r="451" spans="1:51" ht="10.9" customHeight="1" x14ac:dyDescent="0.25">
      <c r="B451" s="140">
        <v>19</v>
      </c>
      <c r="C451" s="355" t="s">
        <v>473</v>
      </c>
      <c r="D451" s="235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>
        <v>449881</v>
      </c>
      <c r="P451" s="237"/>
      <c r="Q451" s="223">
        <f t="shared" si="493"/>
        <v>449881</v>
      </c>
      <c r="R451" s="147">
        <f t="shared" si="494"/>
        <v>49486.91</v>
      </c>
      <c r="S451" s="147">
        <f t="shared" si="495"/>
        <v>135.58057534246575</v>
      </c>
      <c r="T451" s="148">
        <f t="shared" si="496"/>
        <v>29692.145999999997</v>
      </c>
      <c r="U451" s="199"/>
      <c r="V451" s="150"/>
      <c r="W451" s="249"/>
      <c r="X451" s="249"/>
      <c r="Y451" s="152"/>
      <c r="Z451" s="153"/>
      <c r="AA451" s="153"/>
      <c r="AB451" s="154"/>
      <c r="AC451" s="155">
        <f t="shared" si="497"/>
        <v>17221.444679999997</v>
      </c>
      <c r="AD451" s="156">
        <f t="shared" si="498"/>
        <v>3859.9789799999999</v>
      </c>
      <c r="AE451" s="156">
        <f t="shared" si="499"/>
        <v>2605.4858114999997</v>
      </c>
      <c r="AF451" s="156">
        <f t="shared" si="500"/>
        <v>1187.6858399999999</v>
      </c>
      <c r="AG451" s="156">
        <f t="shared" si="501"/>
        <v>593.84291999999994</v>
      </c>
      <c r="AH451" s="156">
        <f t="shared" si="502"/>
        <v>593.84291999999994</v>
      </c>
      <c r="AI451" s="156">
        <f t="shared" si="503"/>
        <v>296.92145999999997</v>
      </c>
      <c r="AJ451" s="156">
        <f t="shared" si="504"/>
        <v>593.84291999999994</v>
      </c>
      <c r="AK451" s="156">
        <f t="shared" si="505"/>
        <v>593.84291999999994</v>
      </c>
      <c r="AL451" s="156">
        <f t="shared" si="506"/>
        <v>2078.4502200000002</v>
      </c>
      <c r="AM451" s="157">
        <f t="shared" si="507"/>
        <v>9137.7579314999984</v>
      </c>
      <c r="AN451" s="158">
        <f t="shared" si="508"/>
        <v>2200</v>
      </c>
      <c r="AO451" s="159">
        <v>0.2</v>
      </c>
      <c r="AP451" s="160">
        <f t="shared" si="509"/>
        <v>242793560.88642201</v>
      </c>
      <c r="AQ451" s="161">
        <f t="shared" si="510"/>
        <v>67442.661197196358</v>
      </c>
      <c r="AR451" s="162">
        <f t="shared" si="511"/>
        <v>13488.532239439272</v>
      </c>
      <c r="AS451" s="163">
        <f t="shared" si="512"/>
        <v>1.9247334816551471</v>
      </c>
      <c r="AT451" s="164">
        <f t="shared" si="513"/>
        <v>1.9247334816551471</v>
      </c>
      <c r="AU451" s="165"/>
      <c r="AV451" s="166"/>
      <c r="AW451" s="167"/>
      <c r="AX451" s="146"/>
      <c r="AY451" s="168"/>
    </row>
    <row r="452" spans="1:51" ht="10.9" customHeight="1" x14ac:dyDescent="0.25">
      <c r="B452" s="140">
        <v>20</v>
      </c>
      <c r="C452" s="338" t="s">
        <v>474</v>
      </c>
      <c r="D452" s="235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>
        <v>234349</v>
      </c>
      <c r="P452" s="237"/>
      <c r="Q452" s="223">
        <f t="shared" si="493"/>
        <v>234349</v>
      </c>
      <c r="R452" s="147">
        <f t="shared" si="494"/>
        <v>25778.39</v>
      </c>
      <c r="S452" s="147">
        <f t="shared" si="495"/>
        <v>70.625726027397263</v>
      </c>
      <c r="T452" s="148">
        <f t="shared" si="496"/>
        <v>15467.034</v>
      </c>
      <c r="U452" s="199"/>
      <c r="V452" s="150"/>
      <c r="W452" s="249"/>
      <c r="X452" s="249"/>
      <c r="Y452" s="152"/>
      <c r="Z452" s="153"/>
      <c r="AA452" s="153"/>
      <c r="AB452" s="154"/>
      <c r="AC452" s="155">
        <f t="shared" si="497"/>
        <v>8970.879719999999</v>
      </c>
      <c r="AD452" s="156">
        <f t="shared" si="498"/>
        <v>2010.71442</v>
      </c>
      <c r="AE452" s="156">
        <f t="shared" si="499"/>
        <v>1357.2322334999999</v>
      </c>
      <c r="AF452" s="156">
        <f t="shared" si="500"/>
        <v>618.68136000000004</v>
      </c>
      <c r="AG452" s="156">
        <f t="shared" si="501"/>
        <v>309.34068000000002</v>
      </c>
      <c r="AH452" s="156">
        <f t="shared" si="502"/>
        <v>309.34068000000002</v>
      </c>
      <c r="AI452" s="156">
        <f t="shared" si="503"/>
        <v>154.67034000000001</v>
      </c>
      <c r="AJ452" s="156">
        <f t="shared" si="504"/>
        <v>309.34068000000002</v>
      </c>
      <c r="AK452" s="156">
        <f t="shared" si="505"/>
        <v>309.34068000000002</v>
      </c>
      <c r="AL452" s="156">
        <f t="shared" si="506"/>
        <v>1082.6923800000002</v>
      </c>
      <c r="AM452" s="157">
        <f t="shared" si="507"/>
        <v>4759.9797134999999</v>
      </c>
      <c r="AN452" s="158">
        <f t="shared" si="508"/>
        <v>2200</v>
      </c>
      <c r="AO452" s="159">
        <v>0.2</v>
      </c>
      <c r="AP452" s="160">
        <f t="shared" si="509"/>
        <v>126474397.00759114</v>
      </c>
      <c r="AQ452" s="161">
        <f t="shared" si="510"/>
        <v>35131.779757095253</v>
      </c>
      <c r="AR452" s="162">
        <f t="shared" si="511"/>
        <v>7026.3559514190511</v>
      </c>
      <c r="AS452" s="163">
        <f t="shared" si="512"/>
        <v>1.0026192853052298</v>
      </c>
      <c r="AT452" s="164">
        <f t="shared" si="513"/>
        <v>1.0026192853052298</v>
      </c>
      <c r="AU452" s="165"/>
      <c r="AV452" s="166"/>
      <c r="AW452" s="167"/>
      <c r="AX452" s="146"/>
      <c r="AY452" s="168"/>
    </row>
    <row r="453" spans="1:51" ht="10.9" customHeight="1" x14ac:dyDescent="0.25">
      <c r="B453" s="140">
        <v>21</v>
      </c>
      <c r="C453" s="339" t="s">
        <v>475</v>
      </c>
      <c r="D453" s="235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>
        <v>359266</v>
      </c>
      <c r="P453" s="237"/>
      <c r="Q453" s="223">
        <f t="shared" si="493"/>
        <v>359266</v>
      </c>
      <c r="R453" s="147">
        <f t="shared" si="494"/>
        <v>39519.26</v>
      </c>
      <c r="S453" s="147">
        <f t="shared" si="495"/>
        <v>108.27194520547945</v>
      </c>
      <c r="T453" s="148">
        <f t="shared" si="496"/>
        <v>23711.556</v>
      </c>
      <c r="U453" s="199"/>
      <c r="V453" s="150"/>
      <c r="W453" s="249"/>
      <c r="X453" s="249"/>
      <c r="Y453" s="152"/>
      <c r="Z453" s="153"/>
      <c r="AA453" s="153"/>
      <c r="AB453" s="154"/>
      <c r="AC453" s="155">
        <f t="shared" si="497"/>
        <v>13752.70248</v>
      </c>
      <c r="AD453" s="156">
        <f t="shared" si="498"/>
        <v>3082.5022800000002</v>
      </c>
      <c r="AE453" s="156">
        <f t="shared" si="499"/>
        <v>2080.6890389999999</v>
      </c>
      <c r="AF453" s="156">
        <f t="shared" si="500"/>
        <v>948.46224000000007</v>
      </c>
      <c r="AG453" s="156">
        <f t="shared" si="501"/>
        <v>474.23112000000003</v>
      </c>
      <c r="AH453" s="156">
        <f t="shared" si="502"/>
        <v>474.23112000000003</v>
      </c>
      <c r="AI453" s="156">
        <f t="shared" si="503"/>
        <v>237.11556000000002</v>
      </c>
      <c r="AJ453" s="156">
        <f t="shared" si="504"/>
        <v>474.23112000000003</v>
      </c>
      <c r="AK453" s="156">
        <f t="shared" si="505"/>
        <v>474.23112000000003</v>
      </c>
      <c r="AL453" s="156">
        <f t="shared" si="506"/>
        <v>1659.8089200000002</v>
      </c>
      <c r="AM453" s="157">
        <f t="shared" si="507"/>
        <v>7297.2313590000003</v>
      </c>
      <c r="AN453" s="158">
        <f t="shared" si="508"/>
        <v>2200</v>
      </c>
      <c r="AO453" s="159">
        <v>0.2</v>
      </c>
      <c r="AP453" s="160">
        <f t="shared" si="509"/>
        <v>193890098.59367543</v>
      </c>
      <c r="AQ453" s="161">
        <f t="shared" si="510"/>
        <v>53858.365029134256</v>
      </c>
      <c r="AR453" s="162">
        <f t="shared" si="511"/>
        <v>10771.673005826851</v>
      </c>
      <c r="AS453" s="163">
        <f t="shared" si="512"/>
        <v>1.5370537964935576</v>
      </c>
      <c r="AT453" s="164">
        <f t="shared" si="513"/>
        <v>1.5370537964935576</v>
      </c>
      <c r="AU453" s="165"/>
      <c r="AV453" s="166"/>
      <c r="AW453" s="167"/>
      <c r="AX453" s="146"/>
      <c r="AY453" s="168"/>
    </row>
    <row r="454" spans="1:51" s="263" customFormat="1" ht="17.25" customHeight="1" x14ac:dyDescent="0.25">
      <c r="A454" s="173"/>
      <c r="B454" s="225"/>
      <c r="C454" s="352" t="s">
        <v>476</v>
      </c>
      <c r="D454" s="240">
        <f>SUM(D433:D453)</f>
        <v>0</v>
      </c>
      <c r="E454" s="240">
        <f>SUM(E433:E453)</f>
        <v>0</v>
      </c>
      <c r="F454" s="240">
        <f t="shared" ref="F454:S454" si="514">SUM(F433:F453)</f>
        <v>0</v>
      </c>
      <c r="G454" s="240">
        <f t="shared" si="514"/>
        <v>0</v>
      </c>
      <c r="H454" s="240">
        <f t="shared" si="514"/>
        <v>0</v>
      </c>
      <c r="I454" s="240">
        <f t="shared" si="514"/>
        <v>0</v>
      </c>
      <c r="J454" s="240">
        <f t="shared" si="514"/>
        <v>0</v>
      </c>
      <c r="K454" s="240">
        <f t="shared" si="514"/>
        <v>0</v>
      </c>
      <c r="L454" s="240">
        <f t="shared" si="514"/>
        <v>0</v>
      </c>
      <c r="M454" s="240">
        <f t="shared" si="514"/>
        <v>0</v>
      </c>
      <c r="N454" s="240">
        <f t="shared" si="514"/>
        <v>0</v>
      </c>
      <c r="O454" s="240">
        <f>SUM(O433:O453)</f>
        <v>4776485</v>
      </c>
      <c r="P454" s="240">
        <f t="shared" si="514"/>
        <v>0</v>
      </c>
      <c r="Q454" s="240">
        <f t="shared" si="514"/>
        <v>4776485</v>
      </c>
      <c r="R454" s="240">
        <f t="shared" si="514"/>
        <v>525413.35</v>
      </c>
      <c r="S454" s="240">
        <f t="shared" si="514"/>
        <v>1439.4886301369866</v>
      </c>
      <c r="T454" s="240">
        <f>SUM(T433:T453)</f>
        <v>315248.00999999995</v>
      </c>
      <c r="U454" s="199"/>
      <c r="V454" s="179"/>
      <c r="W454" s="180"/>
      <c r="X454" s="180"/>
      <c r="Y454" s="227"/>
      <c r="Z454" s="181"/>
      <c r="AA454" s="181"/>
      <c r="AB454" s="182"/>
      <c r="AC454" s="240">
        <f t="shared" ref="AC454:AM454" si="515">SUM(AC433:AC453)</f>
        <v>182843.84579999998</v>
      </c>
      <c r="AD454" s="240">
        <f t="shared" si="515"/>
        <v>40982.241300000002</v>
      </c>
      <c r="AE454" s="240">
        <f t="shared" si="515"/>
        <v>27663.012877499998</v>
      </c>
      <c r="AF454" s="240">
        <f t="shared" si="515"/>
        <v>12609.920399999999</v>
      </c>
      <c r="AG454" s="240">
        <f t="shared" si="515"/>
        <v>6304.9601999999995</v>
      </c>
      <c r="AH454" s="240">
        <f t="shared" si="515"/>
        <v>6304.9601999999995</v>
      </c>
      <c r="AI454" s="240">
        <f t="shared" si="515"/>
        <v>3152.4800999999998</v>
      </c>
      <c r="AJ454" s="240">
        <f t="shared" si="515"/>
        <v>6304.9601999999995</v>
      </c>
      <c r="AK454" s="240">
        <f t="shared" si="515"/>
        <v>6304.9601999999995</v>
      </c>
      <c r="AL454" s="240">
        <f t="shared" si="515"/>
        <v>22067.360700000001</v>
      </c>
      <c r="AM454" s="240">
        <f t="shared" si="515"/>
        <v>97017.575077499976</v>
      </c>
      <c r="AN454" s="261"/>
      <c r="AO454" s="262"/>
      <c r="AP454" s="240">
        <f t="shared" ref="AP454:AX454" si="516">SUM(AP433:AP453)</f>
        <v>2577792353.2458172</v>
      </c>
      <c r="AQ454" s="240">
        <f t="shared" si="516"/>
        <v>716053.48874144582</v>
      </c>
      <c r="AR454" s="240">
        <f t="shared" si="516"/>
        <v>143210.69774828918</v>
      </c>
      <c r="AS454" s="240">
        <f t="shared" si="516"/>
        <v>20.435316459516152</v>
      </c>
      <c r="AT454" s="240">
        <f t="shared" si="516"/>
        <v>20.435316459516152</v>
      </c>
      <c r="AU454" s="240">
        <f t="shared" si="516"/>
        <v>0</v>
      </c>
      <c r="AV454" s="240">
        <f t="shared" si="516"/>
        <v>0</v>
      </c>
      <c r="AW454" s="240">
        <f t="shared" si="516"/>
        <v>0</v>
      </c>
      <c r="AX454" s="240">
        <f t="shared" si="516"/>
        <v>0</v>
      </c>
      <c r="AY454" s="189"/>
    </row>
    <row r="455" spans="1:51" s="139" customFormat="1" ht="10.9" customHeight="1" x14ac:dyDescent="0.25">
      <c r="B455" s="247"/>
      <c r="C455" s="152"/>
      <c r="D455" s="247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248"/>
      <c r="Q455" s="249"/>
      <c r="R455" s="250"/>
      <c r="S455" s="250"/>
      <c r="T455" s="251"/>
      <c r="U455" s="199"/>
      <c r="V455" s="179"/>
      <c r="W455" s="249"/>
      <c r="X455" s="249"/>
      <c r="Y455" s="152"/>
      <c r="Z455" s="153"/>
      <c r="AA455" s="153"/>
      <c r="AB455" s="154"/>
      <c r="AC455" s="247"/>
      <c r="AD455" s="252"/>
      <c r="AE455" s="252"/>
      <c r="AF455" s="252"/>
      <c r="AG455" s="252"/>
      <c r="AH455" s="252"/>
      <c r="AI455" s="252"/>
      <c r="AJ455" s="252"/>
      <c r="AK455" s="252"/>
      <c r="AL455" s="252"/>
      <c r="AM455" s="214"/>
      <c r="AN455" s="203"/>
      <c r="AO455" s="204"/>
      <c r="AP455" s="203"/>
      <c r="AQ455" s="205"/>
      <c r="AR455" s="206"/>
      <c r="AS455" s="253"/>
      <c r="AT455" s="254"/>
      <c r="AU455" s="255"/>
      <c r="AV455" s="256"/>
      <c r="AW455" s="257"/>
      <c r="AX455" s="214"/>
      <c r="AY455" s="212"/>
    </row>
    <row r="456" spans="1:51" s="289" customFormat="1" ht="20.85" customHeight="1" x14ac:dyDescent="0.25">
      <c r="A456" s="269"/>
      <c r="B456" s="272"/>
      <c r="C456" s="356" t="s">
        <v>477</v>
      </c>
      <c r="D456" s="272">
        <f t="shared" ref="D456:T456" si="517">D430+D454</f>
        <v>0</v>
      </c>
      <c r="E456" s="272">
        <f t="shared" si="517"/>
        <v>0</v>
      </c>
      <c r="F456" s="272">
        <f t="shared" si="517"/>
        <v>0</v>
      </c>
      <c r="G456" s="272">
        <f t="shared" si="517"/>
        <v>0</v>
      </c>
      <c r="H456" s="272">
        <f t="shared" si="517"/>
        <v>0</v>
      </c>
      <c r="I456" s="272">
        <f t="shared" si="517"/>
        <v>0</v>
      </c>
      <c r="J456" s="272">
        <f t="shared" si="517"/>
        <v>0</v>
      </c>
      <c r="K456" s="272">
        <f t="shared" si="517"/>
        <v>4292491</v>
      </c>
      <c r="L456" s="272">
        <f t="shared" si="517"/>
        <v>4363756</v>
      </c>
      <c r="M456" s="272">
        <f t="shared" si="517"/>
        <v>4434012</v>
      </c>
      <c r="N456" s="272">
        <f t="shared" si="517"/>
        <v>4500212</v>
      </c>
      <c r="O456" s="272">
        <f t="shared" si="517"/>
        <v>9358888</v>
      </c>
      <c r="P456" s="272">
        <f t="shared" si="517"/>
        <v>0</v>
      </c>
      <c r="Q456" s="272">
        <f t="shared" si="517"/>
        <v>9358888</v>
      </c>
      <c r="R456" s="272">
        <f t="shared" si="517"/>
        <v>1142879.7140000002</v>
      </c>
      <c r="S456" s="272">
        <f t="shared" si="517"/>
        <v>3131.1772986301371</v>
      </c>
      <c r="T456" s="272">
        <f t="shared" si="517"/>
        <v>743891.17379999999</v>
      </c>
      <c r="U456" s="276"/>
      <c r="V456" s="277"/>
      <c r="W456" s="278"/>
      <c r="X456" s="278"/>
      <c r="Y456" s="279"/>
      <c r="Z456" s="280"/>
      <c r="AA456" s="280"/>
      <c r="AB456" s="281"/>
      <c r="AC456" s="272">
        <f t="shared" ref="AC456:AM456" si="518">AC430+AC454</f>
        <v>431456.88080400001</v>
      </c>
      <c r="AD456" s="272">
        <f t="shared" si="518"/>
        <v>96705.852593999996</v>
      </c>
      <c r="AE456" s="272">
        <f t="shared" si="518"/>
        <v>65276.450500949999</v>
      </c>
      <c r="AF456" s="272">
        <f t="shared" si="518"/>
        <v>29755.646952000003</v>
      </c>
      <c r="AG456" s="272">
        <f t="shared" si="518"/>
        <v>14877.823476000001</v>
      </c>
      <c r="AH456" s="272">
        <f t="shared" si="518"/>
        <v>14877.823476000001</v>
      </c>
      <c r="AI456" s="272">
        <f t="shared" si="518"/>
        <v>7438.9117380000007</v>
      </c>
      <c r="AJ456" s="272">
        <f t="shared" si="518"/>
        <v>14877.823476000001</v>
      </c>
      <c r="AK456" s="272">
        <f t="shared" si="518"/>
        <v>14877.823476000001</v>
      </c>
      <c r="AL456" s="272">
        <f t="shared" si="518"/>
        <v>52072.38216600001</v>
      </c>
      <c r="AM456" s="272">
        <f t="shared" si="518"/>
        <v>228932.50873694994</v>
      </c>
      <c r="AN456" s="284"/>
      <c r="AO456" s="285"/>
      <c r="AP456" s="272">
        <f t="shared" ref="AP456:AV456" si="519">AP430+AP454</f>
        <v>6082820251.4861069</v>
      </c>
      <c r="AQ456" s="272">
        <f t="shared" si="519"/>
        <v>1689672.4272532577</v>
      </c>
      <c r="AR456" s="272">
        <f t="shared" si="519"/>
        <v>337934.48545065155</v>
      </c>
      <c r="AS456" s="272">
        <f t="shared" si="519"/>
        <v>48.221245070013069</v>
      </c>
      <c r="AT456" s="272">
        <f t="shared" si="519"/>
        <v>48.221245070013069</v>
      </c>
      <c r="AU456" s="272">
        <f t="shared" si="519"/>
        <v>0</v>
      </c>
      <c r="AV456" s="272">
        <f t="shared" si="519"/>
        <v>0</v>
      </c>
      <c r="AW456" s="272"/>
      <c r="AX456" s="272">
        <f>AX430+AX454</f>
        <v>0</v>
      </c>
      <c r="AY456" s="288"/>
    </row>
    <row r="457" spans="1:51" s="139" customFormat="1" ht="10.9" customHeight="1" x14ac:dyDescent="0.25">
      <c r="Q457" s="310"/>
      <c r="R457" s="310"/>
      <c r="S457" s="310"/>
      <c r="T457" s="310"/>
      <c r="U457" s="311"/>
      <c r="V457" s="312"/>
      <c r="W457" s="310"/>
      <c r="X457" s="310"/>
      <c r="Z457" s="86"/>
      <c r="AA457" s="86"/>
      <c r="AB457" s="313"/>
      <c r="AD457" s="314"/>
      <c r="AE457" s="314"/>
      <c r="AF457" s="314"/>
      <c r="AG457" s="314"/>
      <c r="AH457" s="314"/>
      <c r="AI457" s="314"/>
      <c r="AJ457" s="314"/>
      <c r="AK457" s="314"/>
      <c r="AL457" s="314"/>
      <c r="AM457" s="315"/>
      <c r="AN457" s="310"/>
      <c r="AO457" s="316"/>
      <c r="AP457" s="310"/>
      <c r="AQ457" s="317"/>
      <c r="AR457" s="317"/>
      <c r="AS457" s="318"/>
      <c r="AT457" s="318"/>
      <c r="AU457" s="319"/>
      <c r="AV457" s="310"/>
      <c r="AW457" s="310"/>
      <c r="AX457" s="310"/>
      <c r="AY457" s="310"/>
    </row>
    <row r="458" spans="1:51" s="139" customFormat="1" ht="10.9" customHeight="1" x14ac:dyDescent="0.25">
      <c r="Q458" s="310"/>
      <c r="R458" s="310"/>
      <c r="S458" s="310"/>
      <c r="T458" s="310"/>
      <c r="U458" s="311"/>
      <c r="V458" s="312"/>
      <c r="W458" s="310"/>
      <c r="X458" s="310"/>
      <c r="Z458" s="86"/>
      <c r="AA458" s="86"/>
      <c r="AB458" s="313"/>
      <c r="AD458" s="314"/>
      <c r="AE458" s="314"/>
      <c r="AF458" s="314"/>
      <c r="AG458" s="314"/>
      <c r="AH458" s="314"/>
      <c r="AI458" s="314"/>
      <c r="AJ458" s="314"/>
      <c r="AK458" s="314"/>
      <c r="AL458" s="314"/>
      <c r="AM458" s="315"/>
      <c r="AN458" s="310"/>
      <c r="AO458" s="316"/>
      <c r="AP458" s="310"/>
      <c r="AQ458" s="317"/>
      <c r="AR458" s="317"/>
      <c r="AS458" s="318"/>
      <c r="AT458" s="318"/>
      <c r="AU458" s="319"/>
      <c r="AV458" s="310"/>
      <c r="AW458" s="310"/>
      <c r="AX458" s="310"/>
      <c r="AY458" s="310"/>
    </row>
    <row r="459" spans="1:51" s="326" customFormat="1" ht="24.75" customHeight="1" x14ac:dyDescent="0.25">
      <c r="A459" s="290"/>
      <c r="B459" s="291" t="s">
        <v>478</v>
      </c>
      <c r="C459" s="320"/>
      <c r="D459" s="321"/>
      <c r="E459" s="321"/>
      <c r="F459" s="321"/>
      <c r="G459" s="321"/>
      <c r="H459" s="321"/>
      <c r="I459" s="321"/>
      <c r="J459" s="321"/>
      <c r="K459" s="321"/>
      <c r="L459" s="321"/>
      <c r="M459" s="321"/>
      <c r="N459" s="321"/>
      <c r="O459" s="321"/>
      <c r="P459" s="321"/>
      <c r="Q459" s="321"/>
      <c r="R459" s="321"/>
      <c r="S459" s="322"/>
      <c r="T459" s="321"/>
      <c r="U459" s="321"/>
      <c r="V459" s="321"/>
      <c r="W459" s="321"/>
      <c r="X459" s="321"/>
      <c r="Y459" s="321"/>
      <c r="Z459" s="321"/>
      <c r="AA459" s="321"/>
      <c r="AB459" s="323"/>
      <c r="AC459" s="323"/>
      <c r="AD459" s="323"/>
      <c r="AE459" s="323"/>
      <c r="AF459" s="323"/>
      <c r="AG459" s="323"/>
      <c r="AH459" s="323"/>
      <c r="AI459" s="323"/>
      <c r="AJ459" s="323"/>
      <c r="AK459" s="323"/>
      <c r="AL459" s="323"/>
      <c r="AM459" s="323"/>
      <c r="AN459" s="324"/>
      <c r="AO459" s="321"/>
      <c r="AP459" s="325"/>
      <c r="AQ459" s="325"/>
      <c r="AR459" s="325"/>
      <c r="AS459" s="325"/>
      <c r="AT459" s="325"/>
      <c r="AU459" s="325"/>
      <c r="AV459" s="325"/>
      <c r="AW459" s="325"/>
      <c r="AX459" s="325"/>
      <c r="AY459" s="325"/>
    </row>
    <row r="460" spans="1:51" s="139" customFormat="1" ht="15" customHeight="1" x14ac:dyDescent="0.25">
      <c r="A460" s="1"/>
      <c r="B460" s="126"/>
      <c r="C460" s="352" t="s">
        <v>479</v>
      </c>
      <c r="D460" s="122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213"/>
      <c r="Q460" s="76"/>
      <c r="R460" s="108"/>
      <c r="S460" s="108"/>
      <c r="T460" s="94"/>
      <c r="U460" s="199"/>
      <c r="V460" s="179"/>
      <c r="W460" s="180"/>
      <c r="X460" s="180"/>
      <c r="Y460" s="214"/>
      <c r="Z460" s="181"/>
      <c r="AA460" s="181"/>
      <c r="AB460" s="182"/>
      <c r="AC460" s="62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125"/>
      <c r="AN460" s="75"/>
      <c r="AO460" s="216"/>
      <c r="AP460" s="75"/>
      <c r="AQ460" s="51"/>
      <c r="AR460" s="217"/>
      <c r="AS460" s="218"/>
      <c r="AT460" s="219"/>
      <c r="AU460" s="220"/>
      <c r="AV460" s="135"/>
      <c r="AW460" s="136"/>
      <c r="AX460" s="137"/>
      <c r="AY460" s="138"/>
    </row>
    <row r="461" spans="1:51" s="139" customFormat="1" ht="11.25" x14ac:dyDescent="0.25">
      <c r="A461" s="1"/>
      <c r="B461" s="357">
        <v>1</v>
      </c>
      <c r="C461" s="141" t="s">
        <v>480</v>
      </c>
      <c r="D461" s="142"/>
      <c r="E461" s="143"/>
      <c r="F461" s="143"/>
      <c r="G461" s="143"/>
      <c r="H461" s="143"/>
      <c r="I461" s="143"/>
      <c r="J461" s="143"/>
      <c r="K461" s="143"/>
      <c r="L461" s="143"/>
      <c r="M461" s="143"/>
      <c r="N461" s="222"/>
      <c r="O461" s="222">
        <v>215904</v>
      </c>
      <c r="P461" s="145"/>
      <c r="Q461" s="223">
        <f t="shared" ref="Q461:Q475" si="520">MAX(D461:P461)</f>
        <v>215904</v>
      </c>
      <c r="R461" s="147">
        <f t="shared" ref="R461:R475" si="521">Q461*$R$10</f>
        <v>23749.439999999999</v>
      </c>
      <c r="S461" s="147">
        <f t="shared" ref="S461:S475" si="522">R461/$S$5</f>
        <v>65.066958904109583</v>
      </c>
      <c r="T461" s="148">
        <f t="shared" ref="T461:T475" si="523">S461*$T$5*$T$10</f>
        <v>14249.663999999999</v>
      </c>
      <c r="U461" s="199"/>
      <c r="V461" s="150"/>
      <c r="W461" s="151"/>
      <c r="X461" s="151"/>
      <c r="Y461" s="152"/>
      <c r="Z461" s="153"/>
      <c r="AA461" s="153"/>
      <c r="AB461" s="154"/>
      <c r="AC461" s="155">
        <f t="shared" ref="AC461:AC475" si="524">T461*$AC$5</f>
        <v>8264.8051199999991</v>
      </c>
      <c r="AD461" s="156">
        <f t="shared" ref="AD461:AD475" si="525">T461*$AD$5</f>
        <v>1852.45632</v>
      </c>
      <c r="AE461" s="156">
        <f t="shared" ref="AE461:AE475" si="526">T461*$AE$5</f>
        <v>1250.4080159999999</v>
      </c>
      <c r="AF461" s="156">
        <f t="shared" ref="AF461:AF475" si="527">T461*$AF$5</f>
        <v>569.98655999999994</v>
      </c>
      <c r="AG461" s="156">
        <f t="shared" ref="AG461:AG475" si="528">T461*$AG$5</f>
        <v>284.99327999999997</v>
      </c>
      <c r="AH461" s="156">
        <f t="shared" ref="AH461:AH475" si="529">T461*$AH$5</f>
        <v>284.99327999999997</v>
      </c>
      <c r="AI461" s="156">
        <f t="shared" ref="AI461:AI475" si="530">T461*$AI$5</f>
        <v>142.49663999999999</v>
      </c>
      <c r="AJ461" s="156">
        <f t="shared" ref="AJ461:AJ475" si="531">T461*$AJ$5</f>
        <v>284.99327999999997</v>
      </c>
      <c r="AK461" s="156">
        <f t="shared" ref="AK461:AK475" si="532">T461*$AK$5</f>
        <v>284.99327999999997</v>
      </c>
      <c r="AL461" s="156">
        <f t="shared" ref="AL461:AL475" si="533">T461*$AL$5</f>
        <v>997.47648000000004</v>
      </c>
      <c r="AM461" s="157">
        <f t="shared" ref="AM461:AM475" si="534">SUM(AD461:AI461)</f>
        <v>4385.3340959999996</v>
      </c>
      <c r="AN461" s="158">
        <f t="shared" ref="AN461:AN475" si="535">$AN$5</f>
        <v>2200</v>
      </c>
      <c r="AO461" s="159">
        <v>0.2</v>
      </c>
      <c r="AP461" s="160">
        <f t="shared" ref="AP461:AP475" si="536">(AC461+AM461)*AN461*$AP$5</f>
        <v>116519926.31300735</v>
      </c>
      <c r="AQ461" s="161">
        <f t="shared" ref="AQ461:AQ475" si="537">AP461*$AQ$5</f>
        <v>32366.648787389295</v>
      </c>
      <c r="AR461" s="162">
        <f t="shared" ref="AR461:AR475" si="538">AQ461*$AR$5</f>
        <v>6473.3297574778589</v>
      </c>
      <c r="AS461" s="163">
        <f t="shared" ref="AS461:AS475" si="539">AR461/$AS$5</f>
        <v>0.92370573023371272</v>
      </c>
      <c r="AT461" s="164">
        <f t="shared" ref="AT461:AT475" si="540">AS461</f>
        <v>0.92370573023371272</v>
      </c>
      <c r="AU461" s="165"/>
      <c r="AV461" s="166"/>
      <c r="AW461" s="167"/>
      <c r="AX461" s="146"/>
      <c r="AY461" s="168"/>
    </row>
    <row r="462" spans="1:51" s="139" customFormat="1" ht="11.25" x14ac:dyDescent="0.25">
      <c r="A462" s="1"/>
      <c r="B462" s="357">
        <v>2</v>
      </c>
      <c r="C462" s="169" t="s">
        <v>481</v>
      </c>
      <c r="D462" s="142"/>
      <c r="E462" s="143"/>
      <c r="F462" s="143"/>
      <c r="G462" s="143"/>
      <c r="H462" s="143"/>
      <c r="I462" s="143"/>
      <c r="J462" s="143"/>
      <c r="K462" s="143"/>
      <c r="L462" s="143"/>
      <c r="M462" s="143"/>
      <c r="N462" s="222"/>
      <c r="O462" s="222">
        <v>57648</v>
      </c>
      <c r="P462" s="145"/>
      <c r="Q462" s="223">
        <f t="shared" si="520"/>
        <v>57648</v>
      </c>
      <c r="R462" s="147">
        <f t="shared" si="521"/>
        <v>6341.28</v>
      </c>
      <c r="S462" s="147">
        <f t="shared" si="522"/>
        <v>17.373369863013696</v>
      </c>
      <c r="T462" s="148">
        <f t="shared" si="523"/>
        <v>3804.7679999999991</v>
      </c>
      <c r="U462" s="199"/>
      <c r="V462" s="150"/>
      <c r="W462" s="151"/>
      <c r="X462" s="151"/>
      <c r="Y462" s="152"/>
      <c r="Z462" s="153"/>
      <c r="AA462" s="153"/>
      <c r="AB462" s="154"/>
      <c r="AC462" s="155">
        <f t="shared" si="524"/>
        <v>2206.7654399999992</v>
      </c>
      <c r="AD462" s="156">
        <f t="shared" si="525"/>
        <v>494.6198399999999</v>
      </c>
      <c r="AE462" s="156">
        <f t="shared" si="526"/>
        <v>333.86839199999991</v>
      </c>
      <c r="AF462" s="156">
        <f t="shared" si="527"/>
        <v>152.19071999999997</v>
      </c>
      <c r="AG462" s="156">
        <f t="shared" si="528"/>
        <v>76.095359999999985</v>
      </c>
      <c r="AH462" s="156">
        <f t="shared" si="529"/>
        <v>76.095359999999985</v>
      </c>
      <c r="AI462" s="156">
        <f t="shared" si="530"/>
        <v>38.047679999999993</v>
      </c>
      <c r="AJ462" s="156">
        <f t="shared" si="531"/>
        <v>76.095359999999985</v>
      </c>
      <c r="AK462" s="156">
        <f t="shared" si="532"/>
        <v>76.095359999999985</v>
      </c>
      <c r="AL462" s="156">
        <f t="shared" si="533"/>
        <v>266.33375999999998</v>
      </c>
      <c r="AM462" s="157">
        <f t="shared" si="534"/>
        <v>1170.9173519999997</v>
      </c>
      <c r="AN462" s="158">
        <f t="shared" si="535"/>
        <v>2200</v>
      </c>
      <c r="AO462" s="159">
        <v>0.2</v>
      </c>
      <c r="AP462" s="160">
        <f t="shared" si="536"/>
        <v>31111701.089800309</v>
      </c>
      <c r="AQ462" s="161">
        <f t="shared" si="537"/>
        <v>8642.139882982332</v>
      </c>
      <c r="AR462" s="162">
        <f t="shared" si="538"/>
        <v>1728.4279765964666</v>
      </c>
      <c r="AS462" s="163">
        <f t="shared" si="539"/>
        <v>0.24663641218556887</v>
      </c>
      <c r="AT462" s="164">
        <f t="shared" si="540"/>
        <v>0.24663641218556887</v>
      </c>
      <c r="AU462" s="165"/>
      <c r="AV462" s="166"/>
      <c r="AW462" s="167"/>
      <c r="AX462" s="146"/>
      <c r="AY462" s="168"/>
    </row>
    <row r="463" spans="1:51" s="139" customFormat="1" ht="11.25" x14ac:dyDescent="0.25">
      <c r="A463" s="1"/>
      <c r="B463" s="357">
        <v>3</v>
      </c>
      <c r="C463" s="169" t="s">
        <v>482</v>
      </c>
      <c r="D463" s="142"/>
      <c r="E463" s="143"/>
      <c r="F463" s="143"/>
      <c r="G463" s="143"/>
      <c r="H463" s="143"/>
      <c r="I463" s="143"/>
      <c r="J463" s="143"/>
      <c r="K463" s="143"/>
      <c r="L463" s="143"/>
      <c r="M463" s="143"/>
      <c r="N463" s="222"/>
      <c r="O463" s="222">
        <v>64370</v>
      </c>
      <c r="P463" s="145"/>
      <c r="Q463" s="223">
        <f t="shared" si="520"/>
        <v>64370</v>
      </c>
      <c r="R463" s="147">
        <f t="shared" si="521"/>
        <v>7080.7</v>
      </c>
      <c r="S463" s="147">
        <f t="shared" si="522"/>
        <v>19.399178082191781</v>
      </c>
      <c r="T463" s="148">
        <f t="shared" si="523"/>
        <v>4248.42</v>
      </c>
      <c r="U463" s="199"/>
      <c r="V463" s="150"/>
      <c r="W463" s="151"/>
      <c r="X463" s="151"/>
      <c r="Y463" s="152"/>
      <c r="Z463" s="153"/>
      <c r="AA463" s="153"/>
      <c r="AB463" s="154"/>
      <c r="AC463" s="155">
        <f t="shared" si="524"/>
        <v>2464.0835999999999</v>
      </c>
      <c r="AD463" s="156">
        <f t="shared" si="525"/>
        <v>552.29460000000006</v>
      </c>
      <c r="AE463" s="156">
        <f t="shared" si="526"/>
        <v>372.798855</v>
      </c>
      <c r="AF463" s="156">
        <f t="shared" si="527"/>
        <v>169.93680000000001</v>
      </c>
      <c r="AG463" s="156">
        <f t="shared" si="528"/>
        <v>84.968400000000003</v>
      </c>
      <c r="AH463" s="156">
        <f t="shared" si="529"/>
        <v>84.968400000000003</v>
      </c>
      <c r="AI463" s="156">
        <f t="shared" si="530"/>
        <v>42.484200000000001</v>
      </c>
      <c r="AJ463" s="156">
        <f t="shared" si="531"/>
        <v>84.968400000000003</v>
      </c>
      <c r="AK463" s="156">
        <f t="shared" si="532"/>
        <v>84.968400000000003</v>
      </c>
      <c r="AL463" s="156">
        <f t="shared" si="533"/>
        <v>297.38940000000002</v>
      </c>
      <c r="AM463" s="157">
        <f t="shared" si="534"/>
        <v>1307.4512550000002</v>
      </c>
      <c r="AN463" s="158">
        <f t="shared" si="535"/>
        <v>2200</v>
      </c>
      <c r="AO463" s="159">
        <v>0.2</v>
      </c>
      <c r="AP463" s="160">
        <f t="shared" si="536"/>
        <v>34739456.688010797</v>
      </c>
      <c r="AQ463" s="161">
        <f t="shared" si="537"/>
        <v>9649.8498519909263</v>
      </c>
      <c r="AR463" s="162">
        <f t="shared" si="538"/>
        <v>1929.9699703981853</v>
      </c>
      <c r="AS463" s="163">
        <f t="shared" si="539"/>
        <v>0.27539525833307438</v>
      </c>
      <c r="AT463" s="164">
        <f t="shared" si="540"/>
        <v>0.27539525833307438</v>
      </c>
      <c r="AU463" s="165"/>
      <c r="AV463" s="166"/>
      <c r="AW463" s="167"/>
      <c r="AX463" s="146"/>
      <c r="AY463" s="168"/>
    </row>
    <row r="464" spans="1:51" s="139" customFormat="1" ht="11.25" x14ac:dyDescent="0.25">
      <c r="A464" s="1"/>
      <c r="B464" s="357">
        <v>4</v>
      </c>
      <c r="C464" s="169" t="s">
        <v>483</v>
      </c>
      <c r="D464" s="142"/>
      <c r="E464" s="143"/>
      <c r="F464" s="143"/>
      <c r="G464" s="143"/>
      <c r="H464" s="143"/>
      <c r="I464" s="143"/>
      <c r="J464" s="143"/>
      <c r="K464" s="143"/>
      <c r="L464" s="143"/>
      <c r="M464" s="143"/>
      <c r="N464" s="222"/>
      <c r="O464" s="222">
        <v>71564</v>
      </c>
      <c r="P464" s="145"/>
      <c r="Q464" s="223">
        <f t="shared" si="520"/>
        <v>71564</v>
      </c>
      <c r="R464" s="147">
        <f t="shared" si="521"/>
        <v>7872.04</v>
      </c>
      <c r="S464" s="147">
        <f t="shared" si="522"/>
        <v>21.567232876712328</v>
      </c>
      <c r="T464" s="148">
        <f t="shared" si="523"/>
        <v>4723.2240000000002</v>
      </c>
      <c r="U464" s="199"/>
      <c r="V464" s="150"/>
      <c r="W464" s="151"/>
      <c r="X464" s="151"/>
      <c r="Y464" s="152"/>
      <c r="Z464" s="153"/>
      <c r="AA464" s="153"/>
      <c r="AB464" s="154"/>
      <c r="AC464" s="155">
        <f t="shared" si="524"/>
        <v>2739.46992</v>
      </c>
      <c r="AD464" s="156">
        <f t="shared" si="525"/>
        <v>614.01912000000004</v>
      </c>
      <c r="AE464" s="156">
        <f t="shared" si="526"/>
        <v>414.46290599999998</v>
      </c>
      <c r="AF464" s="156">
        <f t="shared" si="527"/>
        <v>188.92896000000002</v>
      </c>
      <c r="AG464" s="156">
        <f t="shared" si="528"/>
        <v>94.464480000000009</v>
      </c>
      <c r="AH464" s="156">
        <f t="shared" si="529"/>
        <v>94.464480000000009</v>
      </c>
      <c r="AI464" s="156">
        <f t="shared" si="530"/>
        <v>47.232240000000004</v>
      </c>
      <c r="AJ464" s="156">
        <f t="shared" si="531"/>
        <v>94.464480000000009</v>
      </c>
      <c r="AK464" s="156">
        <f t="shared" si="532"/>
        <v>94.464480000000009</v>
      </c>
      <c r="AL464" s="156">
        <f t="shared" si="533"/>
        <v>330.62568000000005</v>
      </c>
      <c r="AM464" s="157">
        <f t="shared" si="534"/>
        <v>1453.5721860000003</v>
      </c>
      <c r="AN464" s="158">
        <f t="shared" si="535"/>
        <v>2200</v>
      </c>
      <c r="AO464" s="159">
        <v>0.2</v>
      </c>
      <c r="AP464" s="160">
        <f t="shared" si="536"/>
        <v>38621943.116681762</v>
      </c>
      <c r="AQ464" s="161">
        <f t="shared" si="537"/>
        <v>10728.318390677003</v>
      </c>
      <c r="AR464" s="162">
        <f t="shared" si="538"/>
        <v>2145.6636781354005</v>
      </c>
      <c r="AS464" s="163">
        <f t="shared" si="539"/>
        <v>0.30617347005356743</v>
      </c>
      <c r="AT464" s="164">
        <f t="shared" si="540"/>
        <v>0.30617347005356743</v>
      </c>
      <c r="AU464" s="165"/>
      <c r="AV464" s="166"/>
      <c r="AW464" s="167"/>
      <c r="AX464" s="146"/>
      <c r="AY464" s="168"/>
    </row>
    <row r="465" spans="1:51" s="139" customFormat="1" ht="11.25" x14ac:dyDescent="0.25">
      <c r="A465" s="1"/>
      <c r="B465" s="357">
        <v>5</v>
      </c>
      <c r="C465" s="170" t="s">
        <v>484</v>
      </c>
      <c r="D465" s="142"/>
      <c r="E465" s="143"/>
      <c r="F465" s="143"/>
      <c r="G465" s="143"/>
      <c r="H465" s="143"/>
      <c r="I465" s="143"/>
      <c r="J465" s="143"/>
      <c r="K465" s="143"/>
      <c r="L465" s="143"/>
      <c r="M465" s="143"/>
      <c r="N465" s="222"/>
      <c r="O465" s="222">
        <v>127520</v>
      </c>
      <c r="P465" s="145"/>
      <c r="Q465" s="223">
        <f t="shared" si="520"/>
        <v>127520</v>
      </c>
      <c r="R465" s="147">
        <f t="shared" si="521"/>
        <v>14027.2</v>
      </c>
      <c r="S465" s="147">
        <f t="shared" si="522"/>
        <v>38.430684931506853</v>
      </c>
      <c r="T465" s="148">
        <f t="shared" si="523"/>
        <v>8416.32</v>
      </c>
      <c r="U465" s="199"/>
      <c r="V465" s="150"/>
      <c r="W465" s="151"/>
      <c r="X465" s="151"/>
      <c r="Y465" s="152"/>
      <c r="Z465" s="153"/>
      <c r="AA465" s="153"/>
      <c r="AB465" s="154"/>
      <c r="AC465" s="155">
        <f t="shared" si="524"/>
        <v>4881.4655999999995</v>
      </c>
      <c r="AD465" s="156">
        <f t="shared" si="525"/>
        <v>1094.1215999999999</v>
      </c>
      <c r="AE465" s="156">
        <f t="shared" si="526"/>
        <v>738.53207999999995</v>
      </c>
      <c r="AF465" s="156">
        <f t="shared" si="527"/>
        <v>336.65280000000001</v>
      </c>
      <c r="AG465" s="156">
        <f t="shared" si="528"/>
        <v>168.32640000000001</v>
      </c>
      <c r="AH465" s="156">
        <f t="shared" si="529"/>
        <v>168.32640000000001</v>
      </c>
      <c r="AI465" s="156">
        <f t="shared" si="530"/>
        <v>84.163200000000003</v>
      </c>
      <c r="AJ465" s="156">
        <f t="shared" si="531"/>
        <v>168.32640000000001</v>
      </c>
      <c r="AK465" s="156">
        <f t="shared" si="532"/>
        <v>168.32640000000001</v>
      </c>
      <c r="AL465" s="156">
        <f t="shared" si="533"/>
        <v>589.14240000000007</v>
      </c>
      <c r="AM465" s="157">
        <f t="shared" si="534"/>
        <v>2590.1224799999995</v>
      </c>
      <c r="AN465" s="158">
        <f t="shared" si="535"/>
        <v>2200</v>
      </c>
      <c r="AO465" s="159">
        <v>0.2</v>
      </c>
      <c r="AP465" s="160">
        <f t="shared" si="536"/>
        <v>68820498.941356793</v>
      </c>
      <c r="AQ465" s="161">
        <f t="shared" si="537"/>
        <v>19116.806790832419</v>
      </c>
      <c r="AR465" s="162">
        <f t="shared" si="538"/>
        <v>3823.361358166484</v>
      </c>
      <c r="AS465" s="163">
        <f t="shared" si="539"/>
        <v>0.54557097005800281</v>
      </c>
      <c r="AT465" s="164">
        <f t="shared" si="540"/>
        <v>0.54557097005800281</v>
      </c>
      <c r="AU465" s="165"/>
      <c r="AV465" s="166"/>
      <c r="AW465" s="167"/>
      <c r="AX465" s="146"/>
      <c r="AY465" s="168"/>
    </row>
    <row r="466" spans="1:51" s="139" customFormat="1" ht="11.25" x14ac:dyDescent="0.25">
      <c r="A466" s="1"/>
      <c r="B466" s="357">
        <v>6</v>
      </c>
      <c r="C466" s="170" t="s">
        <v>485</v>
      </c>
      <c r="D466" s="142"/>
      <c r="E466" s="143"/>
      <c r="F466" s="143"/>
      <c r="G466" s="143"/>
      <c r="H466" s="143"/>
      <c r="I466" s="143"/>
      <c r="J466" s="143"/>
      <c r="K466" s="143"/>
      <c r="L466" s="143"/>
      <c r="M466" s="143"/>
      <c r="N466" s="222"/>
      <c r="O466" s="222">
        <v>64516</v>
      </c>
      <c r="P466" s="145"/>
      <c r="Q466" s="223">
        <f t="shared" si="520"/>
        <v>64516</v>
      </c>
      <c r="R466" s="147">
        <f t="shared" si="521"/>
        <v>7096.76</v>
      </c>
      <c r="S466" s="147">
        <f t="shared" si="522"/>
        <v>19.443178082191782</v>
      </c>
      <c r="T466" s="148">
        <f t="shared" si="523"/>
        <v>4258.0559999999996</v>
      </c>
      <c r="U466" s="199"/>
      <c r="V466" s="150"/>
      <c r="W466" s="151"/>
      <c r="X466" s="151"/>
      <c r="Y466" s="152"/>
      <c r="Z466" s="153"/>
      <c r="AA466" s="153"/>
      <c r="AB466" s="154"/>
      <c r="AC466" s="155">
        <f t="shared" si="524"/>
        <v>2469.6724799999997</v>
      </c>
      <c r="AD466" s="156">
        <f t="shared" si="525"/>
        <v>553.54728</v>
      </c>
      <c r="AE466" s="156">
        <f t="shared" si="526"/>
        <v>373.64441399999993</v>
      </c>
      <c r="AF466" s="156">
        <f t="shared" si="527"/>
        <v>170.32223999999999</v>
      </c>
      <c r="AG466" s="156">
        <f t="shared" si="528"/>
        <v>85.161119999999997</v>
      </c>
      <c r="AH466" s="156">
        <f t="shared" si="529"/>
        <v>85.161119999999997</v>
      </c>
      <c r="AI466" s="156">
        <f t="shared" si="530"/>
        <v>42.580559999999998</v>
      </c>
      <c r="AJ466" s="156">
        <f t="shared" si="531"/>
        <v>85.161119999999997</v>
      </c>
      <c r="AK466" s="156">
        <f t="shared" si="532"/>
        <v>85.161119999999997</v>
      </c>
      <c r="AL466" s="156">
        <f t="shared" si="533"/>
        <v>298.06392</v>
      </c>
      <c r="AM466" s="157">
        <f t="shared" si="534"/>
        <v>1310.4167339999999</v>
      </c>
      <c r="AN466" s="158">
        <f t="shared" si="535"/>
        <v>2200</v>
      </c>
      <c r="AO466" s="159">
        <v>0.2</v>
      </c>
      <c r="AP466" s="160">
        <f t="shared" si="536"/>
        <v>34818250.546585433</v>
      </c>
      <c r="AQ466" s="161">
        <f t="shared" si="537"/>
        <v>9671.7370366792984</v>
      </c>
      <c r="AR466" s="162">
        <f t="shared" si="538"/>
        <v>1934.3474073358598</v>
      </c>
      <c r="AS466" s="163">
        <f t="shared" si="539"/>
        <v>0.27601989259929505</v>
      </c>
      <c r="AT466" s="164">
        <f t="shared" si="540"/>
        <v>0.27601989259929505</v>
      </c>
      <c r="AU466" s="165"/>
      <c r="AV466" s="166"/>
      <c r="AW466" s="167"/>
      <c r="AX466" s="146"/>
      <c r="AY466" s="168"/>
    </row>
    <row r="467" spans="1:51" s="139" customFormat="1" ht="11.25" x14ac:dyDescent="0.25">
      <c r="A467" s="1"/>
      <c r="B467" s="357">
        <v>7</v>
      </c>
      <c r="C467" s="170" t="s">
        <v>486</v>
      </c>
      <c r="D467" s="142"/>
      <c r="E467" s="143"/>
      <c r="F467" s="143"/>
      <c r="G467" s="143"/>
      <c r="H467" s="143"/>
      <c r="I467" s="143"/>
      <c r="J467" s="143"/>
      <c r="K467" s="143"/>
      <c r="L467" s="143"/>
      <c r="M467" s="143"/>
      <c r="N467" s="222"/>
      <c r="O467" s="222">
        <v>84378</v>
      </c>
      <c r="P467" s="145"/>
      <c r="Q467" s="223">
        <f t="shared" si="520"/>
        <v>84378</v>
      </c>
      <c r="R467" s="147">
        <f t="shared" si="521"/>
        <v>9281.58</v>
      </c>
      <c r="S467" s="147">
        <f t="shared" si="522"/>
        <v>25.428986301369864</v>
      </c>
      <c r="T467" s="148">
        <f t="shared" si="523"/>
        <v>5568.9479999999994</v>
      </c>
      <c r="U467" s="199"/>
      <c r="V467" s="150"/>
      <c r="W467" s="151"/>
      <c r="X467" s="151"/>
      <c r="Y467" s="152"/>
      <c r="Z467" s="153"/>
      <c r="AA467" s="153"/>
      <c r="AB467" s="154"/>
      <c r="AC467" s="155">
        <f t="shared" si="524"/>
        <v>3229.9898399999993</v>
      </c>
      <c r="AD467" s="156">
        <f t="shared" si="525"/>
        <v>723.96323999999993</v>
      </c>
      <c r="AE467" s="156">
        <f t="shared" si="526"/>
        <v>488.67518699999994</v>
      </c>
      <c r="AF467" s="156">
        <f t="shared" si="527"/>
        <v>222.75791999999998</v>
      </c>
      <c r="AG467" s="156">
        <f t="shared" si="528"/>
        <v>111.37895999999999</v>
      </c>
      <c r="AH467" s="156">
        <f t="shared" si="529"/>
        <v>111.37895999999999</v>
      </c>
      <c r="AI467" s="156">
        <f t="shared" si="530"/>
        <v>55.689479999999996</v>
      </c>
      <c r="AJ467" s="156">
        <f t="shared" si="531"/>
        <v>111.37895999999999</v>
      </c>
      <c r="AK467" s="156">
        <f t="shared" si="532"/>
        <v>111.37895999999999</v>
      </c>
      <c r="AL467" s="156">
        <f t="shared" si="533"/>
        <v>389.82636000000002</v>
      </c>
      <c r="AM467" s="157">
        <f t="shared" si="534"/>
        <v>1713.8437469999999</v>
      </c>
      <c r="AN467" s="158">
        <f t="shared" si="535"/>
        <v>2200</v>
      </c>
      <c r="AO467" s="159">
        <v>0.2</v>
      </c>
      <c r="AP467" s="160">
        <f t="shared" si="536"/>
        <v>45537453.41651351</v>
      </c>
      <c r="AQ467" s="161">
        <f t="shared" si="537"/>
        <v>12649.293627641606</v>
      </c>
      <c r="AR467" s="162">
        <f t="shared" si="538"/>
        <v>2529.8587255283214</v>
      </c>
      <c r="AS467" s="163">
        <f t="shared" si="539"/>
        <v>0.36099582270666686</v>
      </c>
      <c r="AT467" s="164">
        <f t="shared" si="540"/>
        <v>0.36099582270666686</v>
      </c>
      <c r="AU467" s="165"/>
      <c r="AV467" s="166"/>
      <c r="AW467" s="167"/>
      <c r="AX467" s="146"/>
      <c r="AY467" s="168"/>
    </row>
    <row r="468" spans="1:51" s="139" customFormat="1" ht="11.25" x14ac:dyDescent="0.25">
      <c r="A468" s="1"/>
      <c r="B468" s="357">
        <v>8</v>
      </c>
      <c r="C468" s="170" t="s">
        <v>487</v>
      </c>
      <c r="D468" s="142"/>
      <c r="E468" s="143"/>
      <c r="F468" s="143"/>
      <c r="G468" s="143"/>
      <c r="H468" s="143"/>
      <c r="I468" s="143"/>
      <c r="J468" s="143"/>
      <c r="K468" s="143"/>
      <c r="L468" s="143"/>
      <c r="M468" s="143"/>
      <c r="N468" s="222"/>
      <c r="O468" s="222">
        <v>313892</v>
      </c>
      <c r="P468" s="145"/>
      <c r="Q468" s="223">
        <f t="shared" si="520"/>
        <v>313892</v>
      </c>
      <c r="R468" s="147">
        <f t="shared" si="521"/>
        <v>34528.120000000003</v>
      </c>
      <c r="S468" s="147">
        <f t="shared" si="522"/>
        <v>94.597589041095901</v>
      </c>
      <c r="T468" s="148">
        <f t="shared" si="523"/>
        <v>20716.871999999999</v>
      </c>
      <c r="U468" s="199"/>
      <c r="V468" s="150"/>
      <c r="W468" s="151"/>
      <c r="X468" s="151"/>
      <c r="Y468" s="152"/>
      <c r="Z468" s="153"/>
      <c r="AA468" s="153"/>
      <c r="AB468" s="154"/>
      <c r="AC468" s="155">
        <f t="shared" si="524"/>
        <v>12015.785759999999</v>
      </c>
      <c r="AD468" s="156">
        <f t="shared" si="525"/>
        <v>2693.1933600000002</v>
      </c>
      <c r="AE468" s="156">
        <f t="shared" si="526"/>
        <v>1817.9055179999998</v>
      </c>
      <c r="AF468" s="156">
        <f t="shared" si="527"/>
        <v>828.67488000000003</v>
      </c>
      <c r="AG468" s="156">
        <f t="shared" si="528"/>
        <v>414.33744000000002</v>
      </c>
      <c r="AH468" s="156">
        <f t="shared" si="529"/>
        <v>414.33744000000002</v>
      </c>
      <c r="AI468" s="156">
        <f t="shared" si="530"/>
        <v>207.16872000000001</v>
      </c>
      <c r="AJ468" s="156">
        <f t="shared" si="531"/>
        <v>414.33744000000002</v>
      </c>
      <c r="AK468" s="156">
        <f t="shared" si="532"/>
        <v>414.33744000000002</v>
      </c>
      <c r="AL468" s="156">
        <f t="shared" si="533"/>
        <v>1450.1810400000002</v>
      </c>
      <c r="AM468" s="157">
        <f t="shared" si="534"/>
        <v>6375.6173579999995</v>
      </c>
      <c r="AN468" s="158">
        <f t="shared" si="535"/>
        <v>2200</v>
      </c>
      <c r="AO468" s="159">
        <v>0.2</v>
      </c>
      <c r="AP468" s="160">
        <f t="shared" si="536"/>
        <v>169402478.46377328</v>
      </c>
      <c r="AQ468" s="161">
        <f t="shared" si="537"/>
        <v>47056.247782214319</v>
      </c>
      <c r="AR468" s="162">
        <f t="shared" si="538"/>
        <v>9411.2495564428646</v>
      </c>
      <c r="AS468" s="163">
        <f t="shared" si="539"/>
        <v>1.3429294458394498</v>
      </c>
      <c r="AT468" s="164">
        <f t="shared" si="540"/>
        <v>1.3429294458394498</v>
      </c>
      <c r="AU468" s="165"/>
      <c r="AV468" s="166"/>
      <c r="AW468" s="167"/>
      <c r="AX468" s="146"/>
      <c r="AY468" s="168"/>
    </row>
    <row r="469" spans="1:51" s="139" customFormat="1" ht="11.25" x14ac:dyDescent="0.25">
      <c r="A469" s="1"/>
      <c r="B469" s="357">
        <v>9</v>
      </c>
      <c r="C469" s="170" t="s">
        <v>488</v>
      </c>
      <c r="D469" s="142"/>
      <c r="E469" s="143"/>
      <c r="F469" s="143"/>
      <c r="G469" s="143"/>
      <c r="H469" s="143"/>
      <c r="I469" s="143"/>
      <c r="J469" s="143"/>
      <c r="K469" s="143"/>
      <c r="L469" s="143"/>
      <c r="M469" s="143"/>
      <c r="N469" s="222"/>
      <c r="O469" s="222">
        <v>197755</v>
      </c>
      <c r="P469" s="145"/>
      <c r="Q469" s="223">
        <f t="shared" si="520"/>
        <v>197755</v>
      </c>
      <c r="R469" s="147">
        <f t="shared" si="521"/>
        <v>21753.05</v>
      </c>
      <c r="S469" s="147">
        <f t="shared" si="522"/>
        <v>59.597397260273972</v>
      </c>
      <c r="T469" s="148">
        <f t="shared" si="523"/>
        <v>13051.83</v>
      </c>
      <c r="U469" s="199"/>
      <c r="V469" s="150"/>
      <c r="W469" s="151"/>
      <c r="X469" s="151"/>
      <c r="Y469" s="152"/>
      <c r="Z469" s="153"/>
      <c r="AA469" s="153"/>
      <c r="AB469" s="154"/>
      <c r="AC469" s="155">
        <f t="shared" si="524"/>
        <v>7570.0613999999996</v>
      </c>
      <c r="AD469" s="156">
        <f t="shared" si="525"/>
        <v>1696.7379000000001</v>
      </c>
      <c r="AE469" s="156">
        <f t="shared" si="526"/>
        <v>1145.2980825</v>
      </c>
      <c r="AF469" s="156">
        <f t="shared" si="527"/>
        <v>522.07320000000004</v>
      </c>
      <c r="AG469" s="156">
        <f t="shared" si="528"/>
        <v>261.03660000000002</v>
      </c>
      <c r="AH469" s="156">
        <f t="shared" si="529"/>
        <v>261.03660000000002</v>
      </c>
      <c r="AI469" s="156">
        <f t="shared" si="530"/>
        <v>130.51830000000001</v>
      </c>
      <c r="AJ469" s="156">
        <f t="shared" si="531"/>
        <v>261.03660000000002</v>
      </c>
      <c r="AK469" s="156">
        <f t="shared" si="532"/>
        <v>261.03660000000002</v>
      </c>
      <c r="AL469" s="156">
        <f t="shared" si="533"/>
        <v>913.62810000000013</v>
      </c>
      <c r="AM469" s="157">
        <f t="shared" si="534"/>
        <v>4016.7006825000003</v>
      </c>
      <c r="AN469" s="158">
        <f t="shared" si="535"/>
        <v>2200</v>
      </c>
      <c r="AO469" s="159">
        <v>0.2</v>
      </c>
      <c r="AP469" s="160">
        <f t="shared" si="536"/>
        <v>106725202.07142419</v>
      </c>
      <c r="AQ469" s="161">
        <f t="shared" si="537"/>
        <v>29645.891835955652</v>
      </c>
      <c r="AR469" s="162">
        <f t="shared" si="538"/>
        <v>5929.1783671911307</v>
      </c>
      <c r="AS469" s="163">
        <f t="shared" si="539"/>
        <v>0.84605855696220478</v>
      </c>
      <c r="AT469" s="233">
        <f t="shared" si="540"/>
        <v>0.84605855696220478</v>
      </c>
      <c r="AU469" s="187"/>
      <c r="AV469" s="166"/>
      <c r="AW469" s="167"/>
      <c r="AX469" s="146"/>
      <c r="AY469" s="168"/>
    </row>
    <row r="470" spans="1:51" s="139" customFormat="1" ht="11.25" x14ac:dyDescent="0.25">
      <c r="A470" s="1"/>
      <c r="B470" s="357">
        <v>10</v>
      </c>
      <c r="C470" s="170" t="s">
        <v>489</v>
      </c>
      <c r="D470" s="142"/>
      <c r="E470" s="143"/>
      <c r="F470" s="143"/>
      <c r="G470" s="143"/>
      <c r="H470" s="143"/>
      <c r="I470" s="143"/>
      <c r="J470" s="143"/>
      <c r="K470" s="143"/>
      <c r="L470" s="143"/>
      <c r="M470" s="143"/>
      <c r="N470" s="222"/>
      <c r="O470" s="222">
        <v>101575</v>
      </c>
      <c r="P470" s="145"/>
      <c r="Q470" s="223">
        <f t="shared" si="520"/>
        <v>101575</v>
      </c>
      <c r="R470" s="147">
        <f t="shared" si="521"/>
        <v>11173.25</v>
      </c>
      <c r="S470" s="147">
        <f t="shared" si="522"/>
        <v>30.611643835616437</v>
      </c>
      <c r="T470" s="148">
        <f t="shared" si="523"/>
        <v>6703.95</v>
      </c>
      <c r="U470" s="199"/>
      <c r="V470" s="150"/>
      <c r="W470" s="151"/>
      <c r="X470" s="151"/>
      <c r="Y470" s="152"/>
      <c r="Z470" s="153"/>
      <c r="AA470" s="153"/>
      <c r="AB470" s="154"/>
      <c r="AC470" s="155">
        <f t="shared" si="524"/>
        <v>3888.2909999999997</v>
      </c>
      <c r="AD470" s="156">
        <f t="shared" si="525"/>
        <v>871.51350000000002</v>
      </c>
      <c r="AE470" s="156">
        <f t="shared" si="526"/>
        <v>588.27161249999995</v>
      </c>
      <c r="AF470" s="156">
        <f t="shared" si="527"/>
        <v>268.15800000000002</v>
      </c>
      <c r="AG470" s="156">
        <f t="shared" si="528"/>
        <v>134.07900000000001</v>
      </c>
      <c r="AH470" s="156">
        <f t="shared" si="529"/>
        <v>134.07900000000001</v>
      </c>
      <c r="AI470" s="156">
        <f t="shared" si="530"/>
        <v>67.039500000000004</v>
      </c>
      <c r="AJ470" s="156">
        <f t="shared" si="531"/>
        <v>134.07900000000001</v>
      </c>
      <c r="AK470" s="156">
        <f t="shared" si="532"/>
        <v>134.07900000000001</v>
      </c>
      <c r="AL470" s="156">
        <f t="shared" si="533"/>
        <v>469.27650000000006</v>
      </c>
      <c r="AM470" s="157">
        <f t="shared" si="534"/>
        <v>2063.1406124999999</v>
      </c>
      <c r="AN470" s="158">
        <f t="shared" si="535"/>
        <v>2200</v>
      </c>
      <c r="AO470" s="159">
        <v>0.2</v>
      </c>
      <c r="AP470" s="160">
        <f t="shared" si="536"/>
        <v>54818398.525472999</v>
      </c>
      <c r="AQ470" s="161">
        <f t="shared" si="537"/>
        <v>15227.334141929134</v>
      </c>
      <c r="AR470" s="162">
        <f t="shared" si="538"/>
        <v>3045.4668283858268</v>
      </c>
      <c r="AS470" s="163">
        <f t="shared" si="539"/>
        <v>0.43457003829706431</v>
      </c>
      <c r="AT470" s="164">
        <f t="shared" si="540"/>
        <v>0.43457003829706431</v>
      </c>
      <c r="AU470" s="165"/>
      <c r="AV470" s="166"/>
      <c r="AW470" s="167"/>
      <c r="AX470" s="146"/>
      <c r="AY470" s="168"/>
    </row>
    <row r="471" spans="1:51" s="139" customFormat="1" ht="11.25" x14ac:dyDescent="0.25">
      <c r="A471" s="1"/>
      <c r="B471" s="357">
        <v>11</v>
      </c>
      <c r="C471" s="170" t="s">
        <v>490</v>
      </c>
      <c r="D471" s="142"/>
      <c r="E471" s="143"/>
      <c r="F471" s="143"/>
      <c r="G471" s="143"/>
      <c r="H471" s="143"/>
      <c r="I471" s="143"/>
      <c r="J471" s="143"/>
      <c r="K471" s="143"/>
      <c r="L471" s="143"/>
      <c r="M471" s="143"/>
      <c r="N471" s="222"/>
      <c r="O471" s="222">
        <v>191036</v>
      </c>
      <c r="P471" s="145"/>
      <c r="Q471" s="223">
        <f t="shared" si="520"/>
        <v>191036</v>
      </c>
      <c r="R471" s="147">
        <f t="shared" si="521"/>
        <v>21013.96</v>
      </c>
      <c r="S471" s="147">
        <f t="shared" si="522"/>
        <v>57.572493150684927</v>
      </c>
      <c r="T471" s="148">
        <f t="shared" si="523"/>
        <v>12608.375999999998</v>
      </c>
      <c r="U471" s="199"/>
      <c r="V471" s="150"/>
      <c r="W471" s="151"/>
      <c r="X471" s="151"/>
      <c r="Y471" s="152"/>
      <c r="Z471" s="153"/>
      <c r="AA471" s="153"/>
      <c r="AB471" s="154"/>
      <c r="AC471" s="155">
        <f t="shared" si="524"/>
        <v>7312.8580799999982</v>
      </c>
      <c r="AD471" s="156">
        <f t="shared" si="525"/>
        <v>1639.0888799999998</v>
      </c>
      <c r="AE471" s="156">
        <f t="shared" si="526"/>
        <v>1106.3849939999998</v>
      </c>
      <c r="AF471" s="156">
        <f t="shared" si="527"/>
        <v>504.33503999999994</v>
      </c>
      <c r="AG471" s="156">
        <f t="shared" si="528"/>
        <v>252.16751999999997</v>
      </c>
      <c r="AH471" s="156">
        <f t="shared" si="529"/>
        <v>252.16751999999997</v>
      </c>
      <c r="AI471" s="156">
        <f t="shared" si="530"/>
        <v>126.08375999999998</v>
      </c>
      <c r="AJ471" s="156">
        <f t="shared" si="531"/>
        <v>252.16751999999997</v>
      </c>
      <c r="AK471" s="156">
        <f t="shared" si="532"/>
        <v>252.16751999999997</v>
      </c>
      <c r="AL471" s="156">
        <f t="shared" si="533"/>
        <v>882.58632</v>
      </c>
      <c r="AM471" s="157">
        <f t="shared" si="534"/>
        <v>3880.2277139999992</v>
      </c>
      <c r="AN471" s="158">
        <f t="shared" si="535"/>
        <v>2200</v>
      </c>
      <c r="AO471" s="159">
        <v>0.2</v>
      </c>
      <c r="AP471" s="160">
        <f t="shared" si="536"/>
        <v>103099065.52510221</v>
      </c>
      <c r="AQ471" s="161">
        <f t="shared" si="537"/>
        <v>28638.631603618738</v>
      </c>
      <c r="AR471" s="162">
        <f t="shared" si="538"/>
        <v>5727.7263207237484</v>
      </c>
      <c r="AS471" s="163">
        <f t="shared" si="539"/>
        <v>0.81731254576537504</v>
      </c>
      <c r="AT471" s="164">
        <f t="shared" si="540"/>
        <v>0.81731254576537504</v>
      </c>
      <c r="AU471" s="165"/>
      <c r="AV471" s="166"/>
      <c r="AW471" s="167"/>
      <c r="AX471" s="146"/>
      <c r="AY471" s="168"/>
    </row>
    <row r="472" spans="1:51" s="139" customFormat="1" ht="11.25" x14ac:dyDescent="0.25">
      <c r="A472" s="1"/>
      <c r="B472" s="357">
        <v>12</v>
      </c>
      <c r="C472" s="170" t="s">
        <v>491</v>
      </c>
      <c r="D472" s="142"/>
      <c r="E472" s="143"/>
      <c r="F472" s="143"/>
      <c r="G472" s="143"/>
      <c r="H472" s="143"/>
      <c r="I472" s="143"/>
      <c r="J472" s="143"/>
      <c r="K472" s="143"/>
      <c r="L472" s="143"/>
      <c r="M472" s="143"/>
      <c r="N472" s="222"/>
      <c r="O472" s="222">
        <v>189920</v>
      </c>
      <c r="P472" s="145"/>
      <c r="Q472" s="223">
        <f t="shared" si="520"/>
        <v>189920</v>
      </c>
      <c r="R472" s="147">
        <f t="shared" si="521"/>
        <v>20891.2</v>
      </c>
      <c r="S472" s="147">
        <f t="shared" si="522"/>
        <v>57.236164383561643</v>
      </c>
      <c r="T472" s="148">
        <f t="shared" si="523"/>
        <v>12534.72</v>
      </c>
      <c r="U472" s="199"/>
      <c r="V472" s="150"/>
      <c r="W472" s="151"/>
      <c r="X472" s="151"/>
      <c r="Y472" s="152"/>
      <c r="Z472" s="153"/>
      <c r="AA472" s="153"/>
      <c r="AB472" s="154"/>
      <c r="AC472" s="155">
        <f t="shared" si="524"/>
        <v>7270.1375999999991</v>
      </c>
      <c r="AD472" s="156">
        <f t="shared" si="525"/>
        <v>1629.5136</v>
      </c>
      <c r="AE472" s="156">
        <f t="shared" si="526"/>
        <v>1099.9216799999999</v>
      </c>
      <c r="AF472" s="156">
        <f t="shared" si="527"/>
        <v>501.3888</v>
      </c>
      <c r="AG472" s="156">
        <f t="shared" si="528"/>
        <v>250.6944</v>
      </c>
      <c r="AH472" s="156">
        <f t="shared" si="529"/>
        <v>250.6944</v>
      </c>
      <c r="AI472" s="156">
        <f t="shared" si="530"/>
        <v>125.3472</v>
      </c>
      <c r="AJ472" s="156">
        <f t="shared" si="531"/>
        <v>250.6944</v>
      </c>
      <c r="AK472" s="156">
        <f t="shared" si="532"/>
        <v>250.6944</v>
      </c>
      <c r="AL472" s="156">
        <f t="shared" si="533"/>
        <v>877.43040000000008</v>
      </c>
      <c r="AM472" s="157">
        <f t="shared" si="534"/>
        <v>3857.5600799999997</v>
      </c>
      <c r="AN472" s="158">
        <f t="shared" si="535"/>
        <v>2200</v>
      </c>
      <c r="AO472" s="159">
        <v>0.2</v>
      </c>
      <c r="AP472" s="160">
        <f t="shared" si="536"/>
        <v>102496778.22257279</v>
      </c>
      <c r="AQ472" s="161">
        <f t="shared" si="537"/>
        <v>28471.329561754181</v>
      </c>
      <c r="AR472" s="162">
        <f t="shared" si="538"/>
        <v>5694.2659123508365</v>
      </c>
      <c r="AS472" s="163">
        <f t="shared" si="539"/>
        <v>0.81253794411398927</v>
      </c>
      <c r="AT472" s="233">
        <f t="shared" si="540"/>
        <v>0.81253794411398927</v>
      </c>
      <c r="AU472" s="187"/>
      <c r="AV472" s="166"/>
      <c r="AW472" s="167"/>
      <c r="AX472" s="146"/>
      <c r="AY472" s="168"/>
    </row>
    <row r="473" spans="1:51" s="139" customFormat="1" ht="11.25" x14ac:dyDescent="0.25">
      <c r="A473" s="1"/>
      <c r="B473" s="357">
        <v>13</v>
      </c>
      <c r="C473" s="170" t="s">
        <v>492</v>
      </c>
      <c r="D473" s="142"/>
      <c r="E473" s="143"/>
      <c r="F473" s="143"/>
      <c r="G473" s="143"/>
      <c r="H473" s="143"/>
      <c r="I473" s="143"/>
      <c r="J473" s="143"/>
      <c r="K473" s="143"/>
      <c r="L473" s="143"/>
      <c r="M473" s="143"/>
      <c r="N473" s="222"/>
      <c r="O473" s="222">
        <v>108891</v>
      </c>
      <c r="P473" s="145"/>
      <c r="Q473" s="223">
        <f t="shared" si="520"/>
        <v>108891</v>
      </c>
      <c r="R473" s="147">
        <f t="shared" si="521"/>
        <v>11978.01</v>
      </c>
      <c r="S473" s="147">
        <f t="shared" si="522"/>
        <v>32.816465753424659</v>
      </c>
      <c r="T473" s="148">
        <f t="shared" si="523"/>
        <v>7186.8059999999996</v>
      </c>
      <c r="U473" s="199"/>
      <c r="V473" s="150"/>
      <c r="W473" s="151"/>
      <c r="X473" s="151"/>
      <c r="Y473" s="152"/>
      <c r="Z473" s="153"/>
      <c r="AA473" s="153"/>
      <c r="AB473" s="154"/>
      <c r="AC473" s="155">
        <f t="shared" si="524"/>
        <v>4168.3474799999995</v>
      </c>
      <c r="AD473" s="156">
        <f t="shared" si="525"/>
        <v>934.28477999999996</v>
      </c>
      <c r="AE473" s="156">
        <f t="shared" si="526"/>
        <v>630.64222649999988</v>
      </c>
      <c r="AF473" s="156">
        <f t="shared" si="527"/>
        <v>287.47224</v>
      </c>
      <c r="AG473" s="156">
        <f t="shared" si="528"/>
        <v>143.73612</v>
      </c>
      <c r="AH473" s="156">
        <f t="shared" si="529"/>
        <v>143.73612</v>
      </c>
      <c r="AI473" s="156">
        <f t="shared" si="530"/>
        <v>71.86806</v>
      </c>
      <c r="AJ473" s="156">
        <f t="shared" si="531"/>
        <v>143.73612</v>
      </c>
      <c r="AK473" s="156">
        <f t="shared" si="532"/>
        <v>143.73612</v>
      </c>
      <c r="AL473" s="156">
        <f t="shared" si="533"/>
        <v>503.07642000000004</v>
      </c>
      <c r="AM473" s="157">
        <f t="shared" si="534"/>
        <v>2211.7395464999995</v>
      </c>
      <c r="AN473" s="158">
        <f t="shared" si="535"/>
        <v>2200</v>
      </c>
      <c r="AO473" s="159">
        <v>0.2</v>
      </c>
      <c r="AP473" s="160">
        <f t="shared" si="536"/>
        <v>58766726.397610433</v>
      </c>
      <c r="AQ473" s="161">
        <f t="shared" si="537"/>
        <v>16324.091971930151</v>
      </c>
      <c r="AR473" s="162">
        <f t="shared" si="538"/>
        <v>3264.8183943860304</v>
      </c>
      <c r="AS473" s="163">
        <f t="shared" si="539"/>
        <v>0.46587020467837192</v>
      </c>
      <c r="AT473" s="233">
        <f t="shared" si="540"/>
        <v>0.46587020467837192</v>
      </c>
      <c r="AU473" s="187"/>
      <c r="AV473" s="166"/>
      <c r="AW473" s="167"/>
      <c r="AX473" s="146"/>
      <c r="AY473" s="168"/>
    </row>
    <row r="474" spans="1:51" s="139" customFormat="1" ht="11.25" x14ac:dyDescent="0.25">
      <c r="A474" s="1"/>
      <c r="B474" s="357">
        <v>14</v>
      </c>
      <c r="C474" s="170" t="s">
        <v>493</v>
      </c>
      <c r="D474" s="142"/>
      <c r="E474" s="143"/>
      <c r="F474" s="143"/>
      <c r="G474" s="143"/>
      <c r="H474" s="143"/>
      <c r="I474" s="143"/>
      <c r="J474" s="143"/>
      <c r="K474" s="143"/>
      <c r="L474" s="143"/>
      <c r="M474" s="143"/>
      <c r="N474" s="222"/>
      <c r="O474" s="222">
        <v>415114</v>
      </c>
      <c r="P474" s="145"/>
      <c r="Q474" s="223">
        <f t="shared" si="520"/>
        <v>415114</v>
      </c>
      <c r="R474" s="147">
        <f t="shared" si="521"/>
        <v>45662.54</v>
      </c>
      <c r="S474" s="147">
        <f t="shared" si="522"/>
        <v>125.1028493150685</v>
      </c>
      <c r="T474" s="148">
        <f t="shared" si="523"/>
        <v>27397.524000000001</v>
      </c>
      <c r="U474" s="199"/>
      <c r="V474" s="150"/>
      <c r="W474" s="151"/>
      <c r="X474" s="151"/>
      <c r="Y474" s="152"/>
      <c r="Z474" s="153"/>
      <c r="AA474" s="153"/>
      <c r="AB474" s="154"/>
      <c r="AC474" s="155">
        <f t="shared" si="524"/>
        <v>15890.563920000001</v>
      </c>
      <c r="AD474" s="156">
        <f t="shared" si="525"/>
        <v>3561.6781200000005</v>
      </c>
      <c r="AE474" s="156">
        <f t="shared" si="526"/>
        <v>2404.1327310000001</v>
      </c>
      <c r="AF474" s="156">
        <f t="shared" si="527"/>
        <v>1095.9009600000002</v>
      </c>
      <c r="AG474" s="156">
        <f t="shared" si="528"/>
        <v>547.95048000000008</v>
      </c>
      <c r="AH474" s="156">
        <f t="shared" si="529"/>
        <v>547.95048000000008</v>
      </c>
      <c r="AI474" s="156">
        <f t="shared" si="530"/>
        <v>273.97524000000004</v>
      </c>
      <c r="AJ474" s="156">
        <f t="shared" si="531"/>
        <v>547.95048000000008</v>
      </c>
      <c r="AK474" s="156">
        <f t="shared" si="532"/>
        <v>547.95048000000008</v>
      </c>
      <c r="AL474" s="156">
        <f t="shared" si="533"/>
        <v>1917.8266800000004</v>
      </c>
      <c r="AM474" s="157">
        <f t="shared" si="534"/>
        <v>8431.5880110000016</v>
      </c>
      <c r="AN474" s="158">
        <f t="shared" si="535"/>
        <v>2200</v>
      </c>
      <c r="AO474" s="159">
        <v>0.2</v>
      </c>
      <c r="AP474" s="160">
        <f t="shared" si="536"/>
        <v>224030368.55036375</v>
      </c>
      <c r="AQ474" s="161">
        <f t="shared" si="537"/>
        <v>62230.662909109233</v>
      </c>
      <c r="AR474" s="162">
        <f t="shared" si="538"/>
        <v>12446.132581821847</v>
      </c>
      <c r="AS474" s="163">
        <f t="shared" si="539"/>
        <v>1.7759892382736653</v>
      </c>
      <c r="AT474" s="164">
        <f t="shared" si="540"/>
        <v>1.7759892382736653</v>
      </c>
      <c r="AU474" s="165"/>
      <c r="AV474" s="166"/>
      <c r="AW474" s="167"/>
      <c r="AX474" s="146"/>
      <c r="AY474" s="168"/>
    </row>
    <row r="475" spans="1:51" s="139" customFormat="1" ht="11.25" x14ac:dyDescent="0.25">
      <c r="A475" s="1"/>
      <c r="B475" s="357">
        <v>15</v>
      </c>
      <c r="C475" s="170" t="s">
        <v>494</v>
      </c>
      <c r="D475" s="142"/>
      <c r="E475" s="143"/>
      <c r="F475" s="143"/>
      <c r="G475" s="143"/>
      <c r="H475" s="143"/>
      <c r="I475" s="143"/>
      <c r="J475" s="143"/>
      <c r="K475" s="143"/>
      <c r="L475" s="143"/>
      <c r="M475" s="143"/>
      <c r="N475" s="222"/>
      <c r="O475" s="222">
        <v>92583</v>
      </c>
      <c r="P475" s="145"/>
      <c r="Q475" s="223">
        <f t="shared" si="520"/>
        <v>92583</v>
      </c>
      <c r="R475" s="147">
        <f t="shared" si="521"/>
        <v>10184.129999999999</v>
      </c>
      <c r="S475" s="147">
        <f t="shared" si="522"/>
        <v>27.90172602739726</v>
      </c>
      <c r="T475" s="148">
        <f t="shared" si="523"/>
        <v>6110.4779999999992</v>
      </c>
      <c r="U475" s="199"/>
      <c r="V475" s="150"/>
      <c r="W475" s="151"/>
      <c r="X475" s="151"/>
      <c r="Y475" s="152"/>
      <c r="Z475" s="153"/>
      <c r="AA475" s="153"/>
      <c r="AB475" s="154"/>
      <c r="AC475" s="155">
        <f t="shared" si="524"/>
        <v>3544.0772399999992</v>
      </c>
      <c r="AD475" s="156">
        <f t="shared" si="525"/>
        <v>794.36213999999995</v>
      </c>
      <c r="AE475" s="156">
        <f t="shared" si="526"/>
        <v>536.19444449999992</v>
      </c>
      <c r="AF475" s="156">
        <f t="shared" si="527"/>
        <v>244.41911999999996</v>
      </c>
      <c r="AG475" s="156">
        <f t="shared" si="528"/>
        <v>122.20955999999998</v>
      </c>
      <c r="AH475" s="156">
        <f t="shared" si="529"/>
        <v>122.20955999999998</v>
      </c>
      <c r="AI475" s="156">
        <f t="shared" si="530"/>
        <v>61.104779999999991</v>
      </c>
      <c r="AJ475" s="156">
        <f t="shared" si="531"/>
        <v>122.20955999999998</v>
      </c>
      <c r="AK475" s="156">
        <f t="shared" si="532"/>
        <v>122.20955999999998</v>
      </c>
      <c r="AL475" s="156">
        <f t="shared" si="533"/>
        <v>427.73345999999998</v>
      </c>
      <c r="AM475" s="157">
        <f t="shared" si="534"/>
        <v>1880.4996044999998</v>
      </c>
      <c r="AN475" s="158">
        <f t="shared" si="535"/>
        <v>2200</v>
      </c>
      <c r="AO475" s="159">
        <v>0.2</v>
      </c>
      <c r="AP475" s="160">
        <f t="shared" si="536"/>
        <v>49965560.331615709</v>
      </c>
      <c r="AQ475" s="161">
        <f t="shared" si="537"/>
        <v>13879.323424683482</v>
      </c>
      <c r="AR475" s="162">
        <f t="shared" si="538"/>
        <v>2775.8646849366964</v>
      </c>
      <c r="AS475" s="163">
        <f t="shared" si="539"/>
        <v>0.39609941280489391</v>
      </c>
      <c r="AT475" s="164">
        <f t="shared" si="540"/>
        <v>0.39609941280489391</v>
      </c>
      <c r="AU475" s="165"/>
      <c r="AV475" s="166"/>
      <c r="AW475" s="167"/>
      <c r="AX475" s="146"/>
      <c r="AY475" s="168"/>
    </row>
    <row r="476" spans="1:51" s="190" customFormat="1" ht="16.7" customHeight="1" x14ac:dyDescent="0.25">
      <c r="A476" s="173"/>
      <c r="B476" s="120"/>
      <c r="C476" s="121" t="s">
        <v>495</v>
      </c>
      <c r="D476" s="240">
        <f t="shared" ref="D476:U476" si="541">SUM(D461:D475)</f>
        <v>0</v>
      </c>
      <c r="E476" s="240">
        <f t="shared" si="541"/>
        <v>0</v>
      </c>
      <c r="F476" s="240">
        <f t="shared" si="541"/>
        <v>0</v>
      </c>
      <c r="G476" s="240">
        <f t="shared" si="541"/>
        <v>0</v>
      </c>
      <c r="H476" s="240">
        <f t="shared" si="541"/>
        <v>0</v>
      </c>
      <c r="I476" s="240">
        <f t="shared" si="541"/>
        <v>0</v>
      </c>
      <c r="J476" s="240">
        <f t="shared" si="541"/>
        <v>0</v>
      </c>
      <c r="K476" s="240">
        <f t="shared" si="541"/>
        <v>0</v>
      </c>
      <c r="L476" s="240">
        <f t="shared" si="541"/>
        <v>0</v>
      </c>
      <c r="M476" s="240">
        <f t="shared" si="541"/>
        <v>0</v>
      </c>
      <c r="N476" s="240">
        <f t="shared" si="541"/>
        <v>0</v>
      </c>
      <c r="O476" s="240">
        <f t="shared" si="541"/>
        <v>2296666</v>
      </c>
      <c r="P476" s="240">
        <f t="shared" si="541"/>
        <v>0</v>
      </c>
      <c r="Q476" s="240">
        <f t="shared" si="541"/>
        <v>2296666</v>
      </c>
      <c r="R476" s="240"/>
      <c r="S476" s="240">
        <f t="shared" si="541"/>
        <v>692.14591780821911</v>
      </c>
      <c r="T476" s="240">
        <f t="shared" si="541"/>
        <v>151579.95600000001</v>
      </c>
      <c r="U476" s="199">
        <f t="shared" si="541"/>
        <v>0</v>
      </c>
      <c r="V476" s="241"/>
      <c r="W476" s="242">
        <f>SUM(W461:W475)</f>
        <v>0</v>
      </c>
      <c r="X476" s="242">
        <f>SUM(X461:X475)</f>
        <v>0</v>
      </c>
      <c r="Y476" s="242">
        <f>SUM(Y461:Y475)</f>
        <v>0</v>
      </c>
      <c r="Z476" s="199"/>
      <c r="AA476" s="199"/>
      <c r="AB476" s="243"/>
      <c r="AC476" s="240">
        <f t="shared" ref="AC476:AM476" si="542">SUM(AC461:AC475)</f>
        <v>87916.374479999984</v>
      </c>
      <c r="AD476" s="244">
        <f t="shared" si="542"/>
        <v>19705.39428</v>
      </c>
      <c r="AE476" s="244">
        <f t="shared" si="542"/>
        <v>13301.141138999996</v>
      </c>
      <c r="AF476" s="244">
        <f t="shared" si="542"/>
        <v>6063.1982399999997</v>
      </c>
      <c r="AG476" s="244">
        <f t="shared" si="542"/>
        <v>3031.5991199999999</v>
      </c>
      <c r="AH476" s="244">
        <f t="shared" si="542"/>
        <v>3031.5991199999999</v>
      </c>
      <c r="AI476" s="244">
        <f t="shared" si="542"/>
        <v>1515.7995599999999</v>
      </c>
      <c r="AJ476" s="244">
        <f t="shared" si="542"/>
        <v>3031.5991199999999</v>
      </c>
      <c r="AK476" s="244">
        <f t="shared" si="542"/>
        <v>3031.5991199999999</v>
      </c>
      <c r="AL476" s="244">
        <f t="shared" si="542"/>
        <v>10610.59692</v>
      </c>
      <c r="AM476" s="245">
        <f t="shared" si="542"/>
        <v>46648.731459000002</v>
      </c>
      <c r="AN476" s="158"/>
      <c r="AO476" s="183"/>
      <c r="AP476" s="184">
        <f>SUM(AP461:AP475)</f>
        <v>1239473808.1998913</v>
      </c>
      <c r="AQ476" s="184">
        <f>SUM(AQ461:AQ475)</f>
        <v>344298.30759938777</v>
      </c>
      <c r="AR476" s="184">
        <f>SUM(AR461:AR475)</f>
        <v>68859.66151987754</v>
      </c>
      <c r="AS476" s="185">
        <f>SUM(AS461:AS475)</f>
        <v>9.8258649429049019</v>
      </c>
      <c r="AT476" s="186">
        <f>SUM(AT461:AT475)</f>
        <v>9.8258649429049019</v>
      </c>
      <c r="AU476" s="187"/>
      <c r="AV476" s="246">
        <f>SUM(AV465:AV475)</f>
        <v>0</v>
      </c>
      <c r="AW476" s="246"/>
      <c r="AX476" s="185">
        <f>SUM(AX465:AX475)</f>
        <v>0</v>
      </c>
      <c r="AY476" s="189"/>
    </row>
    <row r="478" spans="1:51" s="139" customFormat="1" ht="15" customHeight="1" x14ac:dyDescent="0.25">
      <c r="A478" s="1"/>
      <c r="B478" s="126"/>
      <c r="C478" s="352" t="s">
        <v>496</v>
      </c>
      <c r="D478" s="122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213"/>
      <c r="Q478" s="76"/>
      <c r="R478" s="108"/>
      <c r="S478" s="108"/>
      <c r="T478" s="94"/>
      <c r="U478" s="199"/>
      <c r="V478" s="179"/>
      <c r="W478" s="180"/>
      <c r="X478" s="180"/>
      <c r="Y478" s="214"/>
      <c r="Z478" s="181"/>
      <c r="AA478" s="181"/>
      <c r="AB478" s="182"/>
      <c r="AC478" s="62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125"/>
      <c r="AN478" s="75"/>
      <c r="AO478" s="216"/>
      <c r="AP478" s="75"/>
      <c r="AQ478" s="51"/>
      <c r="AR478" s="217"/>
      <c r="AS478" s="218"/>
      <c r="AT478" s="219"/>
      <c r="AU478" s="220"/>
      <c r="AV478" s="135"/>
      <c r="AW478" s="136"/>
      <c r="AX478" s="137"/>
      <c r="AY478" s="138"/>
    </row>
    <row r="479" spans="1:51" s="139" customFormat="1" ht="11.25" x14ac:dyDescent="0.25">
      <c r="A479" s="1"/>
      <c r="B479" s="140">
        <v>1</v>
      </c>
      <c r="C479" s="330" t="s">
        <v>497</v>
      </c>
      <c r="D479" s="142">
        <v>90538</v>
      </c>
      <c r="E479" s="143"/>
      <c r="F479" s="143"/>
      <c r="G479" s="143"/>
      <c r="H479" s="143"/>
      <c r="I479" s="143"/>
      <c r="J479" s="143"/>
      <c r="K479" s="143"/>
      <c r="L479" s="143"/>
      <c r="M479" s="143"/>
      <c r="N479" s="222">
        <v>129253</v>
      </c>
      <c r="O479" s="222"/>
      <c r="P479" s="145"/>
      <c r="Q479" s="223">
        <f t="shared" ref="Q479:Q484" si="543">MAX(D479:P479)</f>
        <v>129253</v>
      </c>
      <c r="R479" s="147">
        <f t="shared" ref="R479:R484" si="544">Q479*$R$10</f>
        <v>14217.83</v>
      </c>
      <c r="S479" s="147">
        <f t="shared" ref="S479:S484" si="545">R479/$S$5</f>
        <v>38.952958904109586</v>
      </c>
      <c r="T479" s="148">
        <f t="shared" ref="T479:T484" si="546">S479*$T$5*$T$10</f>
        <v>8530.6979999999985</v>
      </c>
      <c r="U479" s="199"/>
      <c r="V479" s="150"/>
      <c r="W479" s="151"/>
      <c r="X479" s="151"/>
      <c r="Y479" s="152"/>
      <c r="Z479" s="153"/>
      <c r="AA479" s="153"/>
      <c r="AB479" s="154"/>
      <c r="AC479" s="155">
        <f t="shared" ref="AC479:AC484" si="547">T479*$AC$5</f>
        <v>4947.8048399999989</v>
      </c>
      <c r="AD479" s="156">
        <f t="shared" ref="AD479:AD484" si="548">T479*$AD$5</f>
        <v>1108.9907399999997</v>
      </c>
      <c r="AE479" s="156">
        <f t="shared" ref="AE479:AE484" si="549">T479*$AE$5</f>
        <v>748.56874949999985</v>
      </c>
      <c r="AF479" s="156">
        <f t="shared" ref="AF479:AF484" si="550">T479*$AF$5</f>
        <v>341.22791999999993</v>
      </c>
      <c r="AG479" s="156">
        <f t="shared" ref="AG479:AG484" si="551">T479*$AG$5</f>
        <v>170.61395999999996</v>
      </c>
      <c r="AH479" s="156">
        <f t="shared" ref="AH479:AH484" si="552">T479*$AH$5</f>
        <v>170.61395999999996</v>
      </c>
      <c r="AI479" s="156">
        <f t="shared" ref="AI479:AI484" si="553">T479*$AI$5</f>
        <v>85.306979999999982</v>
      </c>
      <c r="AJ479" s="156">
        <f t="shared" ref="AJ479:AJ484" si="554">T479*$AJ$5</f>
        <v>170.61395999999996</v>
      </c>
      <c r="AK479" s="156">
        <f t="shared" ref="AK479:AK484" si="555">T479*$AK$5</f>
        <v>170.61395999999996</v>
      </c>
      <c r="AL479" s="156">
        <f t="shared" ref="AL479:AL484" si="556">T479*$AL$5</f>
        <v>597.1488599999999</v>
      </c>
      <c r="AM479" s="157">
        <f t="shared" ref="AM479:AM484" si="557">SUM(AD479:AI479)</f>
        <v>2625.3223094999994</v>
      </c>
      <c r="AN479" s="158">
        <f t="shared" ref="AN479:AN484" si="558">$AN$5</f>
        <v>2200</v>
      </c>
      <c r="AO479" s="159">
        <v>0.2</v>
      </c>
      <c r="AP479" s="160">
        <f t="shared" ref="AP479:AP484" si="559">(AC479+AM479)*AN479*$AP$5</f>
        <v>69755771.248958498</v>
      </c>
      <c r="AQ479" s="161">
        <f t="shared" ref="AQ479:AQ484" si="560">AP479*$AQ$5</f>
        <v>19376.604674838945</v>
      </c>
      <c r="AR479" s="162">
        <f t="shared" ref="AR479:AR484" si="561">AQ479*$AR$5</f>
        <v>3875.3209349677891</v>
      </c>
      <c r="AS479" s="163">
        <f t="shared" ref="AS479:AS484" si="562">AR479/$AS$5</f>
        <v>0.55298529323170509</v>
      </c>
      <c r="AT479" s="164">
        <f t="shared" ref="AT479:AT484" si="563">AS479</f>
        <v>0.55298529323170509</v>
      </c>
      <c r="AU479" s="165"/>
      <c r="AV479" s="166"/>
      <c r="AW479" s="167"/>
      <c r="AX479" s="146"/>
      <c r="AY479" s="168"/>
    </row>
    <row r="480" spans="1:51" s="139" customFormat="1" ht="11.25" x14ac:dyDescent="0.25">
      <c r="A480" s="1"/>
      <c r="B480" s="140">
        <v>2</v>
      </c>
      <c r="C480" s="330" t="s">
        <v>498</v>
      </c>
      <c r="D480" s="142">
        <v>114766</v>
      </c>
      <c r="E480" s="143"/>
      <c r="F480" s="143"/>
      <c r="G480" s="143"/>
      <c r="H480" s="143"/>
      <c r="I480" s="143"/>
      <c r="J480" s="143"/>
      <c r="K480" s="143"/>
      <c r="L480" s="143"/>
      <c r="M480" s="143"/>
      <c r="N480" s="222">
        <v>141915</v>
      </c>
      <c r="O480" s="222"/>
      <c r="P480" s="145"/>
      <c r="Q480" s="223">
        <f t="shared" si="543"/>
        <v>141915</v>
      </c>
      <c r="R480" s="147">
        <f t="shared" si="544"/>
        <v>15610.65</v>
      </c>
      <c r="S480" s="147">
        <f t="shared" si="545"/>
        <v>42.768904109589037</v>
      </c>
      <c r="T480" s="148">
        <f t="shared" si="546"/>
        <v>9366.3899999999976</v>
      </c>
      <c r="U480" s="199"/>
      <c r="V480" s="150"/>
      <c r="W480" s="151"/>
      <c r="X480" s="151"/>
      <c r="Y480" s="152"/>
      <c r="Z480" s="153"/>
      <c r="AA480" s="153"/>
      <c r="AB480" s="154"/>
      <c r="AC480" s="155">
        <f t="shared" si="547"/>
        <v>5432.506199999998</v>
      </c>
      <c r="AD480" s="156">
        <f t="shared" si="548"/>
        <v>1217.6306999999997</v>
      </c>
      <c r="AE480" s="156">
        <f t="shared" si="549"/>
        <v>821.90072249999969</v>
      </c>
      <c r="AF480" s="156">
        <f t="shared" si="550"/>
        <v>374.65559999999994</v>
      </c>
      <c r="AG480" s="156">
        <f t="shared" si="551"/>
        <v>187.32779999999997</v>
      </c>
      <c r="AH480" s="156">
        <f t="shared" si="552"/>
        <v>187.32779999999997</v>
      </c>
      <c r="AI480" s="156">
        <f t="shared" si="553"/>
        <v>93.663899999999984</v>
      </c>
      <c r="AJ480" s="156">
        <f t="shared" si="554"/>
        <v>187.32779999999997</v>
      </c>
      <c r="AK480" s="156">
        <f t="shared" si="555"/>
        <v>187.32779999999997</v>
      </c>
      <c r="AL480" s="156">
        <f t="shared" si="556"/>
        <v>655.64729999999986</v>
      </c>
      <c r="AM480" s="157">
        <f t="shared" si="557"/>
        <v>2882.5065224999994</v>
      </c>
      <c r="AN480" s="158">
        <f t="shared" si="558"/>
        <v>2200</v>
      </c>
      <c r="AO480" s="159">
        <v>0.2</v>
      </c>
      <c r="AP480" s="160">
        <f t="shared" si="559"/>
        <v>76589249.586438566</v>
      </c>
      <c r="AQ480" s="161">
        <f t="shared" si="560"/>
        <v>21274.793253771815</v>
      </c>
      <c r="AR480" s="162">
        <f t="shared" si="561"/>
        <v>4254.9586507543636</v>
      </c>
      <c r="AS480" s="163">
        <f t="shared" si="562"/>
        <v>0.60715734171723224</v>
      </c>
      <c r="AT480" s="164">
        <f t="shared" si="563"/>
        <v>0.60715734171723224</v>
      </c>
      <c r="AU480" s="165"/>
      <c r="AV480" s="166"/>
      <c r="AW480" s="167"/>
      <c r="AX480" s="146"/>
      <c r="AY480" s="168"/>
    </row>
    <row r="481" spans="1:51" s="139" customFormat="1" ht="11.25" x14ac:dyDescent="0.25">
      <c r="A481" s="1"/>
      <c r="B481" s="140">
        <v>3</v>
      </c>
      <c r="C481" s="330" t="s">
        <v>499</v>
      </c>
      <c r="D481" s="142">
        <v>309663</v>
      </c>
      <c r="E481" s="143"/>
      <c r="F481" s="143"/>
      <c r="G481" s="143"/>
      <c r="H481" s="143"/>
      <c r="I481" s="143"/>
      <c r="J481" s="143"/>
      <c r="K481" s="143"/>
      <c r="L481" s="143"/>
      <c r="M481" s="143"/>
      <c r="N481" s="222">
        <v>355988</v>
      </c>
      <c r="O481" s="222"/>
      <c r="P481" s="145"/>
      <c r="Q481" s="223">
        <f t="shared" si="543"/>
        <v>355988</v>
      </c>
      <c r="R481" s="147">
        <f t="shared" si="544"/>
        <v>39158.68</v>
      </c>
      <c r="S481" s="147">
        <f t="shared" si="545"/>
        <v>107.28405479452054</v>
      </c>
      <c r="T481" s="148">
        <f t="shared" si="546"/>
        <v>23495.207999999999</v>
      </c>
      <c r="U481" s="199"/>
      <c r="V481" s="150"/>
      <c r="W481" s="151"/>
      <c r="X481" s="151"/>
      <c r="Y481" s="152"/>
      <c r="Z481" s="153"/>
      <c r="AA481" s="153"/>
      <c r="AB481" s="154"/>
      <c r="AC481" s="155">
        <f t="shared" si="547"/>
        <v>13627.220639999998</v>
      </c>
      <c r="AD481" s="156">
        <f t="shared" si="548"/>
        <v>3054.3770399999999</v>
      </c>
      <c r="AE481" s="156">
        <f t="shared" si="549"/>
        <v>2061.7045019999996</v>
      </c>
      <c r="AF481" s="156">
        <f t="shared" si="550"/>
        <v>939.80831999999998</v>
      </c>
      <c r="AG481" s="156">
        <f t="shared" si="551"/>
        <v>469.90415999999999</v>
      </c>
      <c r="AH481" s="156">
        <f t="shared" si="552"/>
        <v>469.90415999999999</v>
      </c>
      <c r="AI481" s="156">
        <f t="shared" si="553"/>
        <v>234.95208</v>
      </c>
      <c r="AJ481" s="156">
        <f t="shared" si="554"/>
        <v>469.90415999999999</v>
      </c>
      <c r="AK481" s="156">
        <f t="shared" si="555"/>
        <v>469.90415999999999</v>
      </c>
      <c r="AL481" s="156">
        <f t="shared" si="556"/>
        <v>1644.6645600000002</v>
      </c>
      <c r="AM481" s="157">
        <f t="shared" si="557"/>
        <v>7230.6502620000001</v>
      </c>
      <c r="AN481" s="158">
        <f t="shared" si="558"/>
        <v>2200</v>
      </c>
      <c r="AO481" s="159">
        <v>0.2</v>
      </c>
      <c r="AP481" s="160">
        <f t="shared" si="559"/>
        <v>192121014.56348589</v>
      </c>
      <c r="AQ481" s="161">
        <f t="shared" si="560"/>
        <v>53366.952759213069</v>
      </c>
      <c r="AR481" s="162">
        <f t="shared" si="561"/>
        <v>10673.390551842615</v>
      </c>
      <c r="AS481" s="163">
        <f t="shared" si="562"/>
        <v>1.5230294737218342</v>
      </c>
      <c r="AT481" s="164">
        <f t="shared" si="563"/>
        <v>1.5230294737218342</v>
      </c>
      <c r="AU481" s="165"/>
      <c r="AV481" s="166"/>
      <c r="AW481" s="167"/>
      <c r="AX481" s="146"/>
      <c r="AY481" s="168"/>
    </row>
    <row r="482" spans="1:51" s="139" customFormat="1" ht="11.25" x14ac:dyDescent="0.25">
      <c r="A482" s="1"/>
      <c r="B482" s="140">
        <v>4</v>
      </c>
      <c r="C482" s="330" t="s">
        <v>500</v>
      </c>
      <c r="D482" s="142">
        <v>86781</v>
      </c>
      <c r="E482" s="143"/>
      <c r="F482" s="143"/>
      <c r="G482" s="143"/>
      <c r="H482" s="143"/>
      <c r="I482" s="143"/>
      <c r="J482" s="143"/>
      <c r="K482" s="143"/>
      <c r="L482" s="143"/>
      <c r="M482" s="143"/>
      <c r="N482" s="222">
        <v>104133</v>
      </c>
      <c r="O482" s="222"/>
      <c r="P482" s="145"/>
      <c r="Q482" s="223">
        <f t="shared" si="543"/>
        <v>104133</v>
      </c>
      <c r="R482" s="147">
        <f t="shared" si="544"/>
        <v>11454.63</v>
      </c>
      <c r="S482" s="147">
        <f t="shared" si="545"/>
        <v>31.382547945205477</v>
      </c>
      <c r="T482" s="148">
        <f t="shared" si="546"/>
        <v>6872.7779999999993</v>
      </c>
      <c r="U482" s="199"/>
      <c r="V482" s="150"/>
      <c r="W482" s="151"/>
      <c r="X482" s="151"/>
      <c r="Y482" s="152"/>
      <c r="Z482" s="153"/>
      <c r="AA482" s="153"/>
      <c r="AB482" s="154"/>
      <c r="AC482" s="155">
        <f t="shared" si="547"/>
        <v>3986.2112399999992</v>
      </c>
      <c r="AD482" s="156">
        <f t="shared" si="548"/>
        <v>893.46114</v>
      </c>
      <c r="AE482" s="156">
        <f t="shared" si="549"/>
        <v>603.08626949999996</v>
      </c>
      <c r="AF482" s="156">
        <f t="shared" si="550"/>
        <v>274.91111999999998</v>
      </c>
      <c r="AG482" s="156">
        <f t="shared" si="551"/>
        <v>137.45555999999999</v>
      </c>
      <c r="AH482" s="156">
        <f t="shared" si="552"/>
        <v>137.45555999999999</v>
      </c>
      <c r="AI482" s="156">
        <f t="shared" si="553"/>
        <v>68.727779999999996</v>
      </c>
      <c r="AJ482" s="156">
        <f t="shared" si="554"/>
        <v>137.45555999999999</v>
      </c>
      <c r="AK482" s="156">
        <f t="shared" si="555"/>
        <v>137.45555999999999</v>
      </c>
      <c r="AL482" s="156">
        <f t="shared" si="556"/>
        <v>481.09446000000003</v>
      </c>
      <c r="AM482" s="157">
        <f t="shared" si="557"/>
        <v>2115.0974295000001</v>
      </c>
      <c r="AN482" s="158">
        <f t="shared" si="558"/>
        <v>2200</v>
      </c>
      <c r="AO482" s="159">
        <v>0.2</v>
      </c>
      <c r="AP482" s="160">
        <f t="shared" si="559"/>
        <v>56198910.102417715</v>
      </c>
      <c r="AQ482" s="161">
        <f t="shared" si="560"/>
        <v>15610.809610647368</v>
      </c>
      <c r="AR482" s="162">
        <f t="shared" si="561"/>
        <v>3122.1619221294736</v>
      </c>
      <c r="AS482" s="163">
        <f t="shared" si="562"/>
        <v>0.445513972906603</v>
      </c>
      <c r="AT482" s="164">
        <f t="shared" si="563"/>
        <v>0.445513972906603</v>
      </c>
      <c r="AU482" s="165"/>
      <c r="AV482" s="166"/>
      <c r="AW482" s="167"/>
      <c r="AX482" s="146"/>
      <c r="AY482" s="168"/>
    </row>
    <row r="483" spans="1:51" s="139" customFormat="1" ht="11.25" x14ac:dyDescent="0.25">
      <c r="A483" s="1"/>
      <c r="B483" s="140">
        <v>5</v>
      </c>
      <c r="C483" s="330" t="s">
        <v>501</v>
      </c>
      <c r="D483" s="142">
        <v>93505</v>
      </c>
      <c r="E483" s="143"/>
      <c r="F483" s="143"/>
      <c r="G483" s="143"/>
      <c r="H483" s="143"/>
      <c r="I483" s="143"/>
      <c r="J483" s="143"/>
      <c r="K483" s="143"/>
      <c r="L483" s="143"/>
      <c r="M483" s="143"/>
      <c r="N483" s="222">
        <v>128748</v>
      </c>
      <c r="O483" s="222"/>
      <c r="P483" s="145"/>
      <c r="Q483" s="223">
        <f t="shared" si="543"/>
        <v>128748</v>
      </c>
      <c r="R483" s="147">
        <f t="shared" si="544"/>
        <v>14162.28</v>
      </c>
      <c r="S483" s="147">
        <f t="shared" si="545"/>
        <v>38.80076712328767</v>
      </c>
      <c r="T483" s="148">
        <f t="shared" si="546"/>
        <v>8497.3679999999986</v>
      </c>
      <c r="U483" s="199"/>
      <c r="V483" s="150"/>
      <c r="W483" s="151"/>
      <c r="X483" s="151"/>
      <c r="Y483" s="152"/>
      <c r="Z483" s="153"/>
      <c r="AA483" s="153"/>
      <c r="AB483" s="154"/>
      <c r="AC483" s="155">
        <f t="shared" si="547"/>
        <v>4928.4734399999988</v>
      </c>
      <c r="AD483" s="156">
        <f t="shared" si="548"/>
        <v>1104.6578399999999</v>
      </c>
      <c r="AE483" s="156">
        <f t="shared" si="549"/>
        <v>745.64404199999979</v>
      </c>
      <c r="AF483" s="156">
        <f t="shared" si="550"/>
        <v>339.89471999999995</v>
      </c>
      <c r="AG483" s="156">
        <f t="shared" si="551"/>
        <v>169.94735999999997</v>
      </c>
      <c r="AH483" s="156">
        <f t="shared" si="552"/>
        <v>169.94735999999997</v>
      </c>
      <c r="AI483" s="156">
        <f t="shared" si="553"/>
        <v>84.973679999999987</v>
      </c>
      <c r="AJ483" s="156">
        <f t="shared" si="554"/>
        <v>169.94735999999997</v>
      </c>
      <c r="AK483" s="156">
        <f t="shared" si="555"/>
        <v>169.94735999999997</v>
      </c>
      <c r="AL483" s="156">
        <f t="shared" si="556"/>
        <v>594.81575999999995</v>
      </c>
      <c r="AM483" s="157">
        <f t="shared" si="557"/>
        <v>2615.0650019999998</v>
      </c>
      <c r="AN483" s="158">
        <f t="shared" si="558"/>
        <v>2200</v>
      </c>
      <c r="AO483" s="159">
        <v>0.2</v>
      </c>
      <c r="AP483" s="160">
        <f t="shared" si="559"/>
        <v>69483230.847724304</v>
      </c>
      <c r="AQ483" s="161">
        <f t="shared" si="560"/>
        <v>19300.899001772992</v>
      </c>
      <c r="AR483" s="162">
        <f t="shared" si="561"/>
        <v>3860.1798003545987</v>
      </c>
      <c r="AS483" s="163">
        <f t="shared" si="562"/>
        <v>0.55082474320128405</v>
      </c>
      <c r="AT483" s="164">
        <f t="shared" si="563"/>
        <v>0.55082474320128405</v>
      </c>
      <c r="AU483" s="165"/>
      <c r="AV483" s="166"/>
      <c r="AW483" s="167"/>
      <c r="AX483" s="146"/>
      <c r="AY483" s="168"/>
    </row>
    <row r="484" spans="1:51" s="139" customFormat="1" ht="11.25" x14ac:dyDescent="0.25">
      <c r="A484" s="1"/>
      <c r="B484" s="140">
        <v>6</v>
      </c>
      <c r="C484" s="330" t="s">
        <v>502</v>
      </c>
      <c r="D484" s="142">
        <v>134931</v>
      </c>
      <c r="E484" s="143"/>
      <c r="F484" s="143"/>
      <c r="G484" s="143"/>
      <c r="H484" s="143"/>
      <c r="I484" s="143"/>
      <c r="J484" s="143"/>
      <c r="K484" s="143"/>
      <c r="L484" s="143"/>
      <c r="M484" s="143"/>
      <c r="N484" s="222">
        <v>180127</v>
      </c>
      <c r="O484" s="222"/>
      <c r="P484" s="145"/>
      <c r="Q484" s="223">
        <f t="shared" si="543"/>
        <v>180127</v>
      </c>
      <c r="R484" s="147">
        <f t="shared" si="544"/>
        <v>19813.97</v>
      </c>
      <c r="S484" s="147">
        <f t="shared" si="545"/>
        <v>54.284849315068499</v>
      </c>
      <c r="T484" s="148">
        <f t="shared" si="546"/>
        <v>11888.382</v>
      </c>
      <c r="U484" s="199"/>
      <c r="V484" s="150"/>
      <c r="W484" s="151"/>
      <c r="X484" s="151"/>
      <c r="Y484" s="152"/>
      <c r="Z484" s="153"/>
      <c r="AA484" s="153"/>
      <c r="AB484" s="154"/>
      <c r="AC484" s="155">
        <f t="shared" si="547"/>
        <v>6895.261559999999</v>
      </c>
      <c r="AD484" s="156">
        <f t="shared" si="548"/>
        <v>1545.48966</v>
      </c>
      <c r="AE484" s="156">
        <f t="shared" si="549"/>
        <v>1043.2055204999999</v>
      </c>
      <c r="AF484" s="156">
        <f t="shared" si="550"/>
        <v>475.53528</v>
      </c>
      <c r="AG484" s="156">
        <f t="shared" si="551"/>
        <v>237.76764</v>
      </c>
      <c r="AH484" s="156">
        <f t="shared" si="552"/>
        <v>237.76764</v>
      </c>
      <c r="AI484" s="156">
        <f t="shared" si="553"/>
        <v>118.88382</v>
      </c>
      <c r="AJ484" s="156">
        <f t="shared" si="554"/>
        <v>237.76764</v>
      </c>
      <c r="AK484" s="156">
        <f t="shared" si="555"/>
        <v>237.76764</v>
      </c>
      <c r="AL484" s="156">
        <f t="shared" si="556"/>
        <v>832.1867400000001</v>
      </c>
      <c r="AM484" s="157">
        <f t="shared" si="557"/>
        <v>3658.6495605</v>
      </c>
      <c r="AN484" s="158">
        <f t="shared" si="558"/>
        <v>2200</v>
      </c>
      <c r="AO484" s="159">
        <v>0.2</v>
      </c>
      <c r="AP484" s="160">
        <f t="shared" si="559"/>
        <v>97211653.174480662</v>
      </c>
      <c r="AQ484" s="161">
        <f t="shared" si="560"/>
        <v>27003.239153170252</v>
      </c>
      <c r="AR484" s="162">
        <f t="shared" si="561"/>
        <v>5400.6478306340505</v>
      </c>
      <c r="AS484" s="163">
        <f t="shared" si="562"/>
        <v>0.77064038679138847</v>
      </c>
      <c r="AT484" s="164">
        <f t="shared" si="563"/>
        <v>0.77064038679138847</v>
      </c>
      <c r="AU484" s="165"/>
      <c r="AV484" s="166"/>
      <c r="AW484" s="167"/>
      <c r="AX484" s="146"/>
      <c r="AY484" s="168"/>
    </row>
    <row r="485" spans="1:51" s="190" customFormat="1" ht="16.7" customHeight="1" x14ac:dyDescent="0.25">
      <c r="A485" s="173"/>
      <c r="B485" s="120"/>
      <c r="C485" s="121" t="s">
        <v>503</v>
      </c>
      <c r="D485" s="240">
        <f t="shared" ref="D485:U485" si="564">SUM(D479:D484)</f>
        <v>830184</v>
      </c>
      <c r="E485" s="240">
        <f t="shared" si="564"/>
        <v>0</v>
      </c>
      <c r="F485" s="240">
        <f t="shared" si="564"/>
        <v>0</v>
      </c>
      <c r="G485" s="240">
        <f t="shared" si="564"/>
        <v>0</v>
      </c>
      <c r="H485" s="240">
        <f t="shared" si="564"/>
        <v>0</v>
      </c>
      <c r="I485" s="240">
        <f t="shared" si="564"/>
        <v>0</v>
      </c>
      <c r="J485" s="240">
        <f t="shared" si="564"/>
        <v>0</v>
      </c>
      <c r="K485" s="240">
        <f t="shared" si="564"/>
        <v>0</v>
      </c>
      <c r="L485" s="240">
        <f t="shared" si="564"/>
        <v>0</v>
      </c>
      <c r="M485" s="240">
        <f t="shared" si="564"/>
        <v>0</v>
      </c>
      <c r="N485" s="240">
        <f t="shared" si="564"/>
        <v>1040164</v>
      </c>
      <c r="O485" s="240">
        <f t="shared" si="564"/>
        <v>0</v>
      </c>
      <c r="P485" s="240">
        <f t="shared" si="564"/>
        <v>0</v>
      </c>
      <c r="Q485" s="240">
        <f t="shared" si="564"/>
        <v>1040164</v>
      </c>
      <c r="R485" s="240">
        <f t="shared" si="564"/>
        <v>114418.04000000001</v>
      </c>
      <c r="S485" s="240">
        <f t="shared" si="564"/>
        <v>313.47408219178089</v>
      </c>
      <c r="T485" s="240">
        <f t="shared" si="564"/>
        <v>68650.823999999993</v>
      </c>
      <c r="U485" s="199">
        <f t="shared" si="564"/>
        <v>0</v>
      </c>
      <c r="V485" s="241"/>
      <c r="W485" s="242">
        <f>SUM(W479:W484)</f>
        <v>0</v>
      </c>
      <c r="X485" s="242">
        <f>SUM(X479:X484)</f>
        <v>0</v>
      </c>
      <c r="Y485" s="242">
        <f>SUM(Y479:Y484)</f>
        <v>0</v>
      </c>
      <c r="Z485" s="199"/>
      <c r="AA485" s="199"/>
      <c r="AB485" s="243"/>
      <c r="AC485" s="240">
        <f t="shared" ref="AC485:AM485" si="565">SUM(AC479:AC484)</f>
        <v>39817.47791999999</v>
      </c>
      <c r="AD485" s="244">
        <f t="shared" si="565"/>
        <v>8924.6071199999988</v>
      </c>
      <c r="AE485" s="244">
        <f t="shared" si="565"/>
        <v>6024.1098059999986</v>
      </c>
      <c r="AF485" s="244">
        <f t="shared" si="565"/>
        <v>2746.03296</v>
      </c>
      <c r="AG485" s="244">
        <f t="shared" si="565"/>
        <v>1373.01648</v>
      </c>
      <c r="AH485" s="244">
        <f t="shared" si="565"/>
        <v>1373.01648</v>
      </c>
      <c r="AI485" s="244">
        <f t="shared" si="565"/>
        <v>686.50824</v>
      </c>
      <c r="AJ485" s="244">
        <f t="shared" si="565"/>
        <v>1373.01648</v>
      </c>
      <c r="AK485" s="244">
        <f t="shared" si="565"/>
        <v>1373.01648</v>
      </c>
      <c r="AL485" s="244">
        <f t="shared" si="565"/>
        <v>4805.5576799999999</v>
      </c>
      <c r="AM485" s="245">
        <f t="shared" si="565"/>
        <v>21127.291085999997</v>
      </c>
      <c r="AN485" s="158"/>
      <c r="AO485" s="183"/>
      <c r="AP485" s="184">
        <f>SUM(AP479:AP484)</f>
        <v>561359829.52350569</v>
      </c>
      <c r="AQ485" s="184">
        <f>SUM(AQ479:AQ484)</f>
        <v>155933.29845341446</v>
      </c>
      <c r="AR485" s="184">
        <f>SUM(AR479:AR484)</f>
        <v>31186.659690682893</v>
      </c>
      <c r="AS485" s="185">
        <f>SUM(AS479:AS484)</f>
        <v>4.4501512115700468</v>
      </c>
      <c r="AT485" s="186">
        <f>SUM(AT479:AT484)</f>
        <v>4.4501512115700468</v>
      </c>
      <c r="AU485" s="187"/>
      <c r="AV485" s="246">
        <f>SUM(AV483:AV484)</f>
        <v>0</v>
      </c>
      <c r="AW485" s="246"/>
      <c r="AX485" s="185">
        <f>SUM(AX483:AX484)</f>
        <v>0</v>
      </c>
      <c r="AY485" s="189"/>
    </row>
    <row r="487" spans="1:51" s="139" customFormat="1" ht="15" customHeight="1" x14ac:dyDescent="0.25">
      <c r="A487" s="1"/>
      <c r="B487" s="126"/>
      <c r="C487" s="352" t="s">
        <v>504</v>
      </c>
      <c r="D487" s="122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213"/>
      <c r="Q487" s="76"/>
      <c r="R487" s="108"/>
      <c r="S487" s="108"/>
      <c r="T487" s="94"/>
      <c r="U487" s="199"/>
      <c r="V487" s="179"/>
      <c r="W487" s="180"/>
      <c r="X487" s="180"/>
      <c r="Y487" s="214"/>
      <c r="Z487" s="181"/>
      <c r="AA487" s="181"/>
      <c r="AB487" s="182"/>
      <c r="AC487" s="62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125"/>
      <c r="AN487" s="75"/>
      <c r="AO487" s="216"/>
      <c r="AP487" s="75"/>
      <c r="AQ487" s="51"/>
      <c r="AR487" s="217"/>
      <c r="AS487" s="218"/>
      <c r="AT487" s="219"/>
      <c r="AU487" s="220"/>
      <c r="AV487" s="135"/>
      <c r="AW487" s="136"/>
      <c r="AX487" s="137"/>
      <c r="AY487" s="138"/>
    </row>
    <row r="488" spans="1:51" s="139" customFormat="1" ht="11.25" x14ac:dyDescent="0.25">
      <c r="A488" s="1"/>
      <c r="B488" s="140">
        <v>1</v>
      </c>
      <c r="C488" s="170" t="s">
        <v>505</v>
      </c>
      <c r="D488" s="142"/>
      <c r="E488" s="143"/>
      <c r="F488" s="143"/>
      <c r="G488" s="143"/>
      <c r="H488" s="143"/>
      <c r="I488" s="143"/>
      <c r="J488" s="143"/>
      <c r="K488" s="143"/>
      <c r="L488" s="143"/>
      <c r="M488" s="143"/>
      <c r="N488" s="222"/>
      <c r="O488" s="222">
        <v>329609</v>
      </c>
      <c r="P488" s="145"/>
      <c r="Q488" s="223">
        <f t="shared" ref="Q488:Q498" si="566">MAX(D488:P488)</f>
        <v>329609</v>
      </c>
      <c r="R488" s="147">
        <f t="shared" ref="R488:R498" si="567">Q488*$R$10</f>
        <v>36256.99</v>
      </c>
      <c r="S488" s="147">
        <f t="shared" ref="S488:S498" si="568">R488/$S$5</f>
        <v>99.334219178082179</v>
      </c>
      <c r="T488" s="148">
        <f t="shared" ref="T488:T498" si="569">S488*$T$5*$T$10</f>
        <v>21754.194</v>
      </c>
      <c r="U488" s="199"/>
      <c r="V488" s="150"/>
      <c r="W488" s="151"/>
      <c r="X488" s="151"/>
      <c r="Y488" s="152"/>
      <c r="Z488" s="153"/>
      <c r="AA488" s="153"/>
      <c r="AB488" s="154"/>
      <c r="AC488" s="155">
        <f t="shared" ref="AC488:AC498" si="570">T488*$AC$5</f>
        <v>12617.432519999998</v>
      </c>
      <c r="AD488" s="156">
        <f t="shared" ref="AD488:AD498" si="571">T488*$AD$5</f>
        <v>2828.04522</v>
      </c>
      <c r="AE488" s="156">
        <f t="shared" ref="AE488:AE498" si="572">T488*$AE$5</f>
        <v>1908.9305234999999</v>
      </c>
      <c r="AF488" s="156">
        <f t="shared" ref="AF488:AF498" si="573">T488*$AF$5</f>
        <v>870.16776000000004</v>
      </c>
      <c r="AG488" s="156">
        <f t="shared" ref="AG488:AG498" si="574">T488*$AG$5</f>
        <v>435.08388000000002</v>
      </c>
      <c r="AH488" s="156">
        <f t="shared" ref="AH488:AH498" si="575">T488*$AH$5</f>
        <v>435.08388000000002</v>
      </c>
      <c r="AI488" s="156">
        <f t="shared" ref="AI488:AI498" si="576">T488*$AI$5</f>
        <v>217.54194000000001</v>
      </c>
      <c r="AJ488" s="156">
        <f t="shared" ref="AJ488:AJ498" si="577">T488*$AJ$5</f>
        <v>435.08388000000002</v>
      </c>
      <c r="AK488" s="156">
        <f t="shared" ref="AK488:AK498" si="578">T488*$AK$5</f>
        <v>435.08388000000002</v>
      </c>
      <c r="AL488" s="156">
        <f t="shared" ref="AL488:AL498" si="579">T488*$AL$5</f>
        <v>1522.79358</v>
      </c>
      <c r="AM488" s="157">
        <f t="shared" ref="AM488:AM498" si="580">SUM(AD488:AI488)</f>
        <v>6694.8532035000007</v>
      </c>
      <c r="AN488" s="158">
        <f t="shared" ref="AN488:AN498" si="581">$AN$5</f>
        <v>2200</v>
      </c>
      <c r="AO488" s="159">
        <v>0.2</v>
      </c>
      <c r="AP488" s="160">
        <f t="shared" ref="AP488:AP498" si="582">(AC488+AM488)*AN488*$AP$5</f>
        <v>177884691.30772954</v>
      </c>
      <c r="AQ488" s="161">
        <f t="shared" ref="AQ488:AQ498" si="583">AP488*$AQ$5</f>
        <v>49412.418205140231</v>
      </c>
      <c r="AR488" s="162">
        <f t="shared" ref="AR488:AR498" si="584">AQ488*$AR$5</f>
        <v>9882.4836410280477</v>
      </c>
      <c r="AS488" s="163">
        <f t="shared" ref="AS488:AS498" si="585">AR488/$AS$5</f>
        <v>1.4101717524298014</v>
      </c>
      <c r="AT488" s="164">
        <f t="shared" ref="AT488:AT498" si="586">AS488</f>
        <v>1.4101717524298014</v>
      </c>
      <c r="AU488" s="165"/>
      <c r="AV488" s="166"/>
      <c r="AW488" s="167"/>
      <c r="AX488" s="146"/>
      <c r="AY488" s="168"/>
    </row>
    <row r="489" spans="1:51" s="139" customFormat="1" ht="11.25" x14ac:dyDescent="0.25">
      <c r="A489" s="1"/>
      <c r="B489" s="140">
        <v>2</v>
      </c>
      <c r="C489" s="170" t="s">
        <v>506</v>
      </c>
      <c r="D489" s="142"/>
      <c r="E489" s="143"/>
      <c r="F489" s="143"/>
      <c r="G489" s="143"/>
      <c r="H489" s="143"/>
      <c r="I489" s="143"/>
      <c r="J489" s="143"/>
      <c r="K489" s="143"/>
      <c r="L489" s="143"/>
      <c r="M489" s="143"/>
      <c r="N489" s="222"/>
      <c r="O489" s="222">
        <v>174800</v>
      </c>
      <c r="P489" s="145"/>
      <c r="Q489" s="223">
        <f t="shared" si="566"/>
        <v>174800</v>
      </c>
      <c r="R489" s="147">
        <f t="shared" si="567"/>
        <v>19228</v>
      </c>
      <c r="S489" s="147">
        <f t="shared" si="568"/>
        <v>52.679452054794524</v>
      </c>
      <c r="T489" s="148">
        <f t="shared" si="569"/>
        <v>11536.8</v>
      </c>
      <c r="U489" s="199"/>
      <c r="V489" s="150"/>
      <c r="W489" s="151"/>
      <c r="X489" s="151"/>
      <c r="Y489" s="152"/>
      <c r="Z489" s="153"/>
      <c r="AA489" s="153"/>
      <c r="AB489" s="154"/>
      <c r="AC489" s="155">
        <f t="shared" si="570"/>
        <v>6691.3439999999991</v>
      </c>
      <c r="AD489" s="156">
        <f t="shared" si="571"/>
        <v>1499.7839999999999</v>
      </c>
      <c r="AE489" s="156">
        <f t="shared" si="572"/>
        <v>1012.3541999999999</v>
      </c>
      <c r="AF489" s="156">
        <f t="shared" si="573"/>
        <v>461.47199999999998</v>
      </c>
      <c r="AG489" s="156">
        <f t="shared" si="574"/>
        <v>230.73599999999999</v>
      </c>
      <c r="AH489" s="156">
        <f t="shared" si="575"/>
        <v>230.73599999999999</v>
      </c>
      <c r="AI489" s="156">
        <f t="shared" si="576"/>
        <v>115.36799999999999</v>
      </c>
      <c r="AJ489" s="156">
        <f t="shared" si="577"/>
        <v>230.73599999999999</v>
      </c>
      <c r="AK489" s="156">
        <f t="shared" si="578"/>
        <v>230.73599999999999</v>
      </c>
      <c r="AL489" s="156">
        <f t="shared" si="579"/>
        <v>807.57600000000002</v>
      </c>
      <c r="AM489" s="157">
        <f t="shared" si="580"/>
        <v>3550.4501999999998</v>
      </c>
      <c r="AN489" s="158">
        <f t="shared" si="581"/>
        <v>2200</v>
      </c>
      <c r="AO489" s="159">
        <v>0.2</v>
      </c>
      <c r="AP489" s="160">
        <f t="shared" si="582"/>
        <v>94336756.704431996</v>
      </c>
      <c r="AQ489" s="161">
        <f t="shared" si="583"/>
        <v>26204.656736492369</v>
      </c>
      <c r="AR489" s="162">
        <f t="shared" si="584"/>
        <v>5240.9313472984741</v>
      </c>
      <c r="AS489" s="163">
        <f t="shared" si="585"/>
        <v>0.74784979270811558</v>
      </c>
      <c r="AT489" s="164">
        <f t="shared" si="586"/>
        <v>0.74784979270811558</v>
      </c>
      <c r="AU489" s="165"/>
      <c r="AV489" s="166"/>
      <c r="AW489" s="167"/>
      <c r="AX489" s="146"/>
      <c r="AY489" s="168"/>
    </row>
    <row r="490" spans="1:51" s="139" customFormat="1" ht="11.25" x14ac:dyDescent="0.25">
      <c r="A490" s="1"/>
      <c r="B490" s="140">
        <v>3</v>
      </c>
      <c r="C490" s="170" t="s">
        <v>507</v>
      </c>
      <c r="D490" s="142"/>
      <c r="E490" s="143"/>
      <c r="F490" s="143"/>
      <c r="G490" s="143"/>
      <c r="H490" s="143"/>
      <c r="I490" s="143"/>
      <c r="J490" s="143"/>
      <c r="K490" s="143"/>
      <c r="L490" s="143"/>
      <c r="M490" s="143"/>
      <c r="N490" s="222"/>
      <c r="O490" s="222">
        <v>134776</v>
      </c>
      <c r="P490" s="145"/>
      <c r="Q490" s="223">
        <f t="shared" si="566"/>
        <v>134776</v>
      </c>
      <c r="R490" s="147">
        <f t="shared" si="567"/>
        <v>14825.36</v>
      </c>
      <c r="S490" s="147">
        <f t="shared" si="568"/>
        <v>40.617424657534251</v>
      </c>
      <c r="T490" s="148">
        <f t="shared" si="569"/>
        <v>8895.2160000000003</v>
      </c>
      <c r="U490" s="199"/>
      <c r="V490" s="150"/>
      <c r="W490" s="151"/>
      <c r="X490" s="151"/>
      <c r="Y490" s="152"/>
      <c r="Z490" s="153"/>
      <c r="AA490" s="153"/>
      <c r="AB490" s="154"/>
      <c r="AC490" s="155">
        <f t="shared" si="570"/>
        <v>5159.2252799999997</v>
      </c>
      <c r="AD490" s="156">
        <f t="shared" si="571"/>
        <v>1156.3780800000002</v>
      </c>
      <c r="AE490" s="156">
        <f t="shared" si="572"/>
        <v>780.555204</v>
      </c>
      <c r="AF490" s="156">
        <f t="shared" si="573"/>
        <v>355.80864000000003</v>
      </c>
      <c r="AG490" s="156">
        <f t="shared" si="574"/>
        <v>177.90432000000001</v>
      </c>
      <c r="AH490" s="156">
        <f t="shared" si="575"/>
        <v>177.90432000000001</v>
      </c>
      <c r="AI490" s="156">
        <f t="shared" si="576"/>
        <v>88.952160000000006</v>
      </c>
      <c r="AJ490" s="156">
        <f t="shared" si="577"/>
        <v>177.90432000000001</v>
      </c>
      <c r="AK490" s="156">
        <f t="shared" si="578"/>
        <v>177.90432000000001</v>
      </c>
      <c r="AL490" s="156">
        <f t="shared" si="579"/>
        <v>622.66512000000012</v>
      </c>
      <c r="AM490" s="157">
        <f t="shared" si="580"/>
        <v>2737.5027240000004</v>
      </c>
      <c r="AN490" s="158">
        <f t="shared" si="581"/>
        <v>2200</v>
      </c>
      <c r="AO490" s="159">
        <v>0.2</v>
      </c>
      <c r="AP490" s="160">
        <f t="shared" si="582"/>
        <v>72736445.775723845</v>
      </c>
      <c r="AQ490" s="161">
        <f t="shared" si="583"/>
        <v>20204.569887399863</v>
      </c>
      <c r="AR490" s="162">
        <f t="shared" si="584"/>
        <v>4040.9139774799728</v>
      </c>
      <c r="AS490" s="163">
        <f t="shared" si="585"/>
        <v>0.57661443742579521</v>
      </c>
      <c r="AT490" s="164">
        <f t="shared" si="586"/>
        <v>0.57661443742579521</v>
      </c>
      <c r="AU490" s="165"/>
      <c r="AV490" s="166"/>
      <c r="AW490" s="167"/>
      <c r="AX490" s="146"/>
      <c r="AY490" s="168"/>
    </row>
    <row r="491" spans="1:51" s="139" customFormat="1" ht="11.25" x14ac:dyDescent="0.25">
      <c r="A491" s="1"/>
      <c r="B491" s="140">
        <v>4</v>
      </c>
      <c r="C491" s="170" t="s">
        <v>508</v>
      </c>
      <c r="D491" s="142"/>
      <c r="E491" s="143"/>
      <c r="F491" s="143"/>
      <c r="G491" s="143"/>
      <c r="H491" s="143"/>
      <c r="I491" s="143"/>
      <c r="J491" s="143"/>
      <c r="K491" s="143"/>
      <c r="L491" s="143"/>
      <c r="M491" s="143"/>
      <c r="N491" s="222"/>
      <c r="O491" s="222">
        <v>282752</v>
      </c>
      <c r="P491" s="145"/>
      <c r="Q491" s="223">
        <f t="shared" si="566"/>
        <v>282752</v>
      </c>
      <c r="R491" s="147">
        <f t="shared" si="567"/>
        <v>31102.720000000001</v>
      </c>
      <c r="S491" s="147">
        <f t="shared" si="568"/>
        <v>85.212931506849316</v>
      </c>
      <c r="T491" s="148">
        <f t="shared" si="569"/>
        <v>18661.632000000001</v>
      </c>
      <c r="U491" s="199"/>
      <c r="V491" s="150"/>
      <c r="W491" s="151"/>
      <c r="X491" s="151"/>
      <c r="Y491" s="152"/>
      <c r="Z491" s="153"/>
      <c r="AA491" s="153"/>
      <c r="AB491" s="154"/>
      <c r="AC491" s="155">
        <f t="shared" si="570"/>
        <v>10823.74656</v>
      </c>
      <c r="AD491" s="156">
        <f t="shared" si="571"/>
        <v>2426.0121600000002</v>
      </c>
      <c r="AE491" s="156">
        <f t="shared" si="572"/>
        <v>1637.5582079999999</v>
      </c>
      <c r="AF491" s="156">
        <f t="shared" si="573"/>
        <v>746.46528000000012</v>
      </c>
      <c r="AG491" s="156">
        <f t="shared" si="574"/>
        <v>373.23264000000006</v>
      </c>
      <c r="AH491" s="156">
        <f t="shared" si="575"/>
        <v>373.23264000000006</v>
      </c>
      <c r="AI491" s="156">
        <f t="shared" si="576"/>
        <v>186.61632000000003</v>
      </c>
      <c r="AJ491" s="156">
        <f t="shared" si="577"/>
        <v>373.23264000000006</v>
      </c>
      <c r="AK491" s="156">
        <f t="shared" si="578"/>
        <v>373.23264000000006</v>
      </c>
      <c r="AL491" s="156">
        <f t="shared" si="579"/>
        <v>1306.3142400000002</v>
      </c>
      <c r="AM491" s="157">
        <f t="shared" si="580"/>
        <v>5743.1172480000005</v>
      </c>
      <c r="AN491" s="158">
        <f t="shared" si="581"/>
        <v>2200</v>
      </c>
      <c r="AO491" s="159">
        <v>0.2</v>
      </c>
      <c r="AP491" s="160">
        <f t="shared" si="582"/>
        <v>152596719.86093572</v>
      </c>
      <c r="AQ491" s="161">
        <f t="shared" si="583"/>
        <v>42387.981130187029</v>
      </c>
      <c r="AR491" s="162">
        <f t="shared" si="584"/>
        <v>8477.5962260374054</v>
      </c>
      <c r="AS491" s="163">
        <f t="shared" si="585"/>
        <v>1.2097026578249723</v>
      </c>
      <c r="AT491" s="164">
        <f t="shared" si="586"/>
        <v>1.2097026578249723</v>
      </c>
      <c r="AU491" s="165"/>
      <c r="AV491" s="166"/>
      <c r="AW491" s="167"/>
      <c r="AX491" s="146"/>
      <c r="AY491" s="168"/>
    </row>
    <row r="492" spans="1:51" s="139" customFormat="1" ht="11.25" x14ac:dyDescent="0.25">
      <c r="A492" s="1"/>
      <c r="B492" s="140">
        <v>5</v>
      </c>
      <c r="C492" s="170" t="s">
        <v>509</v>
      </c>
      <c r="D492" s="142"/>
      <c r="E492" s="143"/>
      <c r="F492" s="143"/>
      <c r="G492" s="143"/>
      <c r="H492" s="143"/>
      <c r="I492" s="143"/>
      <c r="J492" s="143"/>
      <c r="K492" s="143"/>
      <c r="L492" s="143"/>
      <c r="M492" s="143"/>
      <c r="N492" s="222"/>
      <c r="O492" s="222">
        <v>210136</v>
      </c>
      <c r="P492" s="145"/>
      <c r="Q492" s="223">
        <f t="shared" si="566"/>
        <v>210136</v>
      </c>
      <c r="R492" s="147">
        <f t="shared" si="567"/>
        <v>23114.959999999999</v>
      </c>
      <c r="S492" s="147">
        <f t="shared" si="568"/>
        <v>63.328657534246574</v>
      </c>
      <c r="T492" s="148">
        <f t="shared" si="569"/>
        <v>13868.975999999999</v>
      </c>
      <c r="U492" s="199"/>
      <c r="V492" s="150"/>
      <c r="W492" s="151"/>
      <c r="X492" s="151"/>
      <c r="Y492" s="152"/>
      <c r="Z492" s="153"/>
      <c r="AA492" s="153"/>
      <c r="AB492" s="154"/>
      <c r="AC492" s="155">
        <f t="shared" si="570"/>
        <v>8044.0060799999983</v>
      </c>
      <c r="AD492" s="156">
        <f t="shared" si="571"/>
        <v>1802.9668799999999</v>
      </c>
      <c r="AE492" s="156">
        <f t="shared" si="572"/>
        <v>1217.0026439999999</v>
      </c>
      <c r="AF492" s="156">
        <f t="shared" si="573"/>
        <v>554.75903999999991</v>
      </c>
      <c r="AG492" s="156">
        <f t="shared" si="574"/>
        <v>277.37951999999996</v>
      </c>
      <c r="AH492" s="156">
        <f t="shared" si="575"/>
        <v>277.37951999999996</v>
      </c>
      <c r="AI492" s="156">
        <f t="shared" si="576"/>
        <v>138.68975999999998</v>
      </c>
      <c r="AJ492" s="156">
        <f t="shared" si="577"/>
        <v>277.37951999999996</v>
      </c>
      <c r="AK492" s="156">
        <f t="shared" si="578"/>
        <v>277.37951999999996</v>
      </c>
      <c r="AL492" s="156">
        <f t="shared" si="579"/>
        <v>970.82831999999996</v>
      </c>
      <c r="AM492" s="157">
        <f t="shared" si="580"/>
        <v>4268.1773640000001</v>
      </c>
      <c r="AN492" s="158">
        <f t="shared" si="581"/>
        <v>2200</v>
      </c>
      <c r="AO492" s="159">
        <v>0.2</v>
      </c>
      <c r="AP492" s="160">
        <f t="shared" si="582"/>
        <v>113407029.21534622</v>
      </c>
      <c r="AQ492" s="161">
        <f t="shared" si="583"/>
        <v>31501.955079974599</v>
      </c>
      <c r="AR492" s="162">
        <f t="shared" si="584"/>
        <v>6300.3910159949201</v>
      </c>
      <c r="AS492" s="163">
        <f t="shared" si="585"/>
        <v>0.8990283984011016</v>
      </c>
      <c r="AT492" s="164">
        <f t="shared" si="586"/>
        <v>0.8990283984011016</v>
      </c>
      <c r="AU492" s="165"/>
      <c r="AV492" s="166"/>
      <c r="AW492" s="167"/>
      <c r="AX492" s="146"/>
      <c r="AY492" s="168"/>
    </row>
    <row r="493" spans="1:51" s="139" customFormat="1" ht="11.25" x14ac:dyDescent="0.25">
      <c r="A493" s="1"/>
      <c r="B493" s="140">
        <v>6</v>
      </c>
      <c r="C493" s="170" t="s">
        <v>510</v>
      </c>
      <c r="D493" s="142"/>
      <c r="E493" s="143"/>
      <c r="F493" s="143"/>
      <c r="G493" s="143"/>
      <c r="H493" s="143"/>
      <c r="I493" s="143"/>
      <c r="J493" s="143"/>
      <c r="K493" s="143"/>
      <c r="L493" s="143"/>
      <c r="M493" s="143"/>
      <c r="N493" s="222"/>
      <c r="O493" s="222">
        <v>421234</v>
      </c>
      <c r="P493" s="145"/>
      <c r="Q493" s="223">
        <f t="shared" si="566"/>
        <v>421234</v>
      </c>
      <c r="R493" s="147">
        <f t="shared" si="567"/>
        <v>46335.74</v>
      </c>
      <c r="S493" s="147">
        <f t="shared" si="568"/>
        <v>126.94723287671232</v>
      </c>
      <c r="T493" s="148">
        <f t="shared" si="569"/>
        <v>27801.444</v>
      </c>
      <c r="U493" s="199"/>
      <c r="V493" s="150"/>
      <c r="W493" s="151"/>
      <c r="X493" s="151"/>
      <c r="Y493" s="152"/>
      <c r="Z493" s="153"/>
      <c r="AA493" s="153"/>
      <c r="AB493" s="154"/>
      <c r="AC493" s="155">
        <f t="shared" si="570"/>
        <v>16124.837519999999</v>
      </c>
      <c r="AD493" s="156">
        <f t="shared" si="571"/>
        <v>3614.1877199999999</v>
      </c>
      <c r="AE493" s="156">
        <f t="shared" si="572"/>
        <v>2439.5767109999997</v>
      </c>
      <c r="AF493" s="156">
        <f t="shared" si="573"/>
        <v>1112.0577599999999</v>
      </c>
      <c r="AG493" s="156">
        <f t="shared" si="574"/>
        <v>556.02887999999996</v>
      </c>
      <c r="AH493" s="156">
        <f t="shared" si="575"/>
        <v>556.02887999999996</v>
      </c>
      <c r="AI493" s="156">
        <f t="shared" si="576"/>
        <v>278.01443999999998</v>
      </c>
      <c r="AJ493" s="156">
        <f t="shared" si="577"/>
        <v>556.02887999999996</v>
      </c>
      <c r="AK493" s="156">
        <f t="shared" si="578"/>
        <v>556.02887999999996</v>
      </c>
      <c r="AL493" s="156">
        <f t="shared" si="579"/>
        <v>1946.1010800000001</v>
      </c>
      <c r="AM493" s="157">
        <f t="shared" si="580"/>
        <v>8555.8943909999998</v>
      </c>
      <c r="AN493" s="158">
        <f t="shared" si="581"/>
        <v>2200</v>
      </c>
      <c r="AO493" s="159">
        <v>0.2</v>
      </c>
      <c r="AP493" s="160">
        <f t="shared" si="582"/>
        <v>227333234.40294456</v>
      </c>
      <c r="AQ493" s="161">
        <f t="shared" si="583"/>
        <v>63148.125719334254</v>
      </c>
      <c r="AR493" s="162">
        <f t="shared" si="584"/>
        <v>12629.625143866851</v>
      </c>
      <c r="AS493" s="163">
        <f t="shared" si="585"/>
        <v>1.8021725376522333</v>
      </c>
      <c r="AT493" s="164">
        <f t="shared" si="586"/>
        <v>1.8021725376522333</v>
      </c>
      <c r="AU493" s="165"/>
      <c r="AV493" s="166"/>
      <c r="AW493" s="167"/>
      <c r="AX493" s="146"/>
      <c r="AY493" s="168"/>
    </row>
    <row r="494" spans="1:51" s="139" customFormat="1" ht="11.25" x14ac:dyDescent="0.25">
      <c r="A494" s="1"/>
      <c r="B494" s="140">
        <v>7</v>
      </c>
      <c r="C494" s="170" t="s">
        <v>511</v>
      </c>
      <c r="D494" s="142"/>
      <c r="E494" s="143"/>
      <c r="F494" s="143"/>
      <c r="G494" s="143"/>
      <c r="H494" s="143"/>
      <c r="I494" s="143"/>
      <c r="J494" s="143"/>
      <c r="K494" s="143"/>
      <c r="L494" s="143"/>
      <c r="M494" s="143"/>
      <c r="N494" s="222"/>
      <c r="O494" s="222">
        <v>213096</v>
      </c>
      <c r="P494" s="145"/>
      <c r="Q494" s="223">
        <f t="shared" si="566"/>
        <v>213096</v>
      </c>
      <c r="R494" s="147">
        <f t="shared" si="567"/>
        <v>23440.560000000001</v>
      </c>
      <c r="S494" s="147">
        <f t="shared" si="568"/>
        <v>64.220712328767121</v>
      </c>
      <c r="T494" s="148">
        <f t="shared" si="569"/>
        <v>14064.335999999998</v>
      </c>
      <c r="U494" s="199"/>
      <c r="V494" s="150"/>
      <c r="W494" s="151"/>
      <c r="X494" s="151"/>
      <c r="Y494" s="152"/>
      <c r="Z494" s="153"/>
      <c r="AA494" s="153"/>
      <c r="AB494" s="154"/>
      <c r="AC494" s="155">
        <f t="shared" si="570"/>
        <v>8157.3148799999981</v>
      </c>
      <c r="AD494" s="156">
        <f t="shared" si="571"/>
        <v>1828.3636799999997</v>
      </c>
      <c r="AE494" s="156">
        <f t="shared" si="572"/>
        <v>1234.1454839999997</v>
      </c>
      <c r="AF494" s="156">
        <f t="shared" si="573"/>
        <v>562.57343999999989</v>
      </c>
      <c r="AG494" s="156">
        <f t="shared" si="574"/>
        <v>281.28671999999995</v>
      </c>
      <c r="AH494" s="156">
        <f t="shared" si="575"/>
        <v>281.28671999999995</v>
      </c>
      <c r="AI494" s="156">
        <f t="shared" si="576"/>
        <v>140.64335999999997</v>
      </c>
      <c r="AJ494" s="156">
        <f t="shared" si="577"/>
        <v>281.28671999999995</v>
      </c>
      <c r="AK494" s="156">
        <f t="shared" si="578"/>
        <v>281.28671999999995</v>
      </c>
      <c r="AL494" s="156">
        <f t="shared" si="579"/>
        <v>984.50351999999987</v>
      </c>
      <c r="AM494" s="157">
        <f t="shared" si="580"/>
        <v>4328.2994039999994</v>
      </c>
      <c r="AN494" s="158">
        <f t="shared" si="581"/>
        <v>2200</v>
      </c>
      <c r="AO494" s="159">
        <v>0.2</v>
      </c>
      <c r="AP494" s="160">
        <f t="shared" si="582"/>
        <v>115004493.74535261</v>
      </c>
      <c r="AQ494" s="161">
        <f t="shared" si="583"/>
        <v>31945.695262697809</v>
      </c>
      <c r="AR494" s="162">
        <f t="shared" si="584"/>
        <v>6389.1390525395618</v>
      </c>
      <c r="AS494" s="163">
        <f t="shared" si="585"/>
        <v>0.91169221640119313</v>
      </c>
      <c r="AT494" s="164">
        <f t="shared" si="586"/>
        <v>0.91169221640119313</v>
      </c>
      <c r="AU494" s="165"/>
      <c r="AV494" s="166"/>
      <c r="AW494" s="167"/>
      <c r="AX494" s="146"/>
      <c r="AY494" s="168"/>
    </row>
    <row r="495" spans="1:51" s="139" customFormat="1" ht="11.25" x14ac:dyDescent="0.25">
      <c r="A495" s="1"/>
      <c r="B495" s="140">
        <v>8</v>
      </c>
      <c r="C495" s="170" t="s">
        <v>512</v>
      </c>
      <c r="D495" s="142"/>
      <c r="E495" s="143"/>
      <c r="F495" s="143"/>
      <c r="G495" s="143"/>
      <c r="H495" s="143"/>
      <c r="I495" s="143"/>
      <c r="J495" s="143"/>
      <c r="K495" s="143"/>
      <c r="L495" s="143"/>
      <c r="M495" s="143"/>
      <c r="N495" s="222"/>
      <c r="O495" s="222">
        <v>219005</v>
      </c>
      <c r="P495" s="145"/>
      <c r="Q495" s="223">
        <f t="shared" si="566"/>
        <v>219005</v>
      </c>
      <c r="R495" s="147">
        <f t="shared" si="567"/>
        <v>24090.55</v>
      </c>
      <c r="S495" s="147">
        <f t="shared" si="568"/>
        <v>66.001506849315064</v>
      </c>
      <c r="T495" s="148">
        <f t="shared" si="569"/>
        <v>14454.33</v>
      </c>
      <c r="U495" s="199"/>
      <c r="V495" s="150"/>
      <c r="W495" s="151"/>
      <c r="X495" s="151"/>
      <c r="Y495" s="152"/>
      <c r="Z495" s="153"/>
      <c r="AA495" s="153"/>
      <c r="AB495" s="154"/>
      <c r="AC495" s="155">
        <f t="shared" si="570"/>
        <v>8383.5113999999994</v>
      </c>
      <c r="AD495" s="156">
        <f t="shared" si="571"/>
        <v>1879.0629000000001</v>
      </c>
      <c r="AE495" s="156">
        <f t="shared" si="572"/>
        <v>1268.3674575</v>
      </c>
      <c r="AF495" s="156">
        <f t="shared" si="573"/>
        <v>578.17320000000007</v>
      </c>
      <c r="AG495" s="156">
        <f t="shared" si="574"/>
        <v>289.08660000000003</v>
      </c>
      <c r="AH495" s="156">
        <f t="shared" si="575"/>
        <v>289.08660000000003</v>
      </c>
      <c r="AI495" s="156">
        <f t="shared" si="576"/>
        <v>144.54330000000002</v>
      </c>
      <c r="AJ495" s="156">
        <f t="shared" si="577"/>
        <v>289.08660000000003</v>
      </c>
      <c r="AK495" s="156">
        <f t="shared" si="578"/>
        <v>289.08660000000003</v>
      </c>
      <c r="AL495" s="156">
        <f t="shared" si="579"/>
        <v>1011.8031000000001</v>
      </c>
      <c r="AM495" s="157">
        <f t="shared" si="580"/>
        <v>4448.320057500001</v>
      </c>
      <c r="AN495" s="158">
        <f t="shared" si="581"/>
        <v>2200</v>
      </c>
      <c r="AO495" s="159">
        <v>0.2</v>
      </c>
      <c r="AP495" s="160">
        <f t="shared" si="582"/>
        <v>118193486.28177421</v>
      </c>
      <c r="AQ495" s="161">
        <f t="shared" si="583"/>
        <v>32831.526593681418</v>
      </c>
      <c r="AR495" s="162">
        <f t="shared" si="584"/>
        <v>6566.3053187362839</v>
      </c>
      <c r="AS495" s="163">
        <f t="shared" si="585"/>
        <v>0.93697279091556562</v>
      </c>
      <c r="AT495" s="164">
        <f t="shared" si="586"/>
        <v>0.93697279091556562</v>
      </c>
      <c r="AU495" s="165"/>
      <c r="AV495" s="166"/>
      <c r="AW495" s="167"/>
      <c r="AX495" s="146"/>
      <c r="AY495" s="168"/>
    </row>
    <row r="496" spans="1:51" s="139" customFormat="1" ht="11.25" x14ac:dyDescent="0.25">
      <c r="A496" s="1"/>
      <c r="B496" s="140">
        <v>9</v>
      </c>
      <c r="C496" s="170" t="s">
        <v>513</v>
      </c>
      <c r="D496" s="142"/>
      <c r="E496" s="143"/>
      <c r="F496" s="143"/>
      <c r="G496" s="143"/>
      <c r="H496" s="143"/>
      <c r="I496" s="143"/>
      <c r="J496" s="143"/>
      <c r="K496" s="143"/>
      <c r="L496" s="143"/>
      <c r="M496" s="143"/>
      <c r="N496" s="222"/>
      <c r="O496" s="222">
        <v>140358</v>
      </c>
      <c r="P496" s="145"/>
      <c r="Q496" s="223">
        <f t="shared" si="566"/>
        <v>140358</v>
      </c>
      <c r="R496" s="147">
        <f t="shared" si="567"/>
        <v>15439.38</v>
      </c>
      <c r="S496" s="147">
        <f t="shared" si="568"/>
        <v>42.299671232876712</v>
      </c>
      <c r="T496" s="148">
        <f t="shared" si="569"/>
        <v>9263.6279999999988</v>
      </c>
      <c r="U496" s="199"/>
      <c r="V496" s="150"/>
      <c r="W496" s="151"/>
      <c r="X496" s="151"/>
      <c r="Y496" s="152"/>
      <c r="Z496" s="153"/>
      <c r="AA496" s="153"/>
      <c r="AB496" s="154"/>
      <c r="AC496" s="155">
        <f t="shared" si="570"/>
        <v>5372.9042399999989</v>
      </c>
      <c r="AD496" s="156">
        <f t="shared" si="571"/>
        <v>1204.2716399999999</v>
      </c>
      <c r="AE496" s="156">
        <f t="shared" si="572"/>
        <v>812.88335699999982</v>
      </c>
      <c r="AF496" s="156">
        <f t="shared" si="573"/>
        <v>370.54511999999994</v>
      </c>
      <c r="AG496" s="156">
        <f t="shared" si="574"/>
        <v>185.27255999999997</v>
      </c>
      <c r="AH496" s="156">
        <f t="shared" si="575"/>
        <v>185.27255999999997</v>
      </c>
      <c r="AI496" s="156">
        <f t="shared" si="576"/>
        <v>92.636279999999985</v>
      </c>
      <c r="AJ496" s="156">
        <f t="shared" si="577"/>
        <v>185.27255999999997</v>
      </c>
      <c r="AK496" s="156">
        <f t="shared" si="578"/>
        <v>185.27255999999997</v>
      </c>
      <c r="AL496" s="156">
        <f t="shared" si="579"/>
        <v>648.45395999999994</v>
      </c>
      <c r="AM496" s="157">
        <f t="shared" si="580"/>
        <v>2850.8815169999993</v>
      </c>
      <c r="AN496" s="158">
        <f t="shared" si="581"/>
        <v>2200</v>
      </c>
      <c r="AO496" s="159">
        <v>0.2</v>
      </c>
      <c r="AP496" s="160">
        <f t="shared" si="582"/>
        <v>75748961.6562967</v>
      </c>
      <c r="AQ496" s="161">
        <f t="shared" si="583"/>
        <v>21041.379921170454</v>
      </c>
      <c r="AR496" s="162">
        <f t="shared" si="584"/>
        <v>4208.2759842340911</v>
      </c>
      <c r="AS496" s="163">
        <f t="shared" si="585"/>
        <v>0.60049600231650846</v>
      </c>
      <c r="AT496" s="233">
        <f t="shared" si="586"/>
        <v>0.60049600231650846</v>
      </c>
      <c r="AU496" s="187"/>
      <c r="AV496" s="166"/>
      <c r="AW496" s="167"/>
      <c r="AX496" s="146"/>
      <c r="AY496" s="168"/>
    </row>
    <row r="497" spans="1:51" s="139" customFormat="1" ht="11.25" x14ac:dyDescent="0.25">
      <c r="A497" s="1"/>
      <c r="B497" s="140">
        <v>10</v>
      </c>
      <c r="C497" s="170" t="s">
        <v>514</v>
      </c>
      <c r="D497" s="142"/>
      <c r="E497" s="143"/>
      <c r="F497" s="143"/>
      <c r="G497" s="143"/>
      <c r="H497" s="143"/>
      <c r="I497" s="143"/>
      <c r="J497" s="143"/>
      <c r="K497" s="143"/>
      <c r="L497" s="143"/>
      <c r="M497" s="143"/>
      <c r="N497" s="222"/>
      <c r="O497" s="222">
        <v>215202</v>
      </c>
      <c r="P497" s="145"/>
      <c r="Q497" s="223">
        <f t="shared" si="566"/>
        <v>215202</v>
      </c>
      <c r="R497" s="147">
        <f t="shared" si="567"/>
        <v>23672.22</v>
      </c>
      <c r="S497" s="147">
        <f t="shared" si="568"/>
        <v>64.855397260273975</v>
      </c>
      <c r="T497" s="148">
        <f t="shared" si="569"/>
        <v>14203.332</v>
      </c>
      <c r="U497" s="199"/>
      <c r="V497" s="150"/>
      <c r="W497" s="151"/>
      <c r="X497" s="151"/>
      <c r="Y497" s="152"/>
      <c r="Z497" s="153"/>
      <c r="AA497" s="153"/>
      <c r="AB497" s="154"/>
      <c r="AC497" s="155">
        <f t="shared" si="570"/>
        <v>8237.9325599999993</v>
      </c>
      <c r="AD497" s="156">
        <f t="shared" si="571"/>
        <v>1846.43316</v>
      </c>
      <c r="AE497" s="156">
        <f t="shared" si="572"/>
        <v>1246.3423829999999</v>
      </c>
      <c r="AF497" s="156">
        <f t="shared" si="573"/>
        <v>568.13328000000001</v>
      </c>
      <c r="AG497" s="156">
        <f t="shared" si="574"/>
        <v>284.06664000000001</v>
      </c>
      <c r="AH497" s="156">
        <f t="shared" si="575"/>
        <v>284.06664000000001</v>
      </c>
      <c r="AI497" s="156">
        <f t="shared" si="576"/>
        <v>142.03332</v>
      </c>
      <c r="AJ497" s="156">
        <f t="shared" si="577"/>
        <v>284.06664000000001</v>
      </c>
      <c r="AK497" s="156">
        <f t="shared" si="578"/>
        <v>284.06664000000001</v>
      </c>
      <c r="AL497" s="156">
        <f t="shared" si="579"/>
        <v>994.23324000000014</v>
      </c>
      <c r="AM497" s="157">
        <f t="shared" si="580"/>
        <v>4371.0754230000002</v>
      </c>
      <c r="AN497" s="158">
        <f t="shared" si="581"/>
        <v>2200</v>
      </c>
      <c r="AO497" s="159">
        <v>0.2</v>
      </c>
      <c r="AP497" s="160">
        <f t="shared" si="582"/>
        <v>116141068.17109367</v>
      </c>
      <c r="AQ497" s="161">
        <f t="shared" si="583"/>
        <v>32261.410406216422</v>
      </c>
      <c r="AR497" s="162">
        <f t="shared" si="584"/>
        <v>6452.2820812432847</v>
      </c>
      <c r="AS497" s="163">
        <f t="shared" si="585"/>
        <v>0.92070235177558291</v>
      </c>
      <c r="AT497" s="164">
        <f t="shared" si="586"/>
        <v>0.92070235177558291</v>
      </c>
      <c r="AU497" s="165"/>
      <c r="AV497" s="166"/>
      <c r="AW497" s="167"/>
      <c r="AX497" s="146"/>
      <c r="AY497" s="168"/>
    </row>
    <row r="498" spans="1:51" s="139" customFormat="1" ht="11.25" x14ac:dyDescent="0.25">
      <c r="A498" s="1"/>
      <c r="B498" s="140">
        <v>11</v>
      </c>
      <c r="C498" s="170" t="s">
        <v>515</v>
      </c>
      <c r="D498" s="142"/>
      <c r="E498" s="143"/>
      <c r="F498" s="143"/>
      <c r="G498" s="143"/>
      <c r="H498" s="143"/>
      <c r="I498" s="143"/>
      <c r="J498" s="143"/>
      <c r="K498" s="143"/>
      <c r="L498" s="143"/>
      <c r="M498" s="143"/>
      <c r="N498" s="222"/>
      <c r="O498" s="222">
        <v>342754</v>
      </c>
      <c r="P498" s="145"/>
      <c r="Q498" s="223">
        <f t="shared" si="566"/>
        <v>342754</v>
      </c>
      <c r="R498" s="147">
        <f t="shared" si="567"/>
        <v>37702.94</v>
      </c>
      <c r="S498" s="147">
        <f t="shared" si="568"/>
        <v>103.29572602739727</v>
      </c>
      <c r="T498" s="148">
        <f t="shared" si="569"/>
        <v>22621.763999999999</v>
      </c>
      <c r="U498" s="199"/>
      <c r="V498" s="150"/>
      <c r="W498" s="151"/>
      <c r="X498" s="151"/>
      <c r="Y498" s="152"/>
      <c r="Z498" s="153"/>
      <c r="AA498" s="153"/>
      <c r="AB498" s="154"/>
      <c r="AC498" s="155">
        <f t="shared" si="570"/>
        <v>13120.623119999998</v>
      </c>
      <c r="AD498" s="156">
        <f t="shared" si="571"/>
        <v>2940.8293199999998</v>
      </c>
      <c r="AE498" s="156">
        <f t="shared" si="572"/>
        <v>1985.0597909999999</v>
      </c>
      <c r="AF498" s="156">
        <f t="shared" si="573"/>
        <v>904.87055999999995</v>
      </c>
      <c r="AG498" s="156">
        <f t="shared" si="574"/>
        <v>452.43527999999998</v>
      </c>
      <c r="AH498" s="156">
        <f t="shared" si="575"/>
        <v>452.43527999999998</v>
      </c>
      <c r="AI498" s="156">
        <f t="shared" si="576"/>
        <v>226.21763999999999</v>
      </c>
      <c r="AJ498" s="156">
        <f t="shared" si="577"/>
        <v>452.43527999999998</v>
      </c>
      <c r="AK498" s="156">
        <f t="shared" si="578"/>
        <v>452.43527999999998</v>
      </c>
      <c r="AL498" s="156">
        <f t="shared" si="579"/>
        <v>1583.5234800000001</v>
      </c>
      <c r="AM498" s="157">
        <f t="shared" si="580"/>
        <v>6961.847870999999</v>
      </c>
      <c r="AN498" s="158">
        <f t="shared" si="581"/>
        <v>2200</v>
      </c>
      <c r="AO498" s="159">
        <v>0.2</v>
      </c>
      <c r="AP498" s="160">
        <f t="shared" si="582"/>
        <v>184978836.99926135</v>
      </c>
      <c r="AQ498" s="161">
        <f t="shared" si="583"/>
        <v>51383.014388213422</v>
      </c>
      <c r="AR498" s="162">
        <f t="shared" si="584"/>
        <v>10276.602877642685</v>
      </c>
      <c r="AS498" s="163">
        <f t="shared" si="585"/>
        <v>1.4664102279741273</v>
      </c>
      <c r="AT498" s="164">
        <f t="shared" si="586"/>
        <v>1.4664102279741273</v>
      </c>
      <c r="AU498" s="165"/>
      <c r="AV498" s="166"/>
      <c r="AW498" s="167"/>
      <c r="AX498" s="146"/>
      <c r="AY498" s="168"/>
    </row>
    <row r="499" spans="1:51" s="190" customFormat="1" ht="16.7" customHeight="1" x14ac:dyDescent="0.25">
      <c r="A499" s="173"/>
      <c r="B499" s="120"/>
      <c r="C499" s="121" t="s">
        <v>516</v>
      </c>
      <c r="D499" s="240">
        <f t="shared" ref="D499:U499" si="587">SUM(D488:D498)</f>
        <v>0</v>
      </c>
      <c r="E499" s="240">
        <f t="shared" si="587"/>
        <v>0</v>
      </c>
      <c r="F499" s="240">
        <f t="shared" si="587"/>
        <v>0</v>
      </c>
      <c r="G499" s="240">
        <f t="shared" si="587"/>
        <v>0</v>
      </c>
      <c r="H499" s="240">
        <f t="shared" si="587"/>
        <v>0</v>
      </c>
      <c r="I499" s="240">
        <f t="shared" si="587"/>
        <v>0</v>
      </c>
      <c r="J499" s="240">
        <f t="shared" si="587"/>
        <v>0</v>
      </c>
      <c r="K499" s="240">
        <f t="shared" si="587"/>
        <v>0</v>
      </c>
      <c r="L499" s="240">
        <f t="shared" si="587"/>
        <v>0</v>
      </c>
      <c r="M499" s="240">
        <f t="shared" si="587"/>
        <v>0</v>
      </c>
      <c r="N499" s="240">
        <f t="shared" si="587"/>
        <v>0</v>
      </c>
      <c r="O499" s="240">
        <f t="shared" si="587"/>
        <v>2683722</v>
      </c>
      <c r="P499" s="240">
        <f t="shared" si="587"/>
        <v>0</v>
      </c>
      <c r="Q499" s="240">
        <f t="shared" si="587"/>
        <v>2683722</v>
      </c>
      <c r="R499" s="240">
        <f t="shared" si="587"/>
        <v>295209.42</v>
      </c>
      <c r="S499" s="240">
        <f t="shared" si="587"/>
        <v>808.7929315068493</v>
      </c>
      <c r="T499" s="240">
        <f t="shared" si="587"/>
        <v>177125.652</v>
      </c>
      <c r="U499" s="199">
        <f t="shared" si="587"/>
        <v>0</v>
      </c>
      <c r="V499" s="241"/>
      <c r="W499" s="242">
        <f>SUM(W488:W498)</f>
        <v>0</v>
      </c>
      <c r="X499" s="242">
        <f>SUM(X488:X498)</f>
        <v>0</v>
      </c>
      <c r="Y499" s="242">
        <f>SUM(Y488:Y498)</f>
        <v>0</v>
      </c>
      <c r="Z499" s="199"/>
      <c r="AA499" s="199"/>
      <c r="AB499" s="243"/>
      <c r="AC499" s="240">
        <f t="shared" ref="AC499:AM499" si="588">SUM(AC488:AC498)</f>
        <v>102732.87816000001</v>
      </c>
      <c r="AD499" s="244">
        <f t="shared" si="588"/>
        <v>23026.334760000002</v>
      </c>
      <c r="AE499" s="244">
        <f t="shared" si="588"/>
        <v>15542.775962999998</v>
      </c>
      <c r="AF499" s="244">
        <f t="shared" si="588"/>
        <v>7085.0260800000005</v>
      </c>
      <c r="AG499" s="244">
        <f t="shared" si="588"/>
        <v>3542.5130400000003</v>
      </c>
      <c r="AH499" s="244">
        <f t="shared" si="588"/>
        <v>3542.5130400000003</v>
      </c>
      <c r="AI499" s="244">
        <f t="shared" si="588"/>
        <v>1771.2565200000001</v>
      </c>
      <c r="AJ499" s="244">
        <f t="shared" si="588"/>
        <v>3542.5130400000003</v>
      </c>
      <c r="AK499" s="244">
        <f t="shared" si="588"/>
        <v>3542.5130400000003</v>
      </c>
      <c r="AL499" s="244">
        <f t="shared" si="588"/>
        <v>12398.79564</v>
      </c>
      <c r="AM499" s="245">
        <f t="shared" si="588"/>
        <v>54510.419403</v>
      </c>
      <c r="AN499" s="158"/>
      <c r="AO499" s="183"/>
      <c r="AP499" s="184">
        <f>SUM(AP488:AP498)</f>
        <v>1448361724.1208904</v>
      </c>
      <c r="AQ499" s="184">
        <f>SUM(AQ488:AQ498)</f>
        <v>402322.73333050788</v>
      </c>
      <c r="AR499" s="184">
        <f>SUM(AR488:AR498)</f>
        <v>80464.546666101567</v>
      </c>
      <c r="AS499" s="185">
        <f>SUM(AS488:AS498)</f>
        <v>11.481813165824999</v>
      </c>
      <c r="AT499" s="186">
        <f>SUM(AT488:AT498)</f>
        <v>11.481813165824999</v>
      </c>
      <c r="AU499" s="187"/>
      <c r="AV499" s="246">
        <f>SUM(AV492:AV498)</f>
        <v>0</v>
      </c>
      <c r="AW499" s="246"/>
      <c r="AX499" s="185">
        <f>SUM(AX492:AX498)</f>
        <v>0</v>
      </c>
      <c r="AY499" s="189"/>
    </row>
    <row r="501" spans="1:51" s="139" customFormat="1" ht="15" customHeight="1" x14ac:dyDescent="0.25">
      <c r="A501" s="1"/>
      <c r="B501" s="126"/>
      <c r="C501" s="352" t="s">
        <v>517</v>
      </c>
      <c r="D501" s="122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213"/>
      <c r="Q501" s="76"/>
      <c r="R501" s="108"/>
      <c r="S501" s="108"/>
      <c r="T501" s="94"/>
      <c r="U501" s="199"/>
      <c r="V501" s="179"/>
      <c r="W501" s="180"/>
      <c r="X501" s="180"/>
      <c r="Y501" s="214"/>
      <c r="Z501" s="181"/>
      <c r="AA501" s="181"/>
      <c r="AB501" s="182"/>
      <c r="AC501" s="62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125"/>
      <c r="AN501" s="75"/>
      <c r="AO501" s="216"/>
      <c r="AP501" s="75"/>
      <c r="AQ501" s="51"/>
      <c r="AR501" s="217"/>
      <c r="AS501" s="218"/>
      <c r="AT501" s="219"/>
      <c r="AU501" s="220"/>
      <c r="AV501" s="135"/>
      <c r="AW501" s="136"/>
      <c r="AX501" s="137"/>
      <c r="AY501" s="138"/>
    </row>
    <row r="502" spans="1:51" s="139" customFormat="1" ht="11.25" x14ac:dyDescent="0.25">
      <c r="A502" s="1"/>
      <c r="B502" s="140">
        <v>1</v>
      </c>
      <c r="C502" s="358" t="s">
        <v>518</v>
      </c>
      <c r="D502" s="142"/>
      <c r="E502" s="143"/>
      <c r="F502" s="143"/>
      <c r="G502" s="143"/>
      <c r="H502" s="143"/>
      <c r="I502" s="143"/>
      <c r="J502" s="143"/>
      <c r="K502" s="143"/>
      <c r="L502" s="143"/>
      <c r="M502" s="143"/>
      <c r="N502" s="222"/>
      <c r="O502" s="222">
        <v>153869</v>
      </c>
      <c r="P502" s="145"/>
      <c r="Q502" s="223">
        <f t="shared" ref="Q502:Q507" si="589">MAX(D502:P502)</f>
        <v>153869</v>
      </c>
      <c r="R502" s="147">
        <f t="shared" ref="R502:R507" si="590">Q502*$R$10</f>
        <v>16925.59</v>
      </c>
      <c r="S502" s="147">
        <f t="shared" ref="S502:S507" si="591">R502/$S$5</f>
        <v>46.371479452054793</v>
      </c>
      <c r="T502" s="148">
        <f t="shared" ref="T502:T507" si="592">S502*$T$5*$T$10</f>
        <v>10155.353999999999</v>
      </c>
      <c r="U502" s="199"/>
      <c r="V502" s="150"/>
      <c r="W502" s="151"/>
      <c r="X502" s="151"/>
      <c r="Y502" s="152"/>
      <c r="Z502" s="153"/>
      <c r="AA502" s="153"/>
      <c r="AB502" s="154"/>
      <c r="AC502" s="155">
        <f t="shared" ref="AC502:AC507" si="593">T502*$AC$5</f>
        <v>5890.1053199999997</v>
      </c>
      <c r="AD502" s="156">
        <f t="shared" ref="AD502:AD507" si="594">T502*$AD$5</f>
        <v>1320.1960199999999</v>
      </c>
      <c r="AE502" s="156">
        <f t="shared" ref="AE502:AE507" si="595">T502*$AE$5</f>
        <v>891.1323134999999</v>
      </c>
      <c r="AF502" s="156">
        <f t="shared" ref="AF502:AF507" si="596">T502*$AF$5</f>
        <v>406.21415999999999</v>
      </c>
      <c r="AG502" s="156">
        <f t="shared" ref="AG502:AG507" si="597">T502*$AG$5</f>
        <v>203.10708</v>
      </c>
      <c r="AH502" s="156">
        <f t="shared" ref="AH502:AH507" si="598">T502*$AH$5</f>
        <v>203.10708</v>
      </c>
      <c r="AI502" s="156">
        <f t="shared" ref="AI502:AI507" si="599">T502*$AI$5</f>
        <v>101.55354</v>
      </c>
      <c r="AJ502" s="156">
        <f t="shared" ref="AJ502:AJ507" si="600">T502*$AJ$5</f>
        <v>203.10708</v>
      </c>
      <c r="AK502" s="156">
        <f t="shared" ref="AK502:AK507" si="601">T502*$AK$5</f>
        <v>203.10708</v>
      </c>
      <c r="AL502" s="156">
        <f t="shared" ref="AL502:AL507" si="602">T502*$AL$5</f>
        <v>710.87477999999999</v>
      </c>
      <c r="AM502" s="157">
        <f t="shared" ref="AM502:AM507" si="603">SUM(AD502:AI502)</f>
        <v>3125.3101934999995</v>
      </c>
      <c r="AN502" s="158">
        <f t="shared" ref="AN502:AN507" si="604">$AN$5</f>
        <v>2200</v>
      </c>
      <c r="AO502" s="159">
        <v>0.2</v>
      </c>
      <c r="AP502" s="160">
        <f t="shared" ref="AP502:AP507" si="605">(AC502+AM502)*AN502*$AP$5</f>
        <v>83040631.678227961</v>
      </c>
      <c r="AQ502" s="161">
        <f t="shared" ref="AQ502:AQ507" si="606">AP502*$AQ$5</f>
        <v>23066.84397818847</v>
      </c>
      <c r="AR502" s="162">
        <f t="shared" ref="AR502:AR507" si="607">AQ502*$AR$5</f>
        <v>4613.3687956376943</v>
      </c>
      <c r="AS502" s="163">
        <f t="shared" ref="AS502:AS507" si="608">AR502/$AS$5</f>
        <v>0.65830034184327835</v>
      </c>
      <c r="AT502" s="164">
        <f t="shared" ref="AT502:AT507" si="609">AS502</f>
        <v>0.65830034184327835</v>
      </c>
      <c r="AU502" s="165"/>
      <c r="AV502" s="166"/>
      <c r="AW502" s="167"/>
      <c r="AX502" s="146"/>
      <c r="AY502" s="168"/>
    </row>
    <row r="503" spans="1:51" s="139" customFormat="1" ht="11.25" x14ac:dyDescent="0.25">
      <c r="A503" s="1"/>
      <c r="B503" s="140">
        <v>2</v>
      </c>
      <c r="C503" s="358" t="s">
        <v>519</v>
      </c>
      <c r="D503" s="142"/>
      <c r="E503" s="143"/>
      <c r="F503" s="143"/>
      <c r="G503" s="143"/>
      <c r="H503" s="143"/>
      <c r="I503" s="143"/>
      <c r="J503" s="143"/>
      <c r="K503" s="143"/>
      <c r="L503" s="143"/>
      <c r="M503" s="143"/>
      <c r="N503" s="222"/>
      <c r="O503" s="222">
        <v>142416</v>
      </c>
      <c r="P503" s="145"/>
      <c r="Q503" s="223">
        <f t="shared" si="589"/>
        <v>142416</v>
      </c>
      <c r="R503" s="147">
        <f t="shared" si="590"/>
        <v>15665.76</v>
      </c>
      <c r="S503" s="147">
        <f t="shared" si="591"/>
        <v>42.919890410958907</v>
      </c>
      <c r="T503" s="148">
        <f t="shared" si="592"/>
        <v>9399.4560000000001</v>
      </c>
      <c r="U503" s="199"/>
      <c r="V503" s="150"/>
      <c r="W503" s="151"/>
      <c r="X503" s="151"/>
      <c r="Y503" s="152"/>
      <c r="Z503" s="153"/>
      <c r="AA503" s="153"/>
      <c r="AB503" s="154"/>
      <c r="AC503" s="155">
        <f t="shared" si="593"/>
        <v>5451.6844799999999</v>
      </c>
      <c r="AD503" s="156">
        <f t="shared" si="594"/>
        <v>1221.9292800000001</v>
      </c>
      <c r="AE503" s="156">
        <f t="shared" si="595"/>
        <v>824.80226399999992</v>
      </c>
      <c r="AF503" s="156">
        <f t="shared" si="596"/>
        <v>375.97824000000003</v>
      </c>
      <c r="AG503" s="156">
        <f t="shared" si="597"/>
        <v>187.98912000000001</v>
      </c>
      <c r="AH503" s="156">
        <f t="shared" si="598"/>
        <v>187.98912000000001</v>
      </c>
      <c r="AI503" s="156">
        <f t="shared" si="599"/>
        <v>93.994560000000007</v>
      </c>
      <c r="AJ503" s="156">
        <f t="shared" si="600"/>
        <v>187.98912000000001</v>
      </c>
      <c r="AK503" s="156">
        <f t="shared" si="601"/>
        <v>187.98912000000001</v>
      </c>
      <c r="AL503" s="156">
        <f t="shared" si="602"/>
        <v>657.96192000000008</v>
      </c>
      <c r="AM503" s="157">
        <f t="shared" si="603"/>
        <v>2892.6825840000006</v>
      </c>
      <c r="AN503" s="158">
        <f t="shared" si="604"/>
        <v>2200</v>
      </c>
      <c r="AO503" s="159">
        <v>0.2</v>
      </c>
      <c r="AP503" s="160">
        <f t="shared" si="605"/>
        <v>76859631.251821443</v>
      </c>
      <c r="AQ503" s="161">
        <f t="shared" si="606"/>
        <v>21349.899277942208</v>
      </c>
      <c r="AR503" s="162">
        <f t="shared" si="607"/>
        <v>4269.9798555884418</v>
      </c>
      <c r="AS503" s="163">
        <f t="shared" si="608"/>
        <v>0.6093007784800859</v>
      </c>
      <c r="AT503" s="164">
        <f t="shared" si="609"/>
        <v>0.6093007784800859</v>
      </c>
      <c r="AU503" s="165"/>
      <c r="AV503" s="166"/>
      <c r="AW503" s="167"/>
      <c r="AX503" s="146"/>
      <c r="AY503" s="168"/>
    </row>
    <row r="504" spans="1:51" s="139" customFormat="1" ht="11.25" x14ac:dyDescent="0.25">
      <c r="A504" s="1"/>
      <c r="B504" s="140">
        <v>3</v>
      </c>
      <c r="C504" s="358" t="s">
        <v>520</v>
      </c>
      <c r="D504" s="142"/>
      <c r="E504" s="143"/>
      <c r="F504" s="143"/>
      <c r="G504" s="143"/>
      <c r="H504" s="143"/>
      <c r="I504" s="143"/>
      <c r="J504" s="143"/>
      <c r="K504" s="143"/>
      <c r="L504" s="143"/>
      <c r="M504" s="143"/>
      <c r="N504" s="222"/>
      <c r="O504" s="222">
        <v>349571</v>
      </c>
      <c r="P504" s="145"/>
      <c r="Q504" s="223">
        <f t="shared" si="589"/>
        <v>349571</v>
      </c>
      <c r="R504" s="147">
        <f t="shared" si="590"/>
        <v>38452.81</v>
      </c>
      <c r="S504" s="147">
        <f t="shared" si="591"/>
        <v>105.35016438356163</v>
      </c>
      <c r="T504" s="148">
        <f t="shared" si="592"/>
        <v>23071.685999999998</v>
      </c>
      <c r="U504" s="199"/>
      <c r="V504" s="150"/>
      <c r="W504" s="151"/>
      <c r="X504" s="151"/>
      <c r="Y504" s="152"/>
      <c r="Z504" s="153"/>
      <c r="AA504" s="153"/>
      <c r="AB504" s="154"/>
      <c r="AC504" s="155">
        <f t="shared" si="593"/>
        <v>13381.577879999997</v>
      </c>
      <c r="AD504" s="156">
        <f t="shared" si="594"/>
        <v>2999.31918</v>
      </c>
      <c r="AE504" s="156">
        <f t="shared" si="595"/>
        <v>2024.5404464999997</v>
      </c>
      <c r="AF504" s="156">
        <f t="shared" si="596"/>
        <v>922.86743999999999</v>
      </c>
      <c r="AG504" s="156">
        <f t="shared" si="597"/>
        <v>461.43371999999999</v>
      </c>
      <c r="AH504" s="156">
        <f t="shared" si="598"/>
        <v>461.43371999999999</v>
      </c>
      <c r="AI504" s="156">
        <f t="shared" si="599"/>
        <v>230.71686</v>
      </c>
      <c r="AJ504" s="156">
        <f t="shared" si="600"/>
        <v>461.43371999999999</v>
      </c>
      <c r="AK504" s="156">
        <f t="shared" si="601"/>
        <v>461.43371999999999</v>
      </c>
      <c r="AL504" s="156">
        <f t="shared" si="602"/>
        <v>1615.01802</v>
      </c>
      <c r="AM504" s="157">
        <f t="shared" si="603"/>
        <v>7100.3113665000001</v>
      </c>
      <c r="AN504" s="158">
        <f t="shared" si="604"/>
        <v>2200</v>
      </c>
      <c r="AO504" s="159">
        <v>0.2</v>
      </c>
      <c r="AP504" s="160">
        <f t="shared" si="605"/>
        <v>188657862.57394159</v>
      </c>
      <c r="AQ504" s="161">
        <f t="shared" si="606"/>
        <v>52404.966018491832</v>
      </c>
      <c r="AR504" s="162">
        <f t="shared" si="607"/>
        <v>10480.993203698366</v>
      </c>
      <c r="AS504" s="163">
        <f t="shared" si="608"/>
        <v>1.4955755142263651</v>
      </c>
      <c r="AT504" s="164">
        <f t="shared" si="609"/>
        <v>1.4955755142263651</v>
      </c>
      <c r="AU504" s="165"/>
      <c r="AV504" s="166"/>
      <c r="AW504" s="167"/>
      <c r="AX504" s="146"/>
      <c r="AY504" s="168"/>
    </row>
    <row r="505" spans="1:51" s="139" customFormat="1" ht="11.25" x14ac:dyDescent="0.25">
      <c r="A505" s="1"/>
      <c r="B505" s="140">
        <v>4</v>
      </c>
      <c r="C505" s="358" t="s">
        <v>521</v>
      </c>
      <c r="D505" s="142"/>
      <c r="E505" s="143"/>
      <c r="F505" s="143"/>
      <c r="G505" s="143"/>
      <c r="H505" s="143"/>
      <c r="I505" s="143"/>
      <c r="J505" s="143"/>
      <c r="K505" s="143"/>
      <c r="L505" s="143"/>
      <c r="M505" s="143"/>
      <c r="N505" s="222"/>
      <c r="O505" s="222">
        <v>142075</v>
      </c>
      <c r="P505" s="145"/>
      <c r="Q505" s="223">
        <f t="shared" si="589"/>
        <v>142075</v>
      </c>
      <c r="R505" s="147">
        <f t="shared" si="590"/>
        <v>15628.25</v>
      </c>
      <c r="S505" s="147">
        <f t="shared" si="591"/>
        <v>42.81712328767123</v>
      </c>
      <c r="T505" s="148">
        <f t="shared" si="592"/>
        <v>9376.9499999999989</v>
      </c>
      <c r="U505" s="199"/>
      <c r="V505" s="150"/>
      <c r="W505" s="151"/>
      <c r="X505" s="151"/>
      <c r="Y505" s="152"/>
      <c r="Z505" s="153"/>
      <c r="AA505" s="153"/>
      <c r="AB505" s="154"/>
      <c r="AC505" s="155">
        <f t="shared" si="593"/>
        <v>5438.6309999999994</v>
      </c>
      <c r="AD505" s="156">
        <f t="shared" si="594"/>
        <v>1219.0034999999998</v>
      </c>
      <c r="AE505" s="156">
        <f t="shared" si="595"/>
        <v>822.82736249999982</v>
      </c>
      <c r="AF505" s="156">
        <f t="shared" si="596"/>
        <v>375.07799999999997</v>
      </c>
      <c r="AG505" s="156">
        <f t="shared" si="597"/>
        <v>187.53899999999999</v>
      </c>
      <c r="AH505" s="156">
        <f t="shared" si="598"/>
        <v>187.53899999999999</v>
      </c>
      <c r="AI505" s="156">
        <f t="shared" si="599"/>
        <v>93.769499999999994</v>
      </c>
      <c r="AJ505" s="156">
        <f t="shared" si="600"/>
        <v>187.53899999999999</v>
      </c>
      <c r="AK505" s="156">
        <f t="shared" si="601"/>
        <v>187.53899999999999</v>
      </c>
      <c r="AL505" s="156">
        <f t="shared" si="602"/>
        <v>656.38649999999996</v>
      </c>
      <c r="AM505" s="157">
        <f t="shared" si="603"/>
        <v>2885.7563624999989</v>
      </c>
      <c r="AN505" s="158">
        <f t="shared" si="604"/>
        <v>2200</v>
      </c>
      <c r="AO505" s="159">
        <v>0.2</v>
      </c>
      <c r="AP505" s="160">
        <f t="shared" si="605"/>
        <v>76675599.020492971</v>
      </c>
      <c r="AQ505" s="161">
        <f t="shared" si="606"/>
        <v>21298.779209594693</v>
      </c>
      <c r="AR505" s="162">
        <f t="shared" si="607"/>
        <v>4259.755841918939</v>
      </c>
      <c r="AS505" s="163">
        <f t="shared" si="608"/>
        <v>0.60784187241993992</v>
      </c>
      <c r="AT505" s="164">
        <f t="shared" si="609"/>
        <v>0.60784187241993992</v>
      </c>
      <c r="AU505" s="165"/>
      <c r="AV505" s="166"/>
      <c r="AW505" s="167"/>
      <c r="AX505" s="146"/>
      <c r="AY505" s="168"/>
    </row>
    <row r="506" spans="1:51" s="139" customFormat="1" ht="11.25" x14ac:dyDescent="0.25">
      <c r="A506" s="1"/>
      <c r="B506" s="140">
        <v>5</v>
      </c>
      <c r="C506" s="359" t="s">
        <v>522</v>
      </c>
      <c r="D506" s="142"/>
      <c r="E506" s="143"/>
      <c r="F506" s="143"/>
      <c r="G506" s="143"/>
      <c r="H506" s="143"/>
      <c r="I506" s="143"/>
      <c r="J506" s="143"/>
      <c r="K506" s="143"/>
      <c r="L506" s="143"/>
      <c r="M506" s="143"/>
      <c r="N506" s="222"/>
      <c r="O506" s="222">
        <v>401272</v>
      </c>
      <c r="P506" s="145"/>
      <c r="Q506" s="223">
        <f t="shared" si="589"/>
        <v>401272</v>
      </c>
      <c r="R506" s="147">
        <f t="shared" si="590"/>
        <v>44139.92</v>
      </c>
      <c r="S506" s="147">
        <f t="shared" si="591"/>
        <v>120.93128767123287</v>
      </c>
      <c r="T506" s="148">
        <f t="shared" si="592"/>
        <v>26483.951999999997</v>
      </c>
      <c r="U506" s="199"/>
      <c r="V506" s="150"/>
      <c r="W506" s="151"/>
      <c r="X506" s="151"/>
      <c r="Y506" s="152"/>
      <c r="Z506" s="153"/>
      <c r="AA506" s="153"/>
      <c r="AB506" s="154"/>
      <c r="AC506" s="155">
        <f t="shared" si="593"/>
        <v>15360.692159999997</v>
      </c>
      <c r="AD506" s="156">
        <f t="shared" si="594"/>
        <v>3442.9137599999999</v>
      </c>
      <c r="AE506" s="156">
        <f t="shared" si="595"/>
        <v>2323.9667879999997</v>
      </c>
      <c r="AF506" s="156">
        <f t="shared" si="596"/>
        <v>1059.35808</v>
      </c>
      <c r="AG506" s="156">
        <f t="shared" si="597"/>
        <v>529.67903999999999</v>
      </c>
      <c r="AH506" s="156">
        <f t="shared" si="598"/>
        <v>529.67903999999999</v>
      </c>
      <c r="AI506" s="156">
        <f t="shared" si="599"/>
        <v>264.83951999999999</v>
      </c>
      <c r="AJ506" s="156">
        <f t="shared" si="600"/>
        <v>529.67903999999999</v>
      </c>
      <c r="AK506" s="156">
        <f t="shared" si="601"/>
        <v>529.67903999999999</v>
      </c>
      <c r="AL506" s="156">
        <f t="shared" si="602"/>
        <v>1853.87664</v>
      </c>
      <c r="AM506" s="157">
        <f t="shared" si="603"/>
        <v>8150.4362279999987</v>
      </c>
      <c r="AN506" s="158">
        <f t="shared" si="604"/>
        <v>2200</v>
      </c>
      <c r="AO506" s="159">
        <v>0.2</v>
      </c>
      <c r="AP506" s="160">
        <f t="shared" si="605"/>
        <v>216560063.13673246</v>
      </c>
      <c r="AQ506" s="161">
        <f t="shared" si="606"/>
        <v>60155.577905982638</v>
      </c>
      <c r="AR506" s="162">
        <f t="shared" si="607"/>
        <v>12031.115581196529</v>
      </c>
      <c r="AS506" s="163">
        <f t="shared" si="608"/>
        <v>1.7167687758556691</v>
      </c>
      <c r="AT506" s="164">
        <f t="shared" si="609"/>
        <v>1.7167687758556691</v>
      </c>
      <c r="AU506" s="165"/>
      <c r="AV506" s="166"/>
      <c r="AW506" s="167"/>
      <c r="AX506" s="146"/>
      <c r="AY506" s="168"/>
    </row>
    <row r="507" spans="1:51" s="139" customFormat="1" ht="11.25" x14ac:dyDescent="0.25">
      <c r="A507" s="1"/>
      <c r="B507" s="140">
        <v>6</v>
      </c>
      <c r="C507" s="360" t="s">
        <v>523</v>
      </c>
      <c r="D507" s="142"/>
      <c r="E507" s="143"/>
      <c r="F507" s="143"/>
      <c r="G507" s="143"/>
      <c r="H507" s="143"/>
      <c r="I507" s="143"/>
      <c r="J507" s="143"/>
      <c r="K507" s="143"/>
      <c r="L507" s="143"/>
      <c r="M507" s="143"/>
      <c r="N507" s="222"/>
      <c r="O507" s="222"/>
      <c r="P507" s="145"/>
      <c r="Q507" s="223">
        <f t="shared" si="589"/>
        <v>0</v>
      </c>
      <c r="R507" s="147">
        <f t="shared" si="590"/>
        <v>0</v>
      </c>
      <c r="S507" s="147">
        <f t="shared" si="591"/>
        <v>0</v>
      </c>
      <c r="T507" s="148">
        <f t="shared" si="592"/>
        <v>0</v>
      </c>
      <c r="U507" s="199"/>
      <c r="V507" s="150"/>
      <c r="W507" s="151"/>
      <c r="X507" s="151"/>
      <c r="Y507" s="152"/>
      <c r="Z507" s="153"/>
      <c r="AA507" s="153"/>
      <c r="AB507" s="154"/>
      <c r="AC507" s="155">
        <f t="shared" si="593"/>
        <v>0</v>
      </c>
      <c r="AD507" s="156">
        <f t="shared" si="594"/>
        <v>0</v>
      </c>
      <c r="AE507" s="156">
        <f t="shared" si="595"/>
        <v>0</v>
      </c>
      <c r="AF507" s="156">
        <f t="shared" si="596"/>
        <v>0</v>
      </c>
      <c r="AG507" s="156">
        <f t="shared" si="597"/>
        <v>0</v>
      </c>
      <c r="AH507" s="156">
        <f t="shared" si="598"/>
        <v>0</v>
      </c>
      <c r="AI507" s="156">
        <f t="shared" si="599"/>
        <v>0</v>
      </c>
      <c r="AJ507" s="156">
        <f t="shared" si="600"/>
        <v>0</v>
      </c>
      <c r="AK507" s="156">
        <f t="shared" si="601"/>
        <v>0</v>
      </c>
      <c r="AL507" s="156">
        <f t="shared" si="602"/>
        <v>0</v>
      </c>
      <c r="AM507" s="157">
        <f t="shared" si="603"/>
        <v>0</v>
      </c>
      <c r="AN507" s="158">
        <f t="shared" si="604"/>
        <v>2200</v>
      </c>
      <c r="AO507" s="159">
        <v>0.2</v>
      </c>
      <c r="AP507" s="160">
        <f t="shared" si="605"/>
        <v>0</v>
      </c>
      <c r="AQ507" s="161">
        <f t="shared" si="606"/>
        <v>0</v>
      </c>
      <c r="AR507" s="162">
        <f t="shared" si="607"/>
        <v>0</v>
      </c>
      <c r="AS507" s="163">
        <f t="shared" si="608"/>
        <v>0</v>
      </c>
      <c r="AT507" s="164">
        <f t="shared" si="609"/>
        <v>0</v>
      </c>
      <c r="AU507" s="165"/>
      <c r="AV507" s="166"/>
      <c r="AW507" s="167"/>
      <c r="AX507" s="146"/>
      <c r="AY507" s="168"/>
    </row>
    <row r="508" spans="1:51" s="190" customFormat="1" ht="16.7" customHeight="1" x14ac:dyDescent="0.25">
      <c r="A508" s="173"/>
      <c r="B508" s="120"/>
      <c r="C508" s="352" t="s">
        <v>524</v>
      </c>
      <c r="D508" s="240">
        <f t="shared" ref="D508:U508" si="610">SUM(D502:D507)</f>
        <v>0</v>
      </c>
      <c r="E508" s="240">
        <f t="shared" si="610"/>
        <v>0</v>
      </c>
      <c r="F508" s="240">
        <f t="shared" si="610"/>
        <v>0</v>
      </c>
      <c r="G508" s="240">
        <f t="shared" si="610"/>
        <v>0</v>
      </c>
      <c r="H508" s="240">
        <f t="shared" si="610"/>
        <v>0</v>
      </c>
      <c r="I508" s="240">
        <f t="shared" si="610"/>
        <v>0</v>
      </c>
      <c r="J508" s="240">
        <f t="shared" si="610"/>
        <v>0</v>
      </c>
      <c r="K508" s="240">
        <f t="shared" si="610"/>
        <v>0</v>
      </c>
      <c r="L508" s="240">
        <f t="shared" si="610"/>
        <v>0</v>
      </c>
      <c r="M508" s="240">
        <f t="shared" si="610"/>
        <v>0</v>
      </c>
      <c r="N508" s="240">
        <f t="shared" si="610"/>
        <v>0</v>
      </c>
      <c r="O508" s="240">
        <f t="shared" si="610"/>
        <v>1189203</v>
      </c>
      <c r="P508" s="240">
        <f t="shared" si="610"/>
        <v>0</v>
      </c>
      <c r="Q508" s="240">
        <f t="shared" si="610"/>
        <v>1189203</v>
      </c>
      <c r="R508" s="240">
        <f t="shared" si="610"/>
        <v>130812.33</v>
      </c>
      <c r="S508" s="240">
        <f t="shared" si="610"/>
        <v>358.38994520547942</v>
      </c>
      <c r="T508" s="240">
        <f t="shared" si="610"/>
        <v>78487.397999999986</v>
      </c>
      <c r="U508" s="199">
        <f t="shared" si="610"/>
        <v>0</v>
      </c>
      <c r="V508" s="241"/>
      <c r="W508" s="242">
        <f>SUM(W502:W507)</f>
        <v>0</v>
      </c>
      <c r="X508" s="242">
        <f>SUM(X502:X507)</f>
        <v>0</v>
      </c>
      <c r="Y508" s="242">
        <f>SUM(Y502:Y507)</f>
        <v>0</v>
      </c>
      <c r="Z508" s="199"/>
      <c r="AA508" s="199"/>
      <c r="AB508" s="243"/>
      <c r="AC508" s="240">
        <f t="shared" ref="AC508:AM508" si="611">SUM(AC502:AC507)</f>
        <v>45522.690839999996</v>
      </c>
      <c r="AD508" s="244">
        <f t="shared" si="611"/>
        <v>10203.36174</v>
      </c>
      <c r="AE508" s="244">
        <f t="shared" si="611"/>
        <v>6887.2691744999993</v>
      </c>
      <c r="AF508" s="244">
        <f t="shared" si="611"/>
        <v>3139.4959199999998</v>
      </c>
      <c r="AG508" s="244">
        <f t="shared" si="611"/>
        <v>1569.7479599999999</v>
      </c>
      <c r="AH508" s="244">
        <f t="shared" si="611"/>
        <v>1569.7479599999999</v>
      </c>
      <c r="AI508" s="244">
        <f t="shared" si="611"/>
        <v>784.87397999999996</v>
      </c>
      <c r="AJ508" s="244">
        <f t="shared" si="611"/>
        <v>1569.7479599999999</v>
      </c>
      <c r="AK508" s="244">
        <f t="shared" si="611"/>
        <v>1569.7479599999999</v>
      </c>
      <c r="AL508" s="244">
        <f t="shared" si="611"/>
        <v>5494.1178600000003</v>
      </c>
      <c r="AM508" s="245">
        <f t="shared" si="611"/>
        <v>24154.496734499997</v>
      </c>
      <c r="AN508" s="158"/>
      <c r="AO508" s="183"/>
      <c r="AP508" s="184">
        <f>SUM(AP502:AP507)</f>
        <v>641793787.6612165</v>
      </c>
      <c r="AQ508" s="184">
        <f>SUM(AQ502:AQ507)</f>
        <v>178276.06639019985</v>
      </c>
      <c r="AR508" s="184">
        <f>SUM(AR502:AR507)</f>
        <v>35655.21327803997</v>
      </c>
      <c r="AS508" s="185">
        <f>SUM(AS502:AS507)</f>
        <v>5.0877872828253388</v>
      </c>
      <c r="AT508" s="186">
        <f>SUM(AT502:AT507)</f>
        <v>5.0877872828253388</v>
      </c>
      <c r="AU508" s="187"/>
      <c r="AV508" s="246">
        <f>SUM(AV506:AV507)</f>
        <v>0</v>
      </c>
      <c r="AW508" s="246"/>
      <c r="AX508" s="185">
        <f>SUM(AX506:AX507)</f>
        <v>0</v>
      </c>
      <c r="AY508" s="189"/>
    </row>
    <row r="510" spans="1:51" s="139" customFormat="1" ht="15" customHeight="1" x14ac:dyDescent="0.25">
      <c r="A510" s="1"/>
      <c r="B510" s="126"/>
      <c r="C510" s="352" t="s">
        <v>525</v>
      </c>
      <c r="D510" s="122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213"/>
      <c r="Q510" s="76"/>
      <c r="R510" s="108"/>
      <c r="S510" s="108"/>
      <c r="T510" s="94"/>
      <c r="U510" s="199"/>
      <c r="V510" s="179"/>
      <c r="W510" s="180"/>
      <c r="X510" s="180"/>
      <c r="Y510" s="214"/>
      <c r="Z510" s="181"/>
      <c r="AA510" s="181"/>
      <c r="AB510" s="182"/>
      <c r="AC510" s="62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125"/>
      <c r="AN510" s="75"/>
      <c r="AO510" s="216"/>
      <c r="AP510" s="75"/>
      <c r="AQ510" s="51"/>
      <c r="AR510" s="217"/>
      <c r="AS510" s="218"/>
      <c r="AT510" s="219"/>
      <c r="AU510" s="220"/>
      <c r="AV510" s="135"/>
      <c r="AW510" s="136"/>
      <c r="AX510" s="137"/>
      <c r="AY510" s="138"/>
    </row>
    <row r="511" spans="1:51" s="139" customFormat="1" ht="11.25" x14ac:dyDescent="0.25">
      <c r="A511" s="1"/>
      <c r="B511" s="140">
        <v>1</v>
      </c>
      <c r="C511" s="361" t="s">
        <v>526</v>
      </c>
      <c r="D511" s="142"/>
      <c r="E511" s="143"/>
      <c r="F511" s="143"/>
      <c r="G511" s="143"/>
      <c r="H511" s="143"/>
      <c r="I511" s="143"/>
      <c r="J511" s="143"/>
      <c r="K511" s="143"/>
      <c r="L511" s="143"/>
      <c r="M511" s="143"/>
      <c r="N511" s="222"/>
      <c r="O511" s="222">
        <v>123283</v>
      </c>
      <c r="P511" s="145"/>
      <c r="Q511" s="223">
        <f>MAX(D511:P511)</f>
        <v>123283</v>
      </c>
      <c r="R511" s="147">
        <f>Q511*$R$10</f>
        <v>13561.13</v>
      </c>
      <c r="S511" s="147">
        <f t="shared" ref="S511:S534" si="612">R511/$S$5</f>
        <v>37.153780821917806</v>
      </c>
      <c r="T511" s="148">
        <f>S511*$T$5*$T$10</f>
        <v>8136.677999999999</v>
      </c>
      <c r="U511" s="199"/>
      <c r="V511" s="150"/>
      <c r="W511" s="151"/>
      <c r="X511" s="151"/>
      <c r="Y511" s="152"/>
      <c r="Z511" s="153"/>
      <c r="AA511" s="153"/>
      <c r="AB511" s="154"/>
      <c r="AC511" s="155">
        <f t="shared" ref="AC511:AC534" si="613">T511*$AC$5</f>
        <v>4719.2732399999995</v>
      </c>
      <c r="AD511" s="156">
        <f t="shared" ref="AD511:AD534" si="614">T511*$AD$5</f>
        <v>1057.7681399999999</v>
      </c>
      <c r="AE511" s="156">
        <f t="shared" ref="AE511:AE534" si="615">T511*$AE$5</f>
        <v>713.99349449999988</v>
      </c>
      <c r="AF511" s="156">
        <f t="shared" ref="AF511:AF534" si="616">T511*$AF$5</f>
        <v>325.46711999999997</v>
      </c>
      <c r="AG511" s="156">
        <f t="shared" ref="AG511:AG534" si="617">T511*$AG$5</f>
        <v>162.73355999999998</v>
      </c>
      <c r="AH511" s="156">
        <f t="shared" ref="AH511:AH534" si="618">T511*$AH$5</f>
        <v>162.73355999999998</v>
      </c>
      <c r="AI511" s="156">
        <f t="shared" ref="AI511:AI534" si="619">T511*$AI$5</f>
        <v>81.366779999999991</v>
      </c>
      <c r="AJ511" s="156">
        <f t="shared" ref="AJ511:AJ534" si="620">T511*$AJ$5</f>
        <v>162.73355999999998</v>
      </c>
      <c r="AK511" s="156">
        <f t="shared" ref="AK511:AK534" si="621">T511*$AK$5</f>
        <v>162.73355999999998</v>
      </c>
      <c r="AL511" s="156">
        <f t="shared" ref="AL511:AL534" si="622">T511*$AL$5</f>
        <v>569.56745999999998</v>
      </c>
      <c r="AM511" s="157">
        <f t="shared" ref="AM511:AM534" si="623">SUM(AD511:AI511)</f>
        <v>2504.0626544999996</v>
      </c>
      <c r="AN511" s="158">
        <f t="shared" ref="AN511:AN534" si="624">$AN$5</f>
        <v>2200</v>
      </c>
      <c r="AO511" s="159">
        <v>0.2</v>
      </c>
      <c r="AP511" s="160">
        <f t="shared" ref="AP511:AP534" si="625">(AC511+AM511)*AN511*$AP$5</f>
        <v>66533857.990803711</v>
      </c>
      <c r="AQ511" s="161">
        <f t="shared" ref="AQ511:AQ534" si="626">AP511*$AQ$5</f>
        <v>18481.628698197874</v>
      </c>
      <c r="AR511" s="162">
        <f t="shared" ref="AR511:AR534" si="627">AQ511*$AR$5</f>
        <v>3696.3257396395747</v>
      </c>
      <c r="AS511" s="163">
        <f t="shared" ref="AS511:AS534" si="628">AR511/$AS$5</f>
        <v>0.52744374138692562</v>
      </c>
      <c r="AT511" s="164">
        <f t="shared" ref="AT511:AT534" si="629">AS511</f>
        <v>0.52744374138692562</v>
      </c>
      <c r="AU511" s="165"/>
      <c r="AV511" s="166"/>
      <c r="AW511" s="167"/>
      <c r="AX511" s="146"/>
      <c r="AY511" s="168"/>
    </row>
    <row r="512" spans="1:51" s="139" customFormat="1" ht="11.25" x14ac:dyDescent="0.25">
      <c r="A512" s="1"/>
      <c r="B512" s="140">
        <v>2</v>
      </c>
      <c r="C512" s="361" t="s">
        <v>527</v>
      </c>
      <c r="D512" s="142"/>
      <c r="E512" s="143"/>
      <c r="F512" s="143"/>
      <c r="G512" s="143"/>
      <c r="H512" s="143"/>
      <c r="I512" s="143"/>
      <c r="J512" s="143"/>
      <c r="K512" s="143"/>
      <c r="L512" s="143"/>
      <c r="M512" s="143"/>
      <c r="N512" s="222"/>
      <c r="O512" s="222">
        <v>398531</v>
      </c>
      <c r="P512" s="145"/>
      <c r="Q512" s="223">
        <f t="shared" ref="Q512:Q534" si="630">MAX(D512:P512)</f>
        <v>398531</v>
      </c>
      <c r="R512" s="147">
        <f>Q512*$R$10</f>
        <v>43838.41</v>
      </c>
      <c r="S512" s="147">
        <f t="shared" si="612"/>
        <v>120.10523287671234</v>
      </c>
      <c r="T512" s="148">
        <f>S512*$T$5*$T$10</f>
        <v>26303.046000000002</v>
      </c>
      <c r="U512" s="199"/>
      <c r="V512" s="150"/>
      <c r="W512" s="151"/>
      <c r="X512" s="151"/>
      <c r="Y512" s="152"/>
      <c r="Z512" s="153"/>
      <c r="AA512" s="153"/>
      <c r="AB512" s="154"/>
      <c r="AC512" s="155">
        <f t="shared" si="613"/>
        <v>15255.766680000001</v>
      </c>
      <c r="AD512" s="156">
        <f t="shared" si="614"/>
        <v>3419.3959800000002</v>
      </c>
      <c r="AE512" s="156">
        <f t="shared" si="615"/>
        <v>2308.0922865000002</v>
      </c>
      <c r="AF512" s="156">
        <f t="shared" si="616"/>
        <v>1052.12184</v>
      </c>
      <c r="AG512" s="156">
        <f t="shared" si="617"/>
        <v>526.06092000000001</v>
      </c>
      <c r="AH512" s="156">
        <f t="shared" si="618"/>
        <v>526.06092000000001</v>
      </c>
      <c r="AI512" s="156">
        <f t="shared" si="619"/>
        <v>263.03046000000001</v>
      </c>
      <c r="AJ512" s="156">
        <f t="shared" si="620"/>
        <v>526.06092000000001</v>
      </c>
      <c r="AK512" s="156">
        <f t="shared" si="621"/>
        <v>526.06092000000001</v>
      </c>
      <c r="AL512" s="156">
        <f t="shared" si="622"/>
        <v>1841.2132200000003</v>
      </c>
      <c r="AM512" s="157">
        <f t="shared" si="623"/>
        <v>8094.7624065</v>
      </c>
      <c r="AN512" s="158">
        <f t="shared" si="624"/>
        <v>2200</v>
      </c>
      <c r="AO512" s="159">
        <v>0.2</v>
      </c>
      <c r="AP512" s="160">
        <f t="shared" si="625"/>
        <v>215080789.39458802</v>
      </c>
      <c r="AQ512" s="161">
        <f t="shared" si="626"/>
        <v>59744.668500291991</v>
      </c>
      <c r="AR512" s="162">
        <f t="shared" si="627"/>
        <v>11948.933700058398</v>
      </c>
      <c r="AS512" s="163">
        <f t="shared" si="628"/>
        <v>1.7050419092549085</v>
      </c>
      <c r="AT512" s="164">
        <f t="shared" si="629"/>
        <v>1.7050419092549085</v>
      </c>
      <c r="AU512" s="165"/>
      <c r="AV512" s="166"/>
      <c r="AW512" s="167"/>
      <c r="AX512" s="146"/>
      <c r="AY512" s="168"/>
    </row>
    <row r="513" spans="1:51" s="139" customFormat="1" ht="11.25" x14ac:dyDescent="0.25">
      <c r="A513" s="1"/>
      <c r="B513" s="140">
        <v>3</v>
      </c>
      <c r="C513" s="361" t="s">
        <v>528</v>
      </c>
      <c r="D513" s="142"/>
      <c r="E513" s="143"/>
      <c r="F513" s="143"/>
      <c r="G513" s="143"/>
      <c r="H513" s="143"/>
      <c r="I513" s="143"/>
      <c r="J513" s="143"/>
      <c r="K513" s="143"/>
      <c r="L513" s="143"/>
      <c r="M513" s="143"/>
      <c r="N513" s="222"/>
      <c r="O513" s="222">
        <v>178477</v>
      </c>
      <c r="P513" s="145"/>
      <c r="Q513" s="223">
        <f t="shared" si="630"/>
        <v>178477</v>
      </c>
      <c r="R513" s="147">
        <f>Q513*$R$10</f>
        <v>19632.47</v>
      </c>
      <c r="S513" s="147">
        <f t="shared" si="612"/>
        <v>53.787589041095892</v>
      </c>
      <c r="T513" s="148">
        <f>S513*$T$5*$T$10</f>
        <v>11779.482</v>
      </c>
      <c r="U513" s="199"/>
      <c r="V513" s="150"/>
      <c r="W513" s="151"/>
      <c r="X513" s="151"/>
      <c r="Y513" s="152"/>
      <c r="Z513" s="153"/>
      <c r="AA513" s="153"/>
      <c r="AB513" s="154"/>
      <c r="AC513" s="155">
        <f t="shared" si="613"/>
        <v>6832.0995599999997</v>
      </c>
      <c r="AD513" s="156">
        <f t="shared" si="614"/>
        <v>1531.33266</v>
      </c>
      <c r="AE513" s="156">
        <f t="shared" si="615"/>
        <v>1033.6495454999999</v>
      </c>
      <c r="AF513" s="156">
        <f t="shared" si="616"/>
        <v>471.17928000000001</v>
      </c>
      <c r="AG513" s="156">
        <f t="shared" si="617"/>
        <v>235.58964</v>
      </c>
      <c r="AH513" s="156">
        <f t="shared" si="618"/>
        <v>235.58964</v>
      </c>
      <c r="AI513" s="156">
        <f t="shared" si="619"/>
        <v>117.79482</v>
      </c>
      <c r="AJ513" s="156">
        <f t="shared" si="620"/>
        <v>235.58964</v>
      </c>
      <c r="AK513" s="156">
        <f t="shared" si="621"/>
        <v>235.58964</v>
      </c>
      <c r="AL513" s="156">
        <f t="shared" si="622"/>
        <v>824.56374000000005</v>
      </c>
      <c r="AM513" s="157">
        <f t="shared" si="623"/>
        <v>3625.1355855000002</v>
      </c>
      <c r="AN513" s="158">
        <f t="shared" si="624"/>
        <v>2200</v>
      </c>
      <c r="AO513" s="159">
        <v>0.2</v>
      </c>
      <c r="AP513" s="160">
        <f t="shared" si="625"/>
        <v>96321174.635794669</v>
      </c>
      <c r="AQ513" s="161">
        <f t="shared" si="626"/>
        <v>26755.883983746844</v>
      </c>
      <c r="AR513" s="162">
        <f t="shared" si="627"/>
        <v>5351.1767967493688</v>
      </c>
      <c r="AS513" s="163">
        <f t="shared" si="628"/>
        <v>0.76358116391971587</v>
      </c>
      <c r="AT513" s="164">
        <f t="shared" si="629"/>
        <v>0.76358116391971587</v>
      </c>
      <c r="AU513" s="165"/>
      <c r="AV513" s="166"/>
      <c r="AW513" s="167"/>
      <c r="AX513" s="146"/>
      <c r="AY513" s="168"/>
    </row>
    <row r="514" spans="1:51" s="139" customFormat="1" ht="11.25" x14ac:dyDescent="0.25">
      <c r="A514" s="1"/>
      <c r="B514" s="140">
        <v>4</v>
      </c>
      <c r="C514" s="361" t="s">
        <v>529</v>
      </c>
      <c r="D514" s="142"/>
      <c r="E514" s="143"/>
      <c r="F514" s="143"/>
      <c r="G514" s="143"/>
      <c r="H514" s="143"/>
      <c r="I514" s="143"/>
      <c r="J514" s="143"/>
      <c r="K514" s="143"/>
      <c r="L514" s="143"/>
      <c r="M514" s="143"/>
      <c r="N514" s="222"/>
      <c r="O514" s="222">
        <v>346149</v>
      </c>
      <c r="P514" s="145"/>
      <c r="Q514" s="223">
        <f t="shared" si="630"/>
        <v>346149</v>
      </c>
      <c r="R514" s="147">
        <f>Q514*$R$10</f>
        <v>38076.39</v>
      </c>
      <c r="S514" s="147">
        <f t="shared" si="612"/>
        <v>104.31887671232876</v>
      </c>
      <c r="T514" s="148">
        <f>S514*$T$5*$T$10</f>
        <v>22845.833999999999</v>
      </c>
      <c r="U514" s="199"/>
      <c r="V514" s="150"/>
      <c r="W514" s="151"/>
      <c r="X514" s="151"/>
      <c r="Y514" s="152"/>
      <c r="Z514" s="153"/>
      <c r="AA514" s="153"/>
      <c r="AB514" s="154"/>
      <c r="AC514" s="155">
        <f t="shared" si="613"/>
        <v>13250.583719999999</v>
      </c>
      <c r="AD514" s="156">
        <f t="shared" si="614"/>
        <v>2969.9584199999999</v>
      </c>
      <c r="AE514" s="156">
        <f t="shared" si="615"/>
        <v>2004.7219334999997</v>
      </c>
      <c r="AF514" s="156">
        <f t="shared" si="616"/>
        <v>913.83335999999997</v>
      </c>
      <c r="AG514" s="156">
        <f t="shared" si="617"/>
        <v>456.91667999999999</v>
      </c>
      <c r="AH514" s="156">
        <f t="shared" si="618"/>
        <v>456.91667999999999</v>
      </c>
      <c r="AI514" s="156">
        <f t="shared" si="619"/>
        <v>228.45833999999999</v>
      </c>
      <c r="AJ514" s="156">
        <f t="shared" si="620"/>
        <v>456.91667999999999</v>
      </c>
      <c r="AK514" s="156">
        <f t="shared" si="621"/>
        <v>456.91667999999999</v>
      </c>
      <c r="AL514" s="156">
        <f t="shared" si="622"/>
        <v>1599.20838</v>
      </c>
      <c r="AM514" s="157">
        <f t="shared" si="623"/>
        <v>7030.8054135000002</v>
      </c>
      <c r="AN514" s="158">
        <f t="shared" si="624"/>
        <v>2200</v>
      </c>
      <c r="AO514" s="159">
        <v>0.2</v>
      </c>
      <c r="AP514" s="160">
        <f t="shared" si="625"/>
        <v>186811064.05310315</v>
      </c>
      <c r="AQ514" s="161">
        <f t="shared" si="626"/>
        <v>51891.966388330075</v>
      </c>
      <c r="AR514" s="162">
        <f t="shared" si="627"/>
        <v>10378.393277666015</v>
      </c>
      <c r="AS514" s="163">
        <f t="shared" si="628"/>
        <v>1.4809351138222053</v>
      </c>
      <c r="AT514" s="164">
        <f t="shared" si="629"/>
        <v>1.4809351138222053</v>
      </c>
      <c r="AU514" s="165"/>
      <c r="AV514" s="166"/>
      <c r="AW514" s="167"/>
      <c r="AX514" s="146"/>
      <c r="AY514" s="168"/>
    </row>
    <row r="515" spans="1:51" s="139" customFormat="1" ht="11.25" x14ac:dyDescent="0.25">
      <c r="A515" s="1"/>
      <c r="B515" s="140">
        <v>5</v>
      </c>
      <c r="C515" s="361" t="s">
        <v>530</v>
      </c>
      <c r="D515" s="142"/>
      <c r="E515" s="143"/>
      <c r="F515" s="143"/>
      <c r="G515" s="143"/>
      <c r="H515" s="143"/>
      <c r="I515" s="143"/>
      <c r="J515" s="143"/>
      <c r="K515" s="143"/>
      <c r="L515" s="143"/>
      <c r="M515" s="143"/>
      <c r="N515" s="222"/>
      <c r="O515" s="222">
        <v>272316</v>
      </c>
      <c r="P515" s="145"/>
      <c r="Q515" s="223">
        <f t="shared" si="630"/>
        <v>272316</v>
      </c>
      <c r="R515" s="147">
        <f>Q515*$R$10</f>
        <v>29954.76</v>
      </c>
      <c r="S515" s="147">
        <f t="shared" si="612"/>
        <v>82.067835616438359</v>
      </c>
      <c r="T515" s="148">
        <f>S515*$T$5*$T$10</f>
        <v>17972.856</v>
      </c>
      <c r="U515" s="199"/>
      <c r="V515" s="150"/>
      <c r="W515" s="151"/>
      <c r="X515" s="151"/>
      <c r="Y515" s="152"/>
      <c r="Z515" s="153"/>
      <c r="AA515" s="153"/>
      <c r="AB515" s="154"/>
      <c r="AC515" s="155">
        <f t="shared" si="613"/>
        <v>10424.25648</v>
      </c>
      <c r="AD515" s="156">
        <f t="shared" si="614"/>
        <v>2336.4712800000002</v>
      </c>
      <c r="AE515" s="156">
        <f t="shared" si="615"/>
        <v>1577.1181139999999</v>
      </c>
      <c r="AF515" s="156">
        <f t="shared" si="616"/>
        <v>718.91423999999995</v>
      </c>
      <c r="AG515" s="156">
        <f t="shared" si="617"/>
        <v>359.45711999999997</v>
      </c>
      <c r="AH515" s="156">
        <f t="shared" si="618"/>
        <v>359.45711999999997</v>
      </c>
      <c r="AI515" s="156">
        <f t="shared" si="619"/>
        <v>179.72855999999999</v>
      </c>
      <c r="AJ515" s="156">
        <f t="shared" si="620"/>
        <v>359.45711999999997</v>
      </c>
      <c r="AK515" s="156">
        <f t="shared" si="621"/>
        <v>359.45711999999997</v>
      </c>
      <c r="AL515" s="156">
        <f t="shared" si="622"/>
        <v>1258.0999200000001</v>
      </c>
      <c r="AM515" s="157">
        <f t="shared" si="623"/>
        <v>5531.1464339999993</v>
      </c>
      <c r="AN515" s="158">
        <f t="shared" si="624"/>
        <v>2200</v>
      </c>
      <c r="AO515" s="159">
        <v>0.2</v>
      </c>
      <c r="AP515" s="160">
        <f t="shared" si="625"/>
        <v>146964578.02473742</v>
      </c>
      <c r="AQ515" s="161">
        <f t="shared" si="626"/>
        <v>40823.497161639905</v>
      </c>
      <c r="AR515" s="162">
        <f t="shared" si="627"/>
        <v>8164.6994323279814</v>
      </c>
      <c r="AS515" s="163">
        <f t="shared" si="628"/>
        <v>1.1650541427408649</v>
      </c>
      <c r="AT515" s="164">
        <f t="shared" si="629"/>
        <v>1.1650541427408649</v>
      </c>
      <c r="AU515" s="165"/>
      <c r="AV515" s="166"/>
      <c r="AW515" s="167"/>
      <c r="AX515" s="146"/>
      <c r="AY515" s="168"/>
    </row>
    <row r="516" spans="1:51" s="139" customFormat="1" ht="11.25" x14ac:dyDescent="0.25">
      <c r="A516" s="1"/>
      <c r="B516" s="140">
        <v>6</v>
      </c>
      <c r="C516" s="361" t="s">
        <v>531</v>
      </c>
      <c r="D516" s="142"/>
      <c r="E516" s="143"/>
      <c r="F516" s="143"/>
      <c r="G516" s="143"/>
      <c r="H516" s="143"/>
      <c r="I516" s="143"/>
      <c r="J516" s="143"/>
      <c r="K516" s="143"/>
      <c r="L516" s="143"/>
      <c r="M516" s="143"/>
      <c r="N516" s="222"/>
      <c r="O516" s="222">
        <v>659512</v>
      </c>
      <c r="P516" s="145"/>
      <c r="Q516" s="223">
        <f t="shared" si="630"/>
        <v>659512</v>
      </c>
      <c r="R516" s="147">
        <f>Q516*$R$9</f>
        <v>96288.751999999993</v>
      </c>
      <c r="S516" s="147">
        <f t="shared" si="612"/>
        <v>263.8048</v>
      </c>
      <c r="T516" s="148">
        <f>S516*$T$5*$T$9</f>
        <v>67402.126399999994</v>
      </c>
      <c r="U516" s="199"/>
      <c r="V516" s="150"/>
      <c r="W516" s="151"/>
      <c r="X516" s="151"/>
      <c r="Y516" s="152"/>
      <c r="Z516" s="153"/>
      <c r="AA516" s="153"/>
      <c r="AB516" s="154"/>
      <c r="AC516" s="155">
        <f t="shared" si="613"/>
        <v>39093.233311999997</v>
      </c>
      <c r="AD516" s="156">
        <f t="shared" si="614"/>
        <v>8762.2764319999987</v>
      </c>
      <c r="AE516" s="156">
        <f t="shared" si="615"/>
        <v>5914.5365915999992</v>
      </c>
      <c r="AF516" s="156">
        <f t="shared" si="616"/>
        <v>2696.0850559999999</v>
      </c>
      <c r="AG516" s="156">
        <f t="shared" si="617"/>
        <v>1348.0425279999999</v>
      </c>
      <c r="AH516" s="156">
        <f t="shared" si="618"/>
        <v>1348.0425279999999</v>
      </c>
      <c r="AI516" s="156">
        <f t="shared" si="619"/>
        <v>674.02126399999997</v>
      </c>
      <c r="AJ516" s="156">
        <f t="shared" si="620"/>
        <v>1348.0425279999999</v>
      </c>
      <c r="AK516" s="156">
        <f t="shared" si="621"/>
        <v>1348.0425279999999</v>
      </c>
      <c r="AL516" s="156">
        <f t="shared" si="622"/>
        <v>4718.1488479999998</v>
      </c>
      <c r="AM516" s="157">
        <f t="shared" si="623"/>
        <v>20743.004399599991</v>
      </c>
      <c r="AN516" s="158">
        <f t="shared" si="624"/>
        <v>2200</v>
      </c>
      <c r="AO516" s="159">
        <v>0.2</v>
      </c>
      <c r="AP516" s="160">
        <f t="shared" si="625"/>
        <v>551149192.11203897</v>
      </c>
      <c r="AQ516" s="161">
        <f t="shared" si="626"/>
        <v>153097.01005665955</v>
      </c>
      <c r="AR516" s="162">
        <f t="shared" si="627"/>
        <v>30619.402011331913</v>
      </c>
      <c r="AS516" s="163">
        <f t="shared" si="628"/>
        <v>4.3692069080096907</v>
      </c>
      <c r="AT516" s="164">
        <f t="shared" si="629"/>
        <v>4.3692069080096907</v>
      </c>
      <c r="AU516" s="165"/>
      <c r="AV516" s="166"/>
      <c r="AW516" s="167"/>
      <c r="AX516" s="146"/>
      <c r="AY516" s="168"/>
    </row>
    <row r="517" spans="1:51" s="139" customFormat="1" ht="11.25" x14ac:dyDescent="0.25">
      <c r="A517" s="1"/>
      <c r="B517" s="140">
        <v>7</v>
      </c>
      <c r="C517" s="361" t="s">
        <v>532</v>
      </c>
      <c r="D517" s="142"/>
      <c r="E517" s="143"/>
      <c r="F517" s="143"/>
      <c r="G517" s="143"/>
      <c r="H517" s="143"/>
      <c r="I517" s="143"/>
      <c r="J517" s="143"/>
      <c r="K517" s="143"/>
      <c r="L517" s="143"/>
      <c r="M517" s="143"/>
      <c r="N517" s="222"/>
      <c r="O517" s="222">
        <v>231182</v>
      </c>
      <c r="P517" s="145"/>
      <c r="Q517" s="223">
        <f t="shared" si="630"/>
        <v>231182</v>
      </c>
      <c r="R517" s="147">
        <f>Q517*$R$10</f>
        <v>25430.02</v>
      </c>
      <c r="S517" s="147">
        <f t="shared" si="612"/>
        <v>69.671287671232875</v>
      </c>
      <c r="T517" s="148">
        <f>S517*$T$5*$T$10</f>
        <v>15258.011999999999</v>
      </c>
      <c r="U517" s="199"/>
      <c r="V517" s="150"/>
      <c r="W517" s="151"/>
      <c r="X517" s="151"/>
      <c r="Y517" s="152"/>
      <c r="Z517" s="153"/>
      <c r="AA517" s="153"/>
      <c r="AB517" s="154"/>
      <c r="AC517" s="155">
        <f t="shared" si="613"/>
        <v>8849.6469599999982</v>
      </c>
      <c r="AD517" s="156">
        <f t="shared" si="614"/>
        <v>1983.5415599999999</v>
      </c>
      <c r="AE517" s="156">
        <f t="shared" si="615"/>
        <v>1338.8905529999997</v>
      </c>
      <c r="AF517" s="156">
        <f t="shared" si="616"/>
        <v>610.32047999999998</v>
      </c>
      <c r="AG517" s="156">
        <f t="shared" si="617"/>
        <v>305.16023999999999</v>
      </c>
      <c r="AH517" s="156">
        <f t="shared" si="618"/>
        <v>305.16023999999999</v>
      </c>
      <c r="AI517" s="156">
        <f t="shared" si="619"/>
        <v>152.58011999999999</v>
      </c>
      <c r="AJ517" s="156">
        <f t="shared" si="620"/>
        <v>305.16023999999999</v>
      </c>
      <c r="AK517" s="156">
        <f t="shared" si="621"/>
        <v>305.16023999999999</v>
      </c>
      <c r="AL517" s="156">
        <f t="shared" si="622"/>
        <v>1068.0608400000001</v>
      </c>
      <c r="AM517" s="157">
        <f t="shared" si="623"/>
        <v>4695.6531929999992</v>
      </c>
      <c r="AN517" s="158">
        <f t="shared" si="624"/>
        <v>2200</v>
      </c>
      <c r="AO517" s="159">
        <v>0.2</v>
      </c>
      <c r="AP517" s="160">
        <f t="shared" si="625"/>
        <v>124765217.89727683</v>
      </c>
      <c r="AQ517" s="161">
        <f t="shared" si="626"/>
        <v>34657.007744026181</v>
      </c>
      <c r="AR517" s="162">
        <f t="shared" si="627"/>
        <v>6931.4015488052364</v>
      </c>
      <c r="AS517" s="163">
        <f t="shared" si="628"/>
        <v>0.9890698557085098</v>
      </c>
      <c r="AT517" s="164">
        <f t="shared" si="629"/>
        <v>0.9890698557085098</v>
      </c>
      <c r="AU517" s="165"/>
      <c r="AV517" s="166"/>
      <c r="AW517" s="167"/>
      <c r="AX517" s="146"/>
      <c r="AY517" s="168"/>
    </row>
    <row r="518" spans="1:51" s="139" customFormat="1" ht="11.25" x14ac:dyDescent="0.25">
      <c r="A518" s="1"/>
      <c r="B518" s="140">
        <v>8</v>
      </c>
      <c r="C518" s="361" t="s">
        <v>533</v>
      </c>
      <c r="D518" s="142"/>
      <c r="E518" s="143"/>
      <c r="F518" s="143"/>
      <c r="G518" s="143"/>
      <c r="H518" s="143"/>
      <c r="I518" s="143"/>
      <c r="J518" s="143"/>
      <c r="K518" s="143"/>
      <c r="L518" s="143"/>
      <c r="M518" s="143"/>
      <c r="N518" s="222"/>
      <c r="O518" s="222">
        <v>322212</v>
      </c>
      <c r="P518" s="145"/>
      <c r="Q518" s="223">
        <f t="shared" si="630"/>
        <v>322212</v>
      </c>
      <c r="R518" s="147">
        <f>Q518*$R$10</f>
        <v>35443.32</v>
      </c>
      <c r="S518" s="147">
        <f t="shared" si="612"/>
        <v>97.104986301369863</v>
      </c>
      <c r="T518" s="148">
        <f>S518*$T$5*$T$10</f>
        <v>21265.991999999998</v>
      </c>
      <c r="U518" s="199"/>
      <c r="V518" s="150"/>
      <c r="W518" s="151"/>
      <c r="X518" s="151"/>
      <c r="Y518" s="152"/>
      <c r="Z518" s="153"/>
      <c r="AA518" s="153"/>
      <c r="AB518" s="154"/>
      <c r="AC518" s="155">
        <f t="shared" si="613"/>
        <v>12334.275359999998</v>
      </c>
      <c r="AD518" s="156">
        <f t="shared" si="614"/>
        <v>2764.5789599999998</v>
      </c>
      <c r="AE518" s="156">
        <f t="shared" si="615"/>
        <v>1866.0907979999997</v>
      </c>
      <c r="AF518" s="156">
        <f t="shared" si="616"/>
        <v>850.63968</v>
      </c>
      <c r="AG518" s="156">
        <f t="shared" si="617"/>
        <v>425.31984</v>
      </c>
      <c r="AH518" s="156">
        <f t="shared" si="618"/>
        <v>425.31984</v>
      </c>
      <c r="AI518" s="156">
        <f t="shared" si="619"/>
        <v>212.65992</v>
      </c>
      <c r="AJ518" s="156">
        <f t="shared" si="620"/>
        <v>425.31984</v>
      </c>
      <c r="AK518" s="156">
        <f t="shared" si="621"/>
        <v>425.31984</v>
      </c>
      <c r="AL518" s="156">
        <f t="shared" si="622"/>
        <v>1488.6194399999999</v>
      </c>
      <c r="AM518" s="157">
        <f t="shared" si="623"/>
        <v>6544.6090380000005</v>
      </c>
      <c r="AN518" s="158">
        <f t="shared" si="624"/>
        <v>2200</v>
      </c>
      <c r="AO518" s="159">
        <v>0.2</v>
      </c>
      <c r="AP518" s="160">
        <f t="shared" si="625"/>
        <v>173892649.03460208</v>
      </c>
      <c r="AQ518" s="161">
        <f t="shared" si="626"/>
        <v>48303.517485003889</v>
      </c>
      <c r="AR518" s="162">
        <f t="shared" si="627"/>
        <v>9660.703497000779</v>
      </c>
      <c r="AS518" s="163">
        <f t="shared" si="628"/>
        <v>1.3785250423802482</v>
      </c>
      <c r="AT518" s="164">
        <f t="shared" si="629"/>
        <v>1.3785250423802482</v>
      </c>
      <c r="AU518" s="165"/>
      <c r="AV518" s="166"/>
      <c r="AW518" s="167"/>
      <c r="AX518" s="146"/>
      <c r="AY518" s="168"/>
    </row>
    <row r="519" spans="1:51" s="139" customFormat="1" ht="11.25" x14ac:dyDescent="0.25">
      <c r="A519" s="1"/>
      <c r="B519" s="140">
        <v>9</v>
      </c>
      <c r="C519" s="361" t="s">
        <v>534</v>
      </c>
      <c r="D519" s="142"/>
      <c r="E519" s="143"/>
      <c r="F519" s="143"/>
      <c r="G519" s="143"/>
      <c r="H519" s="143"/>
      <c r="I519" s="143"/>
      <c r="J519" s="143"/>
      <c r="K519" s="143"/>
      <c r="L519" s="143"/>
      <c r="M519" s="143"/>
      <c r="N519" s="222"/>
      <c r="O519" s="222">
        <v>308814</v>
      </c>
      <c r="P519" s="145"/>
      <c r="Q519" s="223">
        <f t="shared" si="630"/>
        <v>308814</v>
      </c>
      <c r="R519" s="147">
        <f>Q519*$R$10</f>
        <v>33969.54</v>
      </c>
      <c r="S519" s="147">
        <f t="shared" si="612"/>
        <v>93.067232876712325</v>
      </c>
      <c r="T519" s="148">
        <f>S519*$T$5*$T$10</f>
        <v>20381.723999999998</v>
      </c>
      <c r="U519" s="199"/>
      <c r="V519" s="150"/>
      <c r="W519" s="151"/>
      <c r="X519" s="151"/>
      <c r="Y519" s="152"/>
      <c r="Z519" s="153"/>
      <c r="AA519" s="153"/>
      <c r="AB519" s="154"/>
      <c r="AC519" s="155">
        <f t="shared" si="613"/>
        <v>11821.399919999998</v>
      </c>
      <c r="AD519" s="156">
        <f t="shared" si="614"/>
        <v>2649.6241199999999</v>
      </c>
      <c r="AE519" s="156">
        <f t="shared" si="615"/>
        <v>1788.4962809999997</v>
      </c>
      <c r="AF519" s="156">
        <f t="shared" si="616"/>
        <v>815.26895999999999</v>
      </c>
      <c r="AG519" s="156">
        <f t="shared" si="617"/>
        <v>407.63448</v>
      </c>
      <c r="AH519" s="156">
        <f t="shared" si="618"/>
        <v>407.63448</v>
      </c>
      <c r="AI519" s="156">
        <f t="shared" si="619"/>
        <v>203.81724</v>
      </c>
      <c r="AJ519" s="156">
        <f t="shared" si="620"/>
        <v>407.63448</v>
      </c>
      <c r="AK519" s="156">
        <f t="shared" si="621"/>
        <v>407.63448</v>
      </c>
      <c r="AL519" s="156">
        <f t="shared" si="622"/>
        <v>1426.7206800000001</v>
      </c>
      <c r="AM519" s="157">
        <f t="shared" si="623"/>
        <v>6272.4755610000002</v>
      </c>
      <c r="AN519" s="158">
        <f t="shared" si="624"/>
        <v>2200</v>
      </c>
      <c r="AO519" s="159">
        <v>0.2</v>
      </c>
      <c r="AP519" s="160">
        <f t="shared" si="625"/>
        <v>166661963.30047175</v>
      </c>
      <c r="AQ519" s="161">
        <f t="shared" si="626"/>
        <v>46294.993509285785</v>
      </c>
      <c r="AR519" s="162">
        <f t="shared" si="627"/>
        <v>9258.9987018571574</v>
      </c>
      <c r="AS519" s="163">
        <f t="shared" si="628"/>
        <v>1.3212041526622655</v>
      </c>
      <c r="AT519" s="233">
        <f t="shared" si="629"/>
        <v>1.3212041526622655</v>
      </c>
      <c r="AU519" s="187"/>
      <c r="AV519" s="166"/>
      <c r="AW519" s="167"/>
      <c r="AX519" s="146"/>
      <c r="AY519" s="168"/>
    </row>
    <row r="520" spans="1:51" s="139" customFormat="1" ht="11.25" x14ac:dyDescent="0.25">
      <c r="A520" s="1"/>
      <c r="B520" s="140">
        <v>10</v>
      </c>
      <c r="C520" s="361" t="s">
        <v>535</v>
      </c>
      <c r="D520" s="142"/>
      <c r="E520" s="143"/>
      <c r="F520" s="143"/>
      <c r="G520" s="143"/>
      <c r="H520" s="143"/>
      <c r="I520" s="143"/>
      <c r="J520" s="143"/>
      <c r="K520" s="143"/>
      <c r="L520" s="143"/>
      <c r="M520" s="143"/>
      <c r="N520" s="222"/>
      <c r="O520" s="222">
        <v>167653</v>
      </c>
      <c r="P520" s="145"/>
      <c r="Q520" s="223">
        <f t="shared" si="630"/>
        <v>167653</v>
      </c>
      <c r="R520" s="147">
        <f>Q520*$R$10</f>
        <v>18441.830000000002</v>
      </c>
      <c r="S520" s="147">
        <f t="shared" si="612"/>
        <v>50.525561643835623</v>
      </c>
      <c r="T520" s="148">
        <f>S520*$T$5*$T$10</f>
        <v>11065.098</v>
      </c>
      <c r="U520" s="199"/>
      <c r="V520" s="150"/>
      <c r="W520" s="151"/>
      <c r="X520" s="151"/>
      <c r="Y520" s="152"/>
      <c r="Z520" s="153"/>
      <c r="AA520" s="153"/>
      <c r="AB520" s="154"/>
      <c r="AC520" s="155">
        <f t="shared" si="613"/>
        <v>6417.7568399999991</v>
      </c>
      <c r="AD520" s="156">
        <f t="shared" si="614"/>
        <v>1438.4627399999999</v>
      </c>
      <c r="AE520" s="156">
        <f t="shared" si="615"/>
        <v>970.96234949999996</v>
      </c>
      <c r="AF520" s="156">
        <f t="shared" si="616"/>
        <v>442.60392000000002</v>
      </c>
      <c r="AG520" s="156">
        <f t="shared" si="617"/>
        <v>221.30196000000001</v>
      </c>
      <c r="AH520" s="156">
        <f t="shared" si="618"/>
        <v>221.30196000000001</v>
      </c>
      <c r="AI520" s="156">
        <f t="shared" si="619"/>
        <v>110.65098</v>
      </c>
      <c r="AJ520" s="156">
        <f t="shared" si="620"/>
        <v>221.30196000000001</v>
      </c>
      <c r="AK520" s="156">
        <f t="shared" si="621"/>
        <v>221.30196000000001</v>
      </c>
      <c r="AL520" s="156">
        <f t="shared" si="622"/>
        <v>774.55686000000003</v>
      </c>
      <c r="AM520" s="157">
        <f t="shared" si="623"/>
        <v>3405.2839094999995</v>
      </c>
      <c r="AN520" s="158">
        <f t="shared" si="624"/>
        <v>2200</v>
      </c>
      <c r="AO520" s="159">
        <v>0.2</v>
      </c>
      <c r="AP520" s="160">
        <f t="shared" si="625"/>
        <v>90479635.42201449</v>
      </c>
      <c r="AQ520" s="161">
        <f t="shared" si="626"/>
        <v>25133.234072329255</v>
      </c>
      <c r="AR520" s="162">
        <f t="shared" si="627"/>
        <v>5026.6468144658511</v>
      </c>
      <c r="AS520" s="163">
        <f t="shared" si="628"/>
        <v>0.71727266188154271</v>
      </c>
      <c r="AT520" s="164">
        <f t="shared" si="629"/>
        <v>0.71727266188154271</v>
      </c>
      <c r="AU520" s="165"/>
      <c r="AV520" s="166"/>
      <c r="AW520" s="167"/>
      <c r="AX520" s="146"/>
      <c r="AY520" s="168"/>
    </row>
    <row r="521" spans="1:51" s="139" customFormat="1" ht="11.25" x14ac:dyDescent="0.25">
      <c r="A521" s="1"/>
      <c r="B521" s="140">
        <v>11</v>
      </c>
      <c r="C521" s="361" t="s">
        <v>536</v>
      </c>
      <c r="D521" s="142"/>
      <c r="E521" s="143"/>
      <c r="F521" s="143"/>
      <c r="G521" s="143"/>
      <c r="H521" s="143"/>
      <c r="I521" s="143"/>
      <c r="J521" s="143"/>
      <c r="K521" s="143"/>
      <c r="L521" s="143"/>
      <c r="M521" s="143"/>
      <c r="N521" s="222"/>
      <c r="O521" s="222">
        <v>724905</v>
      </c>
      <c r="P521" s="145"/>
      <c r="Q521" s="223">
        <f t="shared" si="630"/>
        <v>724905</v>
      </c>
      <c r="R521" s="147">
        <f>Q521*$R$9</f>
        <v>105836.12999999999</v>
      </c>
      <c r="S521" s="147">
        <f t="shared" si="612"/>
        <v>289.96199999999999</v>
      </c>
      <c r="T521" s="148">
        <f>S521*$T$5*$T$9</f>
        <v>74085.290999999983</v>
      </c>
      <c r="U521" s="199"/>
      <c r="V521" s="150"/>
      <c r="W521" s="151"/>
      <c r="X521" s="151"/>
      <c r="Y521" s="152"/>
      <c r="Z521" s="153"/>
      <c r="AA521" s="153"/>
      <c r="AB521" s="154"/>
      <c r="AC521" s="155">
        <f t="shared" si="613"/>
        <v>42969.468779999988</v>
      </c>
      <c r="AD521" s="156">
        <f t="shared" si="614"/>
        <v>9631.0878299999986</v>
      </c>
      <c r="AE521" s="156">
        <f t="shared" si="615"/>
        <v>6500.9842852499978</v>
      </c>
      <c r="AF521" s="156">
        <f t="shared" si="616"/>
        <v>2963.4116399999994</v>
      </c>
      <c r="AG521" s="156">
        <f t="shared" si="617"/>
        <v>1481.7058199999997</v>
      </c>
      <c r="AH521" s="156">
        <f t="shared" si="618"/>
        <v>1481.7058199999997</v>
      </c>
      <c r="AI521" s="156">
        <f t="shared" si="619"/>
        <v>740.85290999999984</v>
      </c>
      <c r="AJ521" s="156">
        <f t="shared" si="620"/>
        <v>1481.7058199999997</v>
      </c>
      <c r="AK521" s="156">
        <f t="shared" si="621"/>
        <v>1481.7058199999997</v>
      </c>
      <c r="AL521" s="156">
        <f t="shared" si="622"/>
        <v>5185.9703699999991</v>
      </c>
      <c r="AM521" s="157">
        <f t="shared" si="623"/>
        <v>22799.748305249996</v>
      </c>
      <c r="AN521" s="158">
        <f t="shared" si="624"/>
        <v>2200</v>
      </c>
      <c r="AO521" s="159">
        <v>0.2</v>
      </c>
      <c r="AP521" s="160">
        <f t="shared" si="625"/>
        <v>605797627.80355418</v>
      </c>
      <c r="AQ521" s="161">
        <f t="shared" si="626"/>
        <v>168277.1322964901</v>
      </c>
      <c r="AR521" s="162">
        <f t="shared" si="627"/>
        <v>33655.426459298025</v>
      </c>
      <c r="AS521" s="163">
        <f t="shared" si="628"/>
        <v>4.802429574671522</v>
      </c>
      <c r="AT521" s="164">
        <f t="shared" si="629"/>
        <v>4.802429574671522</v>
      </c>
      <c r="AU521" s="165"/>
      <c r="AV521" s="166"/>
      <c r="AW521" s="167"/>
      <c r="AX521" s="146"/>
      <c r="AY521" s="168"/>
    </row>
    <row r="522" spans="1:51" s="139" customFormat="1" ht="11.25" x14ac:dyDescent="0.25">
      <c r="A522" s="1"/>
      <c r="B522" s="140">
        <v>12</v>
      </c>
      <c r="C522" s="361" t="s">
        <v>537</v>
      </c>
      <c r="D522" s="142"/>
      <c r="E522" s="143"/>
      <c r="F522" s="143"/>
      <c r="G522" s="143"/>
      <c r="H522" s="143"/>
      <c r="I522" s="143"/>
      <c r="J522" s="143"/>
      <c r="K522" s="143"/>
      <c r="L522" s="143"/>
      <c r="M522" s="143"/>
      <c r="N522" s="222"/>
      <c r="O522" s="222">
        <v>226079</v>
      </c>
      <c r="P522" s="145"/>
      <c r="Q522" s="223">
        <f t="shared" si="630"/>
        <v>226079</v>
      </c>
      <c r="R522" s="147">
        <f t="shared" ref="R522:R534" si="631">Q522*$R$10</f>
        <v>24868.69</v>
      </c>
      <c r="S522" s="147">
        <f t="shared" si="612"/>
        <v>68.133397260273966</v>
      </c>
      <c r="T522" s="148">
        <f t="shared" ref="T522:T534" si="632">S522*$T$5*$T$10</f>
        <v>14921.213999999998</v>
      </c>
      <c r="U522" s="199"/>
      <c r="V522" s="150"/>
      <c r="W522" s="151"/>
      <c r="X522" s="151"/>
      <c r="Y522" s="152"/>
      <c r="Z522" s="153"/>
      <c r="AA522" s="153"/>
      <c r="AB522" s="154"/>
      <c r="AC522" s="155">
        <f t="shared" si="613"/>
        <v>8654.3041199999989</v>
      </c>
      <c r="AD522" s="156">
        <f t="shared" si="614"/>
        <v>1939.7578199999998</v>
      </c>
      <c r="AE522" s="156">
        <f t="shared" si="615"/>
        <v>1309.3365284999998</v>
      </c>
      <c r="AF522" s="156">
        <f t="shared" si="616"/>
        <v>596.84855999999991</v>
      </c>
      <c r="AG522" s="156">
        <f t="shared" si="617"/>
        <v>298.42427999999995</v>
      </c>
      <c r="AH522" s="156">
        <f t="shared" si="618"/>
        <v>298.42427999999995</v>
      </c>
      <c r="AI522" s="156">
        <f t="shared" si="619"/>
        <v>149.21213999999998</v>
      </c>
      <c r="AJ522" s="156">
        <f t="shared" si="620"/>
        <v>298.42427999999995</v>
      </c>
      <c r="AK522" s="156">
        <f t="shared" si="621"/>
        <v>298.42427999999995</v>
      </c>
      <c r="AL522" s="156">
        <f t="shared" si="622"/>
        <v>1044.48498</v>
      </c>
      <c r="AM522" s="157">
        <f t="shared" si="623"/>
        <v>4592.0036084999992</v>
      </c>
      <c r="AN522" s="158">
        <f t="shared" si="624"/>
        <v>2200</v>
      </c>
      <c r="AO522" s="159">
        <v>0.2</v>
      </c>
      <c r="AP522" s="160">
        <f t="shared" si="625"/>
        <v>122011210.63490434</v>
      </c>
      <c r="AQ522" s="161">
        <f t="shared" si="626"/>
        <v>33892.005665500328</v>
      </c>
      <c r="AR522" s="162">
        <f t="shared" si="627"/>
        <v>6778.4011331000656</v>
      </c>
      <c r="AS522" s="163">
        <f t="shared" si="628"/>
        <v>0.96723760460902763</v>
      </c>
      <c r="AT522" s="164">
        <f t="shared" si="629"/>
        <v>0.96723760460902763</v>
      </c>
      <c r="AU522" s="165"/>
      <c r="AV522" s="166"/>
      <c r="AW522" s="167"/>
      <c r="AX522" s="146"/>
      <c r="AY522" s="168"/>
    </row>
    <row r="523" spans="1:51" s="139" customFormat="1" ht="11.25" x14ac:dyDescent="0.25">
      <c r="A523" s="1"/>
      <c r="B523" s="140">
        <v>13</v>
      </c>
      <c r="C523" s="361" t="s">
        <v>538</v>
      </c>
      <c r="D523" s="142"/>
      <c r="E523" s="143"/>
      <c r="F523" s="143"/>
      <c r="G523" s="143"/>
      <c r="H523" s="143"/>
      <c r="I523" s="143"/>
      <c r="J523" s="143"/>
      <c r="K523" s="143"/>
      <c r="L523" s="143"/>
      <c r="M523" s="143"/>
      <c r="N523" s="222"/>
      <c r="O523" s="222">
        <v>388985</v>
      </c>
      <c r="P523" s="145"/>
      <c r="Q523" s="223">
        <f t="shared" si="630"/>
        <v>388985</v>
      </c>
      <c r="R523" s="147">
        <f t="shared" si="631"/>
        <v>42788.35</v>
      </c>
      <c r="S523" s="147">
        <f t="shared" si="612"/>
        <v>117.22835616438356</v>
      </c>
      <c r="T523" s="148">
        <f t="shared" si="632"/>
        <v>25673.01</v>
      </c>
      <c r="U523" s="199"/>
      <c r="V523" s="150"/>
      <c r="W523" s="151"/>
      <c r="X523" s="151"/>
      <c r="Y523" s="152"/>
      <c r="Z523" s="153"/>
      <c r="AA523" s="153"/>
      <c r="AB523" s="154"/>
      <c r="AC523" s="155">
        <f t="shared" si="613"/>
        <v>14890.345799999997</v>
      </c>
      <c r="AD523" s="156">
        <f t="shared" si="614"/>
        <v>3337.4912999999997</v>
      </c>
      <c r="AE523" s="156">
        <f t="shared" si="615"/>
        <v>2252.8066274999996</v>
      </c>
      <c r="AF523" s="156">
        <f t="shared" si="616"/>
        <v>1026.9204</v>
      </c>
      <c r="AG523" s="156">
        <f t="shared" si="617"/>
        <v>513.46019999999999</v>
      </c>
      <c r="AH523" s="156">
        <f t="shared" si="618"/>
        <v>513.46019999999999</v>
      </c>
      <c r="AI523" s="156">
        <f t="shared" si="619"/>
        <v>256.73009999999999</v>
      </c>
      <c r="AJ523" s="156">
        <f t="shared" si="620"/>
        <v>513.46019999999999</v>
      </c>
      <c r="AK523" s="156">
        <f t="shared" si="621"/>
        <v>513.46019999999999</v>
      </c>
      <c r="AL523" s="156">
        <f t="shared" si="622"/>
        <v>1797.1107</v>
      </c>
      <c r="AM523" s="157">
        <f t="shared" si="623"/>
        <v>7900.8688274999995</v>
      </c>
      <c r="AN523" s="158">
        <f t="shared" si="624"/>
        <v>2200</v>
      </c>
      <c r="AO523" s="159">
        <v>0.2</v>
      </c>
      <c r="AP523" s="160">
        <f t="shared" si="625"/>
        <v>209928966.28531736</v>
      </c>
      <c r="AQ523" s="161">
        <f t="shared" si="626"/>
        <v>58313.606411009627</v>
      </c>
      <c r="AR523" s="162">
        <f t="shared" si="627"/>
        <v>11662.721282201926</v>
      </c>
      <c r="AS523" s="163">
        <f t="shared" si="628"/>
        <v>1.6642010962046128</v>
      </c>
      <c r="AT523" s="164">
        <f t="shared" si="629"/>
        <v>1.6642010962046128</v>
      </c>
      <c r="AU523" s="165"/>
      <c r="AV523" s="166"/>
      <c r="AW523" s="167"/>
      <c r="AX523" s="146"/>
      <c r="AY523" s="168"/>
    </row>
    <row r="524" spans="1:51" s="139" customFormat="1" ht="11.25" x14ac:dyDescent="0.25">
      <c r="A524" s="1"/>
      <c r="B524" s="140">
        <v>14</v>
      </c>
      <c r="C524" s="361" t="s">
        <v>539</v>
      </c>
      <c r="D524" s="142"/>
      <c r="E524" s="143"/>
      <c r="F524" s="143"/>
      <c r="G524" s="143"/>
      <c r="H524" s="143"/>
      <c r="I524" s="143"/>
      <c r="J524" s="143"/>
      <c r="K524" s="143"/>
      <c r="L524" s="143"/>
      <c r="M524" s="143"/>
      <c r="N524" s="222"/>
      <c r="O524" s="222">
        <v>274648</v>
      </c>
      <c r="P524" s="145"/>
      <c r="Q524" s="223">
        <f t="shared" si="630"/>
        <v>274648</v>
      </c>
      <c r="R524" s="147">
        <f t="shared" si="631"/>
        <v>30211.279999999999</v>
      </c>
      <c r="S524" s="147">
        <f t="shared" si="612"/>
        <v>82.770630136986298</v>
      </c>
      <c r="T524" s="148">
        <f t="shared" si="632"/>
        <v>18126.768</v>
      </c>
      <c r="U524" s="199"/>
      <c r="V524" s="150"/>
      <c r="W524" s="151"/>
      <c r="X524" s="151"/>
      <c r="Y524" s="152"/>
      <c r="Z524" s="153"/>
      <c r="AA524" s="153"/>
      <c r="AB524" s="154"/>
      <c r="AC524" s="155">
        <f t="shared" si="613"/>
        <v>10513.525439999999</v>
      </c>
      <c r="AD524" s="156">
        <f t="shared" si="614"/>
        <v>2356.47984</v>
      </c>
      <c r="AE524" s="156">
        <f t="shared" si="615"/>
        <v>1590.6238919999998</v>
      </c>
      <c r="AF524" s="156">
        <f t="shared" si="616"/>
        <v>725.07072000000005</v>
      </c>
      <c r="AG524" s="156">
        <f t="shared" si="617"/>
        <v>362.53536000000003</v>
      </c>
      <c r="AH524" s="156">
        <f t="shared" si="618"/>
        <v>362.53536000000003</v>
      </c>
      <c r="AI524" s="156">
        <f t="shared" si="619"/>
        <v>181.26768000000001</v>
      </c>
      <c r="AJ524" s="156">
        <f t="shared" si="620"/>
        <v>362.53536000000003</v>
      </c>
      <c r="AK524" s="156">
        <f t="shared" si="621"/>
        <v>362.53536000000003</v>
      </c>
      <c r="AL524" s="156">
        <f t="shared" si="622"/>
        <v>1268.8737600000002</v>
      </c>
      <c r="AM524" s="157">
        <f t="shared" si="623"/>
        <v>5578.5128519999989</v>
      </c>
      <c r="AN524" s="158">
        <f t="shared" si="624"/>
        <v>2200</v>
      </c>
      <c r="AO524" s="159">
        <v>0.2</v>
      </c>
      <c r="AP524" s="160">
        <f t="shared" si="625"/>
        <v>148223121.02608031</v>
      </c>
      <c r="AQ524" s="161">
        <f t="shared" si="626"/>
        <v>41173.092467758332</v>
      </c>
      <c r="AR524" s="162">
        <f t="shared" si="627"/>
        <v>8234.6184935516667</v>
      </c>
      <c r="AS524" s="163">
        <f t="shared" si="628"/>
        <v>1.1750311777328291</v>
      </c>
      <c r="AT524" s="164">
        <f t="shared" si="629"/>
        <v>1.1750311777328291</v>
      </c>
      <c r="AU524" s="165"/>
      <c r="AV524" s="166"/>
      <c r="AW524" s="167"/>
      <c r="AX524" s="146"/>
      <c r="AY524" s="168"/>
    </row>
    <row r="525" spans="1:51" s="139" customFormat="1" ht="11.25" x14ac:dyDescent="0.25">
      <c r="A525" s="1"/>
      <c r="B525" s="140">
        <v>15</v>
      </c>
      <c r="C525" s="361" t="s">
        <v>540</v>
      </c>
      <c r="D525" s="142"/>
      <c r="E525" s="143"/>
      <c r="F525" s="143"/>
      <c r="G525" s="143"/>
      <c r="H525" s="143"/>
      <c r="I525" s="143"/>
      <c r="J525" s="143"/>
      <c r="K525" s="143"/>
      <c r="L525" s="143"/>
      <c r="M525" s="143"/>
      <c r="N525" s="222"/>
      <c r="O525" s="222">
        <v>354652</v>
      </c>
      <c r="P525" s="145"/>
      <c r="Q525" s="223">
        <f t="shared" si="630"/>
        <v>354652</v>
      </c>
      <c r="R525" s="147">
        <f t="shared" si="631"/>
        <v>39011.72</v>
      </c>
      <c r="S525" s="147">
        <f t="shared" si="612"/>
        <v>106.88142465753425</v>
      </c>
      <c r="T525" s="148">
        <f t="shared" si="632"/>
        <v>23407.031999999999</v>
      </c>
      <c r="U525" s="199"/>
      <c r="V525" s="150"/>
      <c r="W525" s="151"/>
      <c r="X525" s="151"/>
      <c r="Y525" s="152"/>
      <c r="Z525" s="153"/>
      <c r="AA525" s="153"/>
      <c r="AB525" s="154"/>
      <c r="AC525" s="155">
        <f t="shared" si="613"/>
        <v>13576.078559999998</v>
      </c>
      <c r="AD525" s="156">
        <f t="shared" si="614"/>
        <v>3042.9141599999998</v>
      </c>
      <c r="AE525" s="156">
        <f t="shared" si="615"/>
        <v>2053.9670579999997</v>
      </c>
      <c r="AF525" s="156">
        <f t="shared" si="616"/>
        <v>936.28128000000004</v>
      </c>
      <c r="AG525" s="156">
        <f t="shared" si="617"/>
        <v>468.14064000000002</v>
      </c>
      <c r="AH525" s="156">
        <f t="shared" si="618"/>
        <v>468.14064000000002</v>
      </c>
      <c r="AI525" s="156">
        <f t="shared" si="619"/>
        <v>234.07032000000001</v>
      </c>
      <c r="AJ525" s="156">
        <f t="shared" si="620"/>
        <v>468.14064000000002</v>
      </c>
      <c r="AK525" s="156">
        <f t="shared" si="621"/>
        <v>468.14064000000002</v>
      </c>
      <c r="AL525" s="156">
        <f t="shared" si="622"/>
        <v>1638.49224</v>
      </c>
      <c r="AM525" s="157">
        <f t="shared" si="623"/>
        <v>7203.5140979999987</v>
      </c>
      <c r="AN525" s="158">
        <f t="shared" si="624"/>
        <v>2200</v>
      </c>
      <c r="AO525" s="159">
        <v>0.2</v>
      </c>
      <c r="AP525" s="160">
        <f t="shared" si="625"/>
        <v>191399996.78913167</v>
      </c>
      <c r="AQ525" s="161">
        <f t="shared" si="626"/>
        <v>53166.670028092056</v>
      </c>
      <c r="AR525" s="162">
        <f t="shared" si="627"/>
        <v>10633.334005618412</v>
      </c>
      <c r="AS525" s="163">
        <f t="shared" si="628"/>
        <v>1.5173136423542255</v>
      </c>
      <c r="AT525" s="164">
        <f t="shared" si="629"/>
        <v>1.5173136423542255</v>
      </c>
      <c r="AU525" s="165"/>
      <c r="AV525" s="166"/>
      <c r="AW525" s="167"/>
      <c r="AX525" s="146"/>
      <c r="AY525" s="168"/>
    </row>
    <row r="526" spans="1:51" s="139" customFormat="1" ht="11.25" x14ac:dyDescent="0.25">
      <c r="A526" s="1"/>
      <c r="B526" s="140">
        <v>16</v>
      </c>
      <c r="C526" s="361" t="s">
        <v>541</v>
      </c>
      <c r="D526" s="142"/>
      <c r="E526" s="143"/>
      <c r="F526" s="143"/>
      <c r="G526" s="143"/>
      <c r="H526" s="143"/>
      <c r="I526" s="143"/>
      <c r="J526" s="143"/>
      <c r="K526" s="143"/>
      <c r="L526" s="143"/>
      <c r="M526" s="143"/>
      <c r="N526" s="222"/>
      <c r="O526" s="222">
        <v>192163</v>
      </c>
      <c r="P526" s="145"/>
      <c r="Q526" s="223">
        <f t="shared" si="630"/>
        <v>192163</v>
      </c>
      <c r="R526" s="147">
        <f t="shared" si="631"/>
        <v>21137.93</v>
      </c>
      <c r="S526" s="147">
        <f t="shared" si="612"/>
        <v>57.91213698630137</v>
      </c>
      <c r="T526" s="148">
        <f t="shared" si="632"/>
        <v>12682.758</v>
      </c>
      <c r="U526" s="199"/>
      <c r="V526" s="150"/>
      <c r="W526" s="151"/>
      <c r="X526" s="151"/>
      <c r="Y526" s="152"/>
      <c r="Z526" s="153"/>
      <c r="AA526" s="153"/>
      <c r="AB526" s="154"/>
      <c r="AC526" s="155">
        <f t="shared" si="613"/>
        <v>7355.9996399999991</v>
      </c>
      <c r="AD526" s="156">
        <f t="shared" si="614"/>
        <v>1648.75854</v>
      </c>
      <c r="AE526" s="156">
        <f t="shared" si="615"/>
        <v>1112.9120144999999</v>
      </c>
      <c r="AF526" s="156">
        <f t="shared" si="616"/>
        <v>507.31031999999999</v>
      </c>
      <c r="AG526" s="156">
        <f t="shared" si="617"/>
        <v>253.65516</v>
      </c>
      <c r="AH526" s="156">
        <f t="shared" si="618"/>
        <v>253.65516</v>
      </c>
      <c r="AI526" s="156">
        <f t="shared" si="619"/>
        <v>126.82758</v>
      </c>
      <c r="AJ526" s="156">
        <f t="shared" si="620"/>
        <v>253.65516</v>
      </c>
      <c r="AK526" s="156">
        <f t="shared" si="621"/>
        <v>253.65516</v>
      </c>
      <c r="AL526" s="156">
        <f t="shared" si="622"/>
        <v>887.79306000000008</v>
      </c>
      <c r="AM526" s="157">
        <f t="shared" si="623"/>
        <v>3903.1187744999997</v>
      </c>
      <c r="AN526" s="158">
        <f t="shared" si="624"/>
        <v>2200</v>
      </c>
      <c r="AO526" s="159">
        <v>0.2</v>
      </c>
      <c r="AP526" s="160">
        <f t="shared" si="625"/>
        <v>103707289.3512229</v>
      </c>
      <c r="AQ526" s="161">
        <f t="shared" si="626"/>
        <v>28807.582679946125</v>
      </c>
      <c r="AR526" s="162">
        <f t="shared" si="627"/>
        <v>5761.5165359892253</v>
      </c>
      <c r="AS526" s="163">
        <f t="shared" si="628"/>
        <v>0.82213420890257205</v>
      </c>
      <c r="AT526" s="164">
        <f t="shared" si="629"/>
        <v>0.82213420890257205</v>
      </c>
      <c r="AU526" s="165"/>
      <c r="AV526" s="166"/>
      <c r="AW526" s="167"/>
      <c r="AX526" s="146"/>
      <c r="AY526" s="168"/>
    </row>
    <row r="527" spans="1:51" s="139" customFormat="1" ht="11.25" x14ac:dyDescent="0.25">
      <c r="A527" s="1"/>
      <c r="B527" s="140">
        <v>17</v>
      </c>
      <c r="C527" s="361" t="s">
        <v>542</v>
      </c>
      <c r="D527" s="142"/>
      <c r="E527" s="143"/>
      <c r="F527" s="143"/>
      <c r="G527" s="143"/>
      <c r="H527" s="143"/>
      <c r="I527" s="143"/>
      <c r="J527" s="143"/>
      <c r="K527" s="143"/>
      <c r="L527" s="143"/>
      <c r="M527" s="143"/>
      <c r="N527" s="222"/>
      <c r="O527" s="222">
        <v>335828</v>
      </c>
      <c r="P527" s="145"/>
      <c r="Q527" s="223">
        <f t="shared" si="630"/>
        <v>335828</v>
      </c>
      <c r="R527" s="147">
        <f t="shared" si="631"/>
        <v>36941.08</v>
      </c>
      <c r="S527" s="147">
        <f t="shared" si="612"/>
        <v>101.20843835616439</v>
      </c>
      <c r="T527" s="148">
        <f t="shared" si="632"/>
        <v>22164.648000000001</v>
      </c>
      <c r="U527" s="199"/>
      <c r="V527" s="150"/>
      <c r="W527" s="151"/>
      <c r="X527" s="151"/>
      <c r="Y527" s="152"/>
      <c r="Z527" s="153"/>
      <c r="AA527" s="153"/>
      <c r="AB527" s="154"/>
      <c r="AC527" s="155">
        <f t="shared" si="613"/>
        <v>12855.49584</v>
      </c>
      <c r="AD527" s="156">
        <f t="shared" si="614"/>
        <v>2881.4042400000003</v>
      </c>
      <c r="AE527" s="156">
        <f t="shared" si="615"/>
        <v>1944.947862</v>
      </c>
      <c r="AF527" s="156">
        <f t="shared" si="616"/>
        <v>886.5859200000001</v>
      </c>
      <c r="AG527" s="156">
        <f t="shared" si="617"/>
        <v>443.29296000000005</v>
      </c>
      <c r="AH527" s="156">
        <f t="shared" si="618"/>
        <v>443.29296000000005</v>
      </c>
      <c r="AI527" s="156">
        <f t="shared" si="619"/>
        <v>221.64648000000003</v>
      </c>
      <c r="AJ527" s="156">
        <f t="shared" si="620"/>
        <v>443.29296000000005</v>
      </c>
      <c r="AK527" s="156">
        <f t="shared" si="621"/>
        <v>443.29296000000005</v>
      </c>
      <c r="AL527" s="156">
        <f t="shared" si="622"/>
        <v>1551.5253600000003</v>
      </c>
      <c r="AM527" s="157">
        <f t="shared" si="623"/>
        <v>6821.1704220000011</v>
      </c>
      <c r="AN527" s="158">
        <f t="shared" si="624"/>
        <v>2200</v>
      </c>
      <c r="AO527" s="159">
        <v>0.2</v>
      </c>
      <c r="AP527" s="160">
        <f t="shared" si="625"/>
        <v>181240985.87263152</v>
      </c>
      <c r="AQ527" s="161">
        <f t="shared" si="626"/>
        <v>50344.72232553066</v>
      </c>
      <c r="AR527" s="162">
        <f t="shared" si="627"/>
        <v>10068.944465106133</v>
      </c>
      <c r="AS527" s="163">
        <f t="shared" si="628"/>
        <v>1.4367786051806697</v>
      </c>
      <c r="AT527" s="164">
        <f t="shared" si="629"/>
        <v>1.4367786051806697</v>
      </c>
      <c r="AU527" s="165"/>
      <c r="AV527" s="166"/>
      <c r="AW527" s="167"/>
      <c r="AX527" s="146"/>
      <c r="AY527" s="168"/>
    </row>
    <row r="528" spans="1:51" s="139" customFormat="1" ht="11.25" x14ac:dyDescent="0.25">
      <c r="A528" s="1"/>
      <c r="B528" s="140">
        <v>18</v>
      </c>
      <c r="C528" s="361" t="s">
        <v>543</v>
      </c>
      <c r="D528" s="142"/>
      <c r="E528" s="143"/>
      <c r="F528" s="143"/>
      <c r="G528" s="143"/>
      <c r="H528" s="143"/>
      <c r="I528" s="143"/>
      <c r="J528" s="143"/>
      <c r="K528" s="143"/>
      <c r="L528" s="143"/>
      <c r="M528" s="143"/>
      <c r="N528" s="222"/>
      <c r="O528" s="222">
        <v>223306</v>
      </c>
      <c r="P528" s="145"/>
      <c r="Q528" s="223">
        <f t="shared" si="630"/>
        <v>223306</v>
      </c>
      <c r="R528" s="147">
        <f t="shared" si="631"/>
        <v>24563.66</v>
      </c>
      <c r="S528" s="147">
        <f t="shared" si="612"/>
        <v>67.297698630136992</v>
      </c>
      <c r="T528" s="148">
        <f t="shared" si="632"/>
        <v>14738.196000000002</v>
      </c>
      <c r="U528" s="199"/>
      <c r="V528" s="150"/>
      <c r="W528" s="151"/>
      <c r="X528" s="151"/>
      <c r="Y528" s="152"/>
      <c r="Z528" s="153"/>
      <c r="AA528" s="153"/>
      <c r="AB528" s="154"/>
      <c r="AC528" s="155">
        <f t="shared" si="613"/>
        <v>8548.1536800000013</v>
      </c>
      <c r="AD528" s="156">
        <f t="shared" si="614"/>
        <v>1915.9654800000003</v>
      </c>
      <c r="AE528" s="156">
        <f t="shared" si="615"/>
        <v>1293.276699</v>
      </c>
      <c r="AF528" s="156">
        <f t="shared" si="616"/>
        <v>589.52784000000008</v>
      </c>
      <c r="AG528" s="156">
        <f t="shared" si="617"/>
        <v>294.76392000000004</v>
      </c>
      <c r="AH528" s="156">
        <f t="shared" si="618"/>
        <v>294.76392000000004</v>
      </c>
      <c r="AI528" s="156">
        <f t="shared" si="619"/>
        <v>147.38196000000002</v>
      </c>
      <c r="AJ528" s="156">
        <f t="shared" si="620"/>
        <v>294.76392000000004</v>
      </c>
      <c r="AK528" s="156">
        <f t="shared" si="621"/>
        <v>294.76392000000004</v>
      </c>
      <c r="AL528" s="156">
        <f t="shared" si="622"/>
        <v>1031.6737200000002</v>
      </c>
      <c r="AM528" s="157">
        <f t="shared" si="623"/>
        <v>4535.679819</v>
      </c>
      <c r="AN528" s="158">
        <f t="shared" si="624"/>
        <v>2200</v>
      </c>
      <c r="AO528" s="159">
        <v>0.2</v>
      </c>
      <c r="AP528" s="160">
        <f t="shared" si="625"/>
        <v>120514667.00594904</v>
      </c>
      <c r="AQ528" s="161">
        <f t="shared" si="626"/>
        <v>33476.299068645108</v>
      </c>
      <c r="AR528" s="162">
        <f t="shared" si="627"/>
        <v>6695.2598137290224</v>
      </c>
      <c r="AS528" s="163">
        <f t="shared" si="628"/>
        <v>0.95537383186772584</v>
      </c>
      <c r="AT528" s="164">
        <f t="shared" si="629"/>
        <v>0.95537383186772584</v>
      </c>
      <c r="AU528" s="165"/>
      <c r="AV528" s="166"/>
      <c r="AW528" s="167"/>
      <c r="AX528" s="146"/>
      <c r="AY528" s="168"/>
    </row>
    <row r="529" spans="1:51" s="139" customFormat="1" ht="11.25" x14ac:dyDescent="0.25">
      <c r="A529" s="1"/>
      <c r="B529" s="140">
        <v>19</v>
      </c>
      <c r="C529" s="361" t="s">
        <v>544</v>
      </c>
      <c r="D529" s="142"/>
      <c r="E529" s="143"/>
      <c r="F529" s="143"/>
      <c r="G529" s="143"/>
      <c r="H529" s="143"/>
      <c r="I529" s="143"/>
      <c r="J529" s="143"/>
      <c r="K529" s="143"/>
      <c r="L529" s="143"/>
      <c r="M529" s="143"/>
      <c r="N529" s="222"/>
      <c r="O529" s="222">
        <v>290365</v>
      </c>
      <c r="P529" s="145"/>
      <c r="Q529" s="223">
        <f t="shared" si="630"/>
        <v>290365</v>
      </c>
      <c r="R529" s="147">
        <f t="shared" si="631"/>
        <v>31940.15</v>
      </c>
      <c r="S529" s="147">
        <f t="shared" si="612"/>
        <v>87.507260273972605</v>
      </c>
      <c r="T529" s="148">
        <f t="shared" si="632"/>
        <v>19164.09</v>
      </c>
      <c r="U529" s="199"/>
      <c r="V529" s="150"/>
      <c r="W529" s="151"/>
      <c r="X529" s="151"/>
      <c r="Y529" s="152"/>
      <c r="Z529" s="153"/>
      <c r="AA529" s="153"/>
      <c r="AB529" s="154"/>
      <c r="AC529" s="155">
        <f t="shared" si="613"/>
        <v>11115.172199999999</v>
      </c>
      <c r="AD529" s="156">
        <f t="shared" si="614"/>
        <v>2491.3317000000002</v>
      </c>
      <c r="AE529" s="156">
        <f t="shared" si="615"/>
        <v>1681.6488975</v>
      </c>
      <c r="AF529" s="156">
        <f t="shared" si="616"/>
        <v>766.56360000000006</v>
      </c>
      <c r="AG529" s="156">
        <f t="shared" si="617"/>
        <v>383.28180000000003</v>
      </c>
      <c r="AH529" s="156">
        <f t="shared" si="618"/>
        <v>383.28180000000003</v>
      </c>
      <c r="AI529" s="156">
        <f t="shared" si="619"/>
        <v>191.64090000000002</v>
      </c>
      <c r="AJ529" s="156">
        <f t="shared" si="620"/>
        <v>383.28180000000003</v>
      </c>
      <c r="AK529" s="156">
        <f t="shared" si="621"/>
        <v>383.28180000000003</v>
      </c>
      <c r="AL529" s="156">
        <f t="shared" si="622"/>
        <v>1341.4863</v>
      </c>
      <c r="AM529" s="157">
        <f t="shared" si="623"/>
        <v>5897.7486975000002</v>
      </c>
      <c r="AN529" s="158">
        <f t="shared" si="624"/>
        <v>2200</v>
      </c>
      <c r="AO529" s="159">
        <v>0.2</v>
      </c>
      <c r="AP529" s="160">
        <f t="shared" si="625"/>
        <v>156705333.8700366</v>
      </c>
      <c r="AQ529" s="161">
        <f t="shared" si="626"/>
        <v>43529.262890684251</v>
      </c>
      <c r="AR529" s="162">
        <f t="shared" si="627"/>
        <v>8705.8525781368498</v>
      </c>
      <c r="AS529" s="163">
        <f t="shared" si="628"/>
        <v>1.2422734843231806</v>
      </c>
      <c r="AT529" s="164">
        <f t="shared" si="629"/>
        <v>1.2422734843231806</v>
      </c>
      <c r="AU529" s="165"/>
      <c r="AV529" s="166"/>
      <c r="AW529" s="167"/>
      <c r="AX529" s="146"/>
      <c r="AY529" s="168"/>
    </row>
    <row r="530" spans="1:51" s="139" customFormat="1" ht="11.25" x14ac:dyDescent="0.25">
      <c r="A530" s="1"/>
      <c r="B530" s="140">
        <v>20</v>
      </c>
      <c r="C530" s="361" t="s">
        <v>545</v>
      </c>
      <c r="D530" s="142"/>
      <c r="E530" s="143"/>
      <c r="F530" s="143"/>
      <c r="G530" s="143"/>
      <c r="H530" s="143"/>
      <c r="I530" s="143"/>
      <c r="J530" s="143"/>
      <c r="K530" s="143"/>
      <c r="L530" s="143"/>
      <c r="M530" s="143"/>
      <c r="N530" s="222"/>
      <c r="O530" s="222">
        <v>245515</v>
      </c>
      <c r="P530" s="145"/>
      <c r="Q530" s="223">
        <f t="shared" si="630"/>
        <v>245515</v>
      </c>
      <c r="R530" s="147">
        <f t="shared" si="631"/>
        <v>27006.65</v>
      </c>
      <c r="S530" s="147">
        <f t="shared" si="612"/>
        <v>73.990821917808219</v>
      </c>
      <c r="T530" s="148">
        <f t="shared" si="632"/>
        <v>16203.99</v>
      </c>
      <c r="U530" s="199"/>
      <c r="V530" s="150"/>
      <c r="W530" s="151"/>
      <c r="X530" s="151"/>
      <c r="Y530" s="152"/>
      <c r="Z530" s="153"/>
      <c r="AA530" s="153"/>
      <c r="AB530" s="154"/>
      <c r="AC530" s="155">
        <f t="shared" si="613"/>
        <v>9398.3141999999989</v>
      </c>
      <c r="AD530" s="156">
        <f t="shared" si="614"/>
        <v>2106.5187000000001</v>
      </c>
      <c r="AE530" s="156">
        <f t="shared" si="615"/>
        <v>1421.9001225</v>
      </c>
      <c r="AF530" s="156">
        <f t="shared" si="616"/>
        <v>648.15959999999995</v>
      </c>
      <c r="AG530" s="156">
        <f t="shared" si="617"/>
        <v>324.07979999999998</v>
      </c>
      <c r="AH530" s="156">
        <f t="shared" si="618"/>
        <v>324.07979999999998</v>
      </c>
      <c r="AI530" s="156">
        <f t="shared" si="619"/>
        <v>162.03989999999999</v>
      </c>
      <c r="AJ530" s="156">
        <f t="shared" si="620"/>
        <v>324.07979999999998</v>
      </c>
      <c r="AK530" s="156">
        <f t="shared" si="621"/>
        <v>324.07979999999998</v>
      </c>
      <c r="AL530" s="156">
        <f t="shared" si="622"/>
        <v>1134.2793000000001</v>
      </c>
      <c r="AM530" s="157">
        <f t="shared" si="623"/>
        <v>4986.7779224999995</v>
      </c>
      <c r="AN530" s="158">
        <f t="shared" si="624"/>
        <v>2200</v>
      </c>
      <c r="AO530" s="159">
        <v>0.2</v>
      </c>
      <c r="AP530" s="160">
        <f t="shared" si="625"/>
        <v>132500508.13666259</v>
      </c>
      <c r="AQ530" s="161">
        <f t="shared" si="626"/>
        <v>36805.699649084236</v>
      </c>
      <c r="AR530" s="162">
        <f t="shared" si="627"/>
        <v>7361.1399298168471</v>
      </c>
      <c r="AS530" s="163">
        <f t="shared" si="628"/>
        <v>1.0503909717204405</v>
      </c>
      <c r="AT530" s="164">
        <f t="shared" si="629"/>
        <v>1.0503909717204405</v>
      </c>
      <c r="AU530" s="165"/>
      <c r="AV530" s="166"/>
      <c r="AW530" s="167"/>
      <c r="AX530" s="146"/>
      <c r="AY530" s="168"/>
    </row>
    <row r="531" spans="1:51" s="139" customFormat="1" ht="11.25" x14ac:dyDescent="0.25">
      <c r="A531" s="1"/>
      <c r="B531" s="140">
        <v>21</v>
      </c>
      <c r="C531" s="361" t="s">
        <v>546</v>
      </c>
      <c r="D531" s="142"/>
      <c r="E531" s="143"/>
      <c r="F531" s="143"/>
      <c r="G531" s="143"/>
      <c r="H531" s="143"/>
      <c r="I531" s="143"/>
      <c r="J531" s="143"/>
      <c r="K531" s="143"/>
      <c r="L531" s="143"/>
      <c r="M531" s="143"/>
      <c r="N531" s="222"/>
      <c r="O531" s="222">
        <v>218943</v>
      </c>
      <c r="P531" s="145"/>
      <c r="Q531" s="223">
        <f t="shared" si="630"/>
        <v>218943</v>
      </c>
      <c r="R531" s="147">
        <f t="shared" si="631"/>
        <v>24083.73</v>
      </c>
      <c r="S531" s="147">
        <f t="shared" si="612"/>
        <v>65.982821917808224</v>
      </c>
      <c r="T531" s="148">
        <f t="shared" si="632"/>
        <v>14450.238000000001</v>
      </c>
      <c r="U531" s="199"/>
      <c r="V531" s="150"/>
      <c r="W531" s="151"/>
      <c r="X531" s="151"/>
      <c r="Y531" s="152"/>
      <c r="Z531" s="153"/>
      <c r="AA531" s="153"/>
      <c r="AB531" s="154"/>
      <c r="AC531" s="155">
        <f t="shared" si="613"/>
        <v>8381.1380399999998</v>
      </c>
      <c r="AD531" s="156">
        <f t="shared" si="614"/>
        <v>1878.5309400000003</v>
      </c>
      <c r="AE531" s="156">
        <f t="shared" si="615"/>
        <v>1268.0083844999999</v>
      </c>
      <c r="AF531" s="156">
        <f t="shared" si="616"/>
        <v>578.00952000000007</v>
      </c>
      <c r="AG531" s="156">
        <f t="shared" si="617"/>
        <v>289.00476000000003</v>
      </c>
      <c r="AH531" s="156">
        <f t="shared" si="618"/>
        <v>289.00476000000003</v>
      </c>
      <c r="AI531" s="156">
        <f t="shared" si="619"/>
        <v>144.50238000000002</v>
      </c>
      <c r="AJ531" s="156">
        <f t="shared" si="620"/>
        <v>289.00476000000003</v>
      </c>
      <c r="AK531" s="156">
        <f t="shared" si="621"/>
        <v>289.00476000000003</v>
      </c>
      <c r="AL531" s="156">
        <f t="shared" si="622"/>
        <v>1011.5166600000002</v>
      </c>
      <c r="AM531" s="157">
        <f t="shared" si="623"/>
        <v>4447.0607445000005</v>
      </c>
      <c r="AN531" s="158">
        <f t="shared" si="624"/>
        <v>2200</v>
      </c>
      <c r="AO531" s="159">
        <v>0.2</v>
      </c>
      <c r="AP531" s="160">
        <f t="shared" si="625"/>
        <v>118160025.87607811</v>
      </c>
      <c r="AQ531" s="161">
        <f t="shared" si="626"/>
        <v>32822.232035800051</v>
      </c>
      <c r="AR531" s="162">
        <f t="shared" si="627"/>
        <v>6564.4464071600105</v>
      </c>
      <c r="AS531" s="163">
        <f t="shared" si="628"/>
        <v>0.93670753526826633</v>
      </c>
      <c r="AT531" s="164">
        <f t="shared" si="629"/>
        <v>0.93670753526826633</v>
      </c>
      <c r="AU531" s="165"/>
      <c r="AV531" s="166"/>
      <c r="AW531" s="167"/>
      <c r="AX531" s="146"/>
      <c r="AY531" s="168"/>
    </row>
    <row r="532" spans="1:51" s="139" customFormat="1" ht="11.25" x14ac:dyDescent="0.25">
      <c r="A532" s="1"/>
      <c r="B532" s="140">
        <v>22</v>
      </c>
      <c r="C532" s="361" t="s">
        <v>547</v>
      </c>
      <c r="D532" s="142"/>
      <c r="E532" s="143"/>
      <c r="F532" s="143"/>
      <c r="G532" s="143"/>
      <c r="H532" s="143"/>
      <c r="I532" s="143"/>
      <c r="J532" s="143"/>
      <c r="K532" s="143"/>
      <c r="L532" s="143"/>
      <c r="M532" s="143"/>
      <c r="N532" s="222"/>
      <c r="O532" s="222">
        <v>130563</v>
      </c>
      <c r="P532" s="145"/>
      <c r="Q532" s="223">
        <f t="shared" si="630"/>
        <v>130563</v>
      </c>
      <c r="R532" s="147">
        <f t="shared" si="631"/>
        <v>14361.93</v>
      </c>
      <c r="S532" s="147">
        <f t="shared" si="612"/>
        <v>39.347753424657533</v>
      </c>
      <c r="T532" s="148">
        <f t="shared" si="632"/>
        <v>8617.1579999999994</v>
      </c>
      <c r="U532" s="199"/>
      <c r="V532" s="150"/>
      <c r="W532" s="151"/>
      <c r="X532" s="151"/>
      <c r="Y532" s="152"/>
      <c r="Z532" s="153"/>
      <c r="AA532" s="153"/>
      <c r="AB532" s="154"/>
      <c r="AC532" s="155">
        <f t="shared" si="613"/>
        <v>4997.9516399999993</v>
      </c>
      <c r="AD532" s="156">
        <f t="shared" si="614"/>
        <v>1120.23054</v>
      </c>
      <c r="AE532" s="156">
        <f t="shared" si="615"/>
        <v>756.15561449999996</v>
      </c>
      <c r="AF532" s="156">
        <f t="shared" si="616"/>
        <v>344.68631999999997</v>
      </c>
      <c r="AG532" s="156">
        <f t="shared" si="617"/>
        <v>172.34315999999998</v>
      </c>
      <c r="AH532" s="156">
        <f t="shared" si="618"/>
        <v>172.34315999999998</v>
      </c>
      <c r="AI532" s="156">
        <f t="shared" si="619"/>
        <v>86.171579999999992</v>
      </c>
      <c r="AJ532" s="156">
        <f t="shared" si="620"/>
        <v>172.34315999999998</v>
      </c>
      <c r="AK532" s="156">
        <f t="shared" si="621"/>
        <v>172.34315999999998</v>
      </c>
      <c r="AL532" s="156">
        <f t="shared" si="622"/>
        <v>603.20105999999998</v>
      </c>
      <c r="AM532" s="157">
        <f t="shared" si="623"/>
        <v>2651.9303744999997</v>
      </c>
      <c r="AN532" s="158">
        <f t="shared" si="624"/>
        <v>2200</v>
      </c>
      <c r="AO532" s="159">
        <v>0.2</v>
      </c>
      <c r="AP532" s="160">
        <f t="shared" si="625"/>
        <v>70462757.240278915</v>
      </c>
      <c r="AQ532" s="161">
        <f t="shared" si="626"/>
        <v>19572.989688138747</v>
      </c>
      <c r="AR532" s="162">
        <f t="shared" si="627"/>
        <v>3914.5979376277496</v>
      </c>
      <c r="AS532" s="163">
        <f t="shared" si="628"/>
        <v>0.55858988836012413</v>
      </c>
      <c r="AT532" s="164">
        <f t="shared" si="629"/>
        <v>0.55858988836012413</v>
      </c>
      <c r="AU532" s="165"/>
      <c r="AV532" s="166"/>
      <c r="AW532" s="167"/>
      <c r="AX532" s="146"/>
      <c r="AY532" s="168"/>
    </row>
    <row r="533" spans="1:51" s="139" customFormat="1" ht="11.25" x14ac:dyDescent="0.25">
      <c r="A533" s="1"/>
      <c r="B533" s="140">
        <v>23</v>
      </c>
      <c r="C533" s="361" t="s">
        <v>548</v>
      </c>
      <c r="D533" s="142"/>
      <c r="E533" s="143"/>
      <c r="F533" s="143"/>
      <c r="G533" s="143"/>
      <c r="H533" s="143"/>
      <c r="I533" s="143"/>
      <c r="J533" s="143"/>
      <c r="K533" s="143"/>
      <c r="L533" s="143"/>
      <c r="M533" s="143"/>
      <c r="N533" s="222"/>
      <c r="O533" s="222">
        <v>149421</v>
      </c>
      <c r="P533" s="145"/>
      <c r="Q533" s="223">
        <f t="shared" si="630"/>
        <v>149421</v>
      </c>
      <c r="R533" s="147">
        <f t="shared" si="631"/>
        <v>16436.310000000001</v>
      </c>
      <c r="S533" s="147">
        <f t="shared" si="612"/>
        <v>45.030986301369865</v>
      </c>
      <c r="T533" s="148">
        <f t="shared" si="632"/>
        <v>9861.7860000000001</v>
      </c>
      <c r="U533" s="199"/>
      <c r="V533" s="150"/>
      <c r="W533" s="151"/>
      <c r="X533" s="151"/>
      <c r="Y533" s="152"/>
      <c r="Z533" s="153"/>
      <c r="AA533" s="153"/>
      <c r="AB533" s="154"/>
      <c r="AC533" s="155">
        <f t="shared" si="613"/>
        <v>5719.8358799999996</v>
      </c>
      <c r="AD533" s="156">
        <f t="shared" si="614"/>
        <v>1282.0321800000002</v>
      </c>
      <c r="AE533" s="156">
        <f t="shared" si="615"/>
        <v>865.37172149999992</v>
      </c>
      <c r="AF533" s="156">
        <f t="shared" si="616"/>
        <v>394.47144000000003</v>
      </c>
      <c r="AG533" s="156">
        <f t="shared" si="617"/>
        <v>197.23572000000001</v>
      </c>
      <c r="AH533" s="156">
        <f t="shared" si="618"/>
        <v>197.23572000000001</v>
      </c>
      <c r="AI533" s="156">
        <f t="shared" si="619"/>
        <v>98.617860000000007</v>
      </c>
      <c r="AJ533" s="156">
        <f t="shared" si="620"/>
        <v>197.23572000000001</v>
      </c>
      <c r="AK533" s="156">
        <f t="shared" si="621"/>
        <v>197.23572000000001</v>
      </c>
      <c r="AL533" s="156">
        <f t="shared" si="622"/>
        <v>690.32502000000011</v>
      </c>
      <c r="AM533" s="157">
        <f t="shared" si="623"/>
        <v>3034.9646415000002</v>
      </c>
      <c r="AN533" s="158">
        <f t="shared" si="624"/>
        <v>2200</v>
      </c>
      <c r="AO533" s="159">
        <v>0.2</v>
      </c>
      <c r="AP533" s="160">
        <f t="shared" si="625"/>
        <v>80640117.411515623</v>
      </c>
      <c r="AQ533" s="161">
        <f t="shared" si="626"/>
        <v>22400.034406312505</v>
      </c>
      <c r="AR533" s="162">
        <f t="shared" si="627"/>
        <v>4480.0068812625013</v>
      </c>
      <c r="AS533" s="163">
        <f t="shared" si="628"/>
        <v>0.63927038830800531</v>
      </c>
      <c r="AT533" s="164">
        <f t="shared" si="629"/>
        <v>0.63927038830800531</v>
      </c>
      <c r="AU533" s="165"/>
      <c r="AV533" s="166"/>
      <c r="AW533" s="167"/>
      <c r="AX533" s="146"/>
      <c r="AY533" s="168"/>
    </row>
    <row r="534" spans="1:51" s="139" customFormat="1" ht="11.25" x14ac:dyDescent="0.25">
      <c r="A534" s="1"/>
      <c r="B534" s="140">
        <v>24</v>
      </c>
      <c r="C534" s="342" t="s">
        <v>549</v>
      </c>
      <c r="D534" s="142"/>
      <c r="E534" s="143"/>
      <c r="F534" s="143"/>
      <c r="G534" s="143"/>
      <c r="H534" s="143"/>
      <c r="I534" s="143"/>
      <c r="J534" s="143"/>
      <c r="K534" s="143"/>
      <c r="L534" s="143"/>
      <c r="M534" s="143"/>
      <c r="N534" s="222"/>
      <c r="O534" s="222">
        <v>218943</v>
      </c>
      <c r="P534" s="145"/>
      <c r="Q534" s="223">
        <f t="shared" si="630"/>
        <v>218943</v>
      </c>
      <c r="R534" s="147">
        <f t="shared" si="631"/>
        <v>24083.73</v>
      </c>
      <c r="S534" s="147">
        <f t="shared" si="612"/>
        <v>65.982821917808224</v>
      </c>
      <c r="T534" s="148">
        <f t="shared" si="632"/>
        <v>14450.238000000001</v>
      </c>
      <c r="U534" s="199"/>
      <c r="V534" s="150"/>
      <c r="W534" s="151"/>
      <c r="X534" s="151"/>
      <c r="Y534" s="152"/>
      <c r="Z534" s="153"/>
      <c r="AA534" s="153"/>
      <c r="AB534" s="154"/>
      <c r="AC534" s="155">
        <f t="shared" si="613"/>
        <v>8381.1380399999998</v>
      </c>
      <c r="AD534" s="156">
        <f t="shared" si="614"/>
        <v>1878.5309400000003</v>
      </c>
      <c r="AE534" s="156">
        <f t="shared" si="615"/>
        <v>1268.0083844999999</v>
      </c>
      <c r="AF534" s="156">
        <f t="shared" si="616"/>
        <v>578.00952000000007</v>
      </c>
      <c r="AG534" s="156">
        <f t="shared" si="617"/>
        <v>289.00476000000003</v>
      </c>
      <c r="AH534" s="156">
        <f t="shared" si="618"/>
        <v>289.00476000000003</v>
      </c>
      <c r="AI534" s="156">
        <f t="shared" si="619"/>
        <v>144.50238000000002</v>
      </c>
      <c r="AJ534" s="156">
        <f t="shared" si="620"/>
        <v>289.00476000000003</v>
      </c>
      <c r="AK534" s="156">
        <f t="shared" si="621"/>
        <v>289.00476000000003</v>
      </c>
      <c r="AL534" s="156">
        <f t="shared" si="622"/>
        <v>1011.5166600000002</v>
      </c>
      <c r="AM534" s="157">
        <f t="shared" si="623"/>
        <v>4447.0607445000005</v>
      </c>
      <c r="AN534" s="158">
        <f t="shared" si="624"/>
        <v>2200</v>
      </c>
      <c r="AO534" s="159">
        <v>0.2</v>
      </c>
      <c r="AP534" s="160">
        <f t="shared" si="625"/>
        <v>118160025.87607811</v>
      </c>
      <c r="AQ534" s="161">
        <f t="shared" si="626"/>
        <v>32822.232035800051</v>
      </c>
      <c r="AR534" s="162">
        <f t="shared" si="627"/>
        <v>6564.4464071600105</v>
      </c>
      <c r="AS534" s="163">
        <f t="shared" si="628"/>
        <v>0.93670753526826633</v>
      </c>
      <c r="AT534" s="164">
        <f t="shared" si="629"/>
        <v>0.93670753526826633</v>
      </c>
      <c r="AU534" s="165"/>
      <c r="AV534" s="166"/>
      <c r="AW534" s="167"/>
      <c r="AX534" s="146"/>
      <c r="AY534" s="168"/>
    </row>
    <row r="535" spans="1:51" s="190" customFormat="1" ht="16.7" customHeight="1" x14ac:dyDescent="0.25">
      <c r="A535" s="173"/>
      <c r="B535" s="120"/>
      <c r="C535" s="352" t="s">
        <v>550</v>
      </c>
      <c r="D535" s="240">
        <f t="shared" ref="D535:U535" si="633">SUM(D511:D534)</f>
        <v>0</v>
      </c>
      <c r="E535" s="240">
        <f t="shared" si="633"/>
        <v>0</v>
      </c>
      <c r="F535" s="240">
        <f t="shared" si="633"/>
        <v>0</v>
      </c>
      <c r="G535" s="240">
        <f t="shared" si="633"/>
        <v>0</v>
      </c>
      <c r="H535" s="240">
        <f t="shared" si="633"/>
        <v>0</v>
      </c>
      <c r="I535" s="240">
        <f t="shared" si="633"/>
        <v>0</v>
      </c>
      <c r="J535" s="240">
        <f t="shared" si="633"/>
        <v>0</v>
      </c>
      <c r="K535" s="240">
        <f t="shared" si="633"/>
        <v>0</v>
      </c>
      <c r="L535" s="240">
        <f t="shared" si="633"/>
        <v>0</v>
      </c>
      <c r="M535" s="240">
        <f t="shared" si="633"/>
        <v>0</v>
      </c>
      <c r="N535" s="240">
        <f t="shared" si="633"/>
        <v>0</v>
      </c>
      <c r="O535" s="240">
        <f t="shared" si="633"/>
        <v>6982445</v>
      </c>
      <c r="P535" s="240">
        <f t="shared" si="633"/>
        <v>0</v>
      </c>
      <c r="Q535" s="240">
        <f t="shared" si="633"/>
        <v>6982445</v>
      </c>
      <c r="R535" s="240">
        <f t="shared" si="633"/>
        <v>817907.96200000017</v>
      </c>
      <c r="S535" s="240">
        <f t="shared" si="633"/>
        <v>2240.8437315068495</v>
      </c>
      <c r="T535" s="240">
        <f t="shared" si="633"/>
        <v>510957.26539999997</v>
      </c>
      <c r="U535" s="199">
        <f t="shared" si="633"/>
        <v>0</v>
      </c>
      <c r="V535" s="241"/>
      <c r="W535" s="242">
        <f>SUM(W511:W534)</f>
        <v>0</v>
      </c>
      <c r="X535" s="242">
        <f>SUM(X511:X534)</f>
        <v>0</v>
      </c>
      <c r="Y535" s="242">
        <f>SUM(Y511:Y534)</f>
        <v>0</v>
      </c>
      <c r="Z535" s="199"/>
      <c r="AA535" s="199"/>
      <c r="AB535" s="243"/>
      <c r="AC535" s="240">
        <f t="shared" ref="AC535:AM535" si="634">SUM(AC511:AC534)</f>
        <v>296355.21393199993</v>
      </c>
      <c r="AD535" s="244">
        <f t="shared" si="634"/>
        <v>66424.444501999998</v>
      </c>
      <c r="AE535" s="244">
        <f t="shared" si="634"/>
        <v>44836.500038849998</v>
      </c>
      <c r="AF535" s="244">
        <f t="shared" si="634"/>
        <v>20438.290616000002</v>
      </c>
      <c r="AG535" s="244">
        <f t="shared" si="634"/>
        <v>10219.145308000001</v>
      </c>
      <c r="AH535" s="244">
        <f t="shared" si="634"/>
        <v>10219.145308000001</v>
      </c>
      <c r="AI535" s="244">
        <f t="shared" si="634"/>
        <v>5109.5726540000005</v>
      </c>
      <c r="AJ535" s="244">
        <f t="shared" si="634"/>
        <v>10219.145308000001</v>
      </c>
      <c r="AK535" s="244">
        <f t="shared" si="634"/>
        <v>10219.145308000001</v>
      </c>
      <c r="AL535" s="244">
        <f t="shared" si="634"/>
        <v>35767.008578000001</v>
      </c>
      <c r="AM535" s="245">
        <f t="shared" si="634"/>
        <v>157247.09842684999</v>
      </c>
      <c r="AN535" s="158"/>
      <c r="AO535" s="183"/>
      <c r="AP535" s="184">
        <f>SUM(AP511:AP534)</f>
        <v>4178112755.0448723</v>
      </c>
      <c r="AQ535" s="184">
        <f>SUM(AQ511:AQ534)</f>
        <v>1160586.9692483037</v>
      </c>
      <c r="AR535" s="184">
        <f>SUM(AR511:AR534)</f>
        <v>232117.39384966076</v>
      </c>
      <c r="AS535" s="185">
        <f>SUM(AS511:AS534)</f>
        <v>33.12177423653835</v>
      </c>
      <c r="AT535" s="186">
        <f>SUM(AT511:AT534)</f>
        <v>33.12177423653835</v>
      </c>
      <c r="AU535" s="187"/>
      <c r="AV535" s="246">
        <f>SUM(AV515:AV534)</f>
        <v>0</v>
      </c>
      <c r="AW535" s="246"/>
      <c r="AX535" s="185">
        <f>SUM(AX515:AX534)</f>
        <v>0</v>
      </c>
      <c r="AY535" s="189"/>
    </row>
    <row r="537" spans="1:51" s="139" customFormat="1" ht="15" customHeight="1" x14ac:dyDescent="0.25">
      <c r="A537" s="1"/>
      <c r="B537" s="126"/>
      <c r="C537" s="352" t="s">
        <v>551</v>
      </c>
      <c r="D537" s="122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213"/>
      <c r="Q537" s="76"/>
      <c r="R537" s="108"/>
      <c r="S537" s="108"/>
      <c r="T537" s="94"/>
      <c r="U537" s="199"/>
      <c r="V537" s="179"/>
      <c r="W537" s="180"/>
      <c r="X537" s="180"/>
      <c r="Y537" s="214"/>
      <c r="Z537" s="181"/>
      <c r="AA537" s="181"/>
      <c r="AB537" s="182"/>
      <c r="AC537" s="62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125"/>
      <c r="AN537" s="75"/>
      <c r="AO537" s="216"/>
      <c r="AP537" s="75"/>
      <c r="AQ537" s="51"/>
      <c r="AR537" s="217"/>
      <c r="AS537" s="218"/>
      <c r="AT537" s="219"/>
      <c r="AU537" s="220"/>
      <c r="AV537" s="135"/>
      <c r="AW537" s="136"/>
      <c r="AX537" s="137"/>
      <c r="AY537" s="138"/>
    </row>
    <row r="538" spans="1:51" s="139" customFormat="1" ht="11.25" x14ac:dyDescent="0.25">
      <c r="A538" s="1"/>
      <c r="B538" s="140">
        <v>1</v>
      </c>
      <c r="C538" s="63" t="s">
        <v>552</v>
      </c>
      <c r="D538" s="142"/>
      <c r="E538" s="143"/>
      <c r="F538" s="143"/>
      <c r="G538" s="143"/>
      <c r="H538" s="143"/>
      <c r="I538" s="222"/>
      <c r="J538" s="222"/>
      <c r="K538" s="222"/>
      <c r="L538" s="222"/>
      <c r="M538" s="222"/>
      <c r="N538" s="222"/>
      <c r="O538" s="222">
        <v>142006</v>
      </c>
      <c r="P538" s="145"/>
      <c r="Q538" s="223">
        <f>O538</f>
        <v>142006</v>
      </c>
      <c r="R538" s="147">
        <f t="shared" ref="R538:R549" si="635">Q538*$R$10</f>
        <v>15620.66</v>
      </c>
      <c r="S538" s="147">
        <f t="shared" ref="S538:S549" si="636">R538/$S$5</f>
        <v>42.796328767123285</v>
      </c>
      <c r="T538" s="148">
        <f t="shared" ref="T538:T549" si="637">S538*$T$5*$T$10</f>
        <v>9372.3959999999988</v>
      </c>
      <c r="U538" s="199"/>
      <c r="V538" s="150"/>
      <c r="W538" s="151"/>
      <c r="X538" s="151"/>
      <c r="Y538" s="152"/>
      <c r="Z538" s="153"/>
      <c r="AA538" s="153"/>
      <c r="AB538" s="154"/>
      <c r="AC538" s="155">
        <f t="shared" ref="AC538:AC549" si="638">T538*$AC$5</f>
        <v>5435.9896799999988</v>
      </c>
      <c r="AD538" s="156">
        <f t="shared" ref="AD538:AD549" si="639">T538*$AD$5</f>
        <v>1218.41148</v>
      </c>
      <c r="AE538" s="156">
        <f t="shared" ref="AE538:AE549" si="640">T538*$AE$5</f>
        <v>822.42774899999984</v>
      </c>
      <c r="AF538" s="156">
        <f t="shared" ref="AF538:AF549" si="641">T538*$AF$5</f>
        <v>374.89583999999996</v>
      </c>
      <c r="AG538" s="156">
        <f t="shared" ref="AG538:AG549" si="642">T538*$AG$5</f>
        <v>187.44791999999998</v>
      </c>
      <c r="AH538" s="156">
        <f t="shared" ref="AH538:AH549" si="643">T538*$AH$5</f>
        <v>187.44791999999998</v>
      </c>
      <c r="AI538" s="156">
        <f t="shared" ref="AI538:AI549" si="644">T538*$AI$5</f>
        <v>93.723959999999991</v>
      </c>
      <c r="AJ538" s="156">
        <f t="shared" ref="AJ538:AJ549" si="645">T538*$AJ$5</f>
        <v>187.44791999999998</v>
      </c>
      <c r="AK538" s="156">
        <f t="shared" ref="AK538:AK549" si="646">T538*$AK$5</f>
        <v>187.44791999999998</v>
      </c>
      <c r="AL538" s="156">
        <f t="shared" ref="AL538:AL549" si="647">T538*$AL$5</f>
        <v>656.06772000000001</v>
      </c>
      <c r="AM538" s="157">
        <f t="shared" ref="AM538:AM549" si="648">SUM(AD538:AI538)</f>
        <v>2884.3548689999998</v>
      </c>
      <c r="AN538" s="158">
        <f t="shared" ref="AN538:AN549" si="649">$AN$5</f>
        <v>2200</v>
      </c>
      <c r="AO538" s="159">
        <v>0.2</v>
      </c>
      <c r="AP538" s="160">
        <f t="shared" ref="AP538:AP549" si="650">(AC538+AM538)*AN538*$AP$5</f>
        <v>76638360.827057019</v>
      </c>
      <c r="AQ538" s="161">
        <f t="shared" ref="AQ538:AQ549" si="651">AP538*$AQ$5</f>
        <v>21288.43526614608</v>
      </c>
      <c r="AR538" s="162">
        <f t="shared" ref="AR538:AR549" si="652">AQ538*$AR$5</f>
        <v>4257.687053229216</v>
      </c>
      <c r="AS538" s="163">
        <f t="shared" ref="AS538:AS549" si="653">AR538/$AS$5</f>
        <v>0.60754666855439721</v>
      </c>
      <c r="AT538" s="164">
        <f t="shared" ref="AT538:AT549" si="654">AS538</f>
        <v>0.60754666855439721</v>
      </c>
      <c r="AU538" s="165"/>
      <c r="AV538" s="166"/>
      <c r="AW538" s="167"/>
      <c r="AX538" s="146"/>
      <c r="AY538" s="168"/>
    </row>
    <row r="539" spans="1:51" s="139" customFormat="1" ht="11.25" x14ac:dyDescent="0.25">
      <c r="A539" s="1"/>
      <c r="B539" s="140">
        <v>2</v>
      </c>
      <c r="C539" s="63" t="s">
        <v>553</v>
      </c>
      <c r="D539" s="142"/>
      <c r="E539" s="143"/>
      <c r="F539" s="143"/>
      <c r="G539" s="143"/>
      <c r="H539" s="143"/>
      <c r="I539" s="222"/>
      <c r="J539" s="222"/>
      <c r="K539" s="222"/>
      <c r="L539" s="222"/>
      <c r="M539" s="222"/>
      <c r="N539" s="222"/>
      <c r="O539" s="222">
        <v>260801</v>
      </c>
      <c r="P539" s="145"/>
      <c r="Q539" s="223">
        <f t="shared" ref="Q539:Q549" si="655">O539</f>
        <v>260801</v>
      </c>
      <c r="R539" s="147">
        <f t="shared" si="635"/>
        <v>28688.11</v>
      </c>
      <c r="S539" s="147">
        <f t="shared" si="636"/>
        <v>78.597561643835618</v>
      </c>
      <c r="T539" s="148">
        <f t="shared" si="637"/>
        <v>17212.865999999998</v>
      </c>
      <c r="U539" s="199"/>
      <c r="V539" s="150"/>
      <c r="W539" s="151"/>
      <c r="X539" s="151"/>
      <c r="Y539" s="152"/>
      <c r="Z539" s="153"/>
      <c r="AA539" s="153"/>
      <c r="AB539" s="154"/>
      <c r="AC539" s="155">
        <f t="shared" si="638"/>
        <v>9983.4622799999979</v>
      </c>
      <c r="AD539" s="156">
        <f t="shared" si="639"/>
        <v>2237.6725799999999</v>
      </c>
      <c r="AE539" s="156">
        <f t="shared" si="640"/>
        <v>1510.4289914999997</v>
      </c>
      <c r="AF539" s="156">
        <f t="shared" si="641"/>
        <v>688.51463999999999</v>
      </c>
      <c r="AG539" s="156">
        <f t="shared" si="642"/>
        <v>344.25731999999999</v>
      </c>
      <c r="AH539" s="156">
        <f t="shared" si="643"/>
        <v>344.25731999999999</v>
      </c>
      <c r="AI539" s="156">
        <f t="shared" si="644"/>
        <v>172.12866</v>
      </c>
      <c r="AJ539" s="156">
        <f t="shared" si="645"/>
        <v>344.25731999999999</v>
      </c>
      <c r="AK539" s="156">
        <f t="shared" si="646"/>
        <v>344.25731999999999</v>
      </c>
      <c r="AL539" s="156">
        <f t="shared" si="647"/>
        <v>1204.9006199999999</v>
      </c>
      <c r="AM539" s="157">
        <f t="shared" si="648"/>
        <v>5297.2595114999995</v>
      </c>
      <c r="AN539" s="158">
        <f t="shared" si="649"/>
        <v>2200</v>
      </c>
      <c r="AO539" s="159">
        <v>0.2</v>
      </c>
      <c r="AP539" s="160">
        <f t="shared" si="650"/>
        <v>140750117.19263479</v>
      </c>
      <c r="AQ539" s="161">
        <f t="shared" si="651"/>
        <v>39097.257903512269</v>
      </c>
      <c r="AR539" s="162">
        <f t="shared" si="652"/>
        <v>7819.4515807024545</v>
      </c>
      <c r="AS539" s="163">
        <f t="shared" si="653"/>
        <v>1.1157893237303731</v>
      </c>
      <c r="AT539" s="164">
        <f t="shared" si="654"/>
        <v>1.1157893237303731</v>
      </c>
      <c r="AU539" s="165"/>
      <c r="AV539" s="166"/>
      <c r="AW539" s="167"/>
      <c r="AX539" s="146"/>
      <c r="AY539" s="168"/>
    </row>
    <row r="540" spans="1:51" s="139" customFormat="1" ht="11.25" x14ac:dyDescent="0.25">
      <c r="A540" s="1"/>
      <c r="B540" s="140">
        <v>3</v>
      </c>
      <c r="C540" s="63" t="s">
        <v>554</v>
      </c>
      <c r="D540" s="142"/>
      <c r="E540" s="143"/>
      <c r="F540" s="143"/>
      <c r="G540" s="143"/>
      <c r="H540" s="143"/>
      <c r="I540" s="222"/>
      <c r="J540" s="222"/>
      <c r="K540" s="222"/>
      <c r="L540" s="222"/>
      <c r="M540" s="222"/>
      <c r="N540" s="222"/>
      <c r="O540" s="222">
        <v>55825</v>
      </c>
      <c r="P540" s="145"/>
      <c r="Q540" s="223">
        <f t="shared" si="655"/>
        <v>55825</v>
      </c>
      <c r="R540" s="147">
        <f t="shared" si="635"/>
        <v>6140.75</v>
      </c>
      <c r="S540" s="147">
        <f t="shared" si="636"/>
        <v>16.823972602739726</v>
      </c>
      <c r="T540" s="148">
        <f t="shared" si="637"/>
        <v>3684.45</v>
      </c>
      <c r="U540" s="199"/>
      <c r="V540" s="150"/>
      <c r="W540" s="151"/>
      <c r="X540" s="151"/>
      <c r="Y540" s="152"/>
      <c r="Z540" s="153"/>
      <c r="AA540" s="153"/>
      <c r="AB540" s="154"/>
      <c r="AC540" s="155">
        <f t="shared" si="638"/>
        <v>2136.9809999999998</v>
      </c>
      <c r="AD540" s="156">
        <f t="shared" si="639"/>
        <v>478.9785</v>
      </c>
      <c r="AE540" s="156">
        <f t="shared" si="640"/>
        <v>323.31048749999997</v>
      </c>
      <c r="AF540" s="156">
        <f t="shared" si="641"/>
        <v>147.37799999999999</v>
      </c>
      <c r="AG540" s="156">
        <f t="shared" si="642"/>
        <v>73.688999999999993</v>
      </c>
      <c r="AH540" s="156">
        <f t="shared" si="643"/>
        <v>73.688999999999993</v>
      </c>
      <c r="AI540" s="156">
        <f t="shared" si="644"/>
        <v>36.844499999999996</v>
      </c>
      <c r="AJ540" s="156">
        <f t="shared" si="645"/>
        <v>73.688999999999993</v>
      </c>
      <c r="AK540" s="156">
        <f t="shared" si="646"/>
        <v>73.688999999999993</v>
      </c>
      <c r="AL540" s="156">
        <f t="shared" si="647"/>
        <v>257.91149999999999</v>
      </c>
      <c r="AM540" s="157">
        <f t="shared" si="648"/>
        <v>1133.8894874999999</v>
      </c>
      <c r="AN540" s="158">
        <f t="shared" si="649"/>
        <v>2200</v>
      </c>
      <c r="AO540" s="159">
        <v>0.2</v>
      </c>
      <c r="AP540" s="160">
        <f t="shared" si="650"/>
        <v>30127857.225542992</v>
      </c>
      <c r="AQ540" s="161">
        <f t="shared" si="651"/>
        <v>8368.849898825436</v>
      </c>
      <c r="AR540" s="162">
        <f t="shared" si="652"/>
        <v>1673.7699797650873</v>
      </c>
      <c r="AS540" s="163">
        <f t="shared" si="653"/>
        <v>0.23883704049159352</v>
      </c>
      <c r="AT540" s="164">
        <f t="shared" si="654"/>
        <v>0.23883704049159352</v>
      </c>
      <c r="AU540" s="165"/>
      <c r="AV540" s="166"/>
      <c r="AW540" s="167"/>
      <c r="AX540" s="146"/>
      <c r="AY540" s="168"/>
    </row>
    <row r="541" spans="1:51" s="139" customFormat="1" ht="11.25" x14ac:dyDescent="0.25">
      <c r="A541" s="1"/>
      <c r="B541" s="140">
        <v>4</v>
      </c>
      <c r="C541" s="63" t="s">
        <v>555</v>
      </c>
      <c r="D541" s="142"/>
      <c r="E541" s="143"/>
      <c r="F541" s="143"/>
      <c r="G541" s="143"/>
      <c r="H541" s="143"/>
      <c r="I541" s="222"/>
      <c r="J541" s="222"/>
      <c r="K541" s="222"/>
      <c r="L541" s="222"/>
      <c r="M541" s="222"/>
      <c r="N541" s="222"/>
      <c r="O541" s="222">
        <v>321506</v>
      </c>
      <c r="P541" s="145"/>
      <c r="Q541" s="223">
        <f t="shared" si="655"/>
        <v>321506</v>
      </c>
      <c r="R541" s="147">
        <f t="shared" si="635"/>
        <v>35365.660000000003</v>
      </c>
      <c r="S541" s="147">
        <f t="shared" si="636"/>
        <v>96.8922191780822</v>
      </c>
      <c r="T541" s="148">
        <f t="shared" si="637"/>
        <v>21219.396000000001</v>
      </c>
      <c r="U541" s="199"/>
      <c r="V541" s="150"/>
      <c r="W541" s="151"/>
      <c r="X541" s="151"/>
      <c r="Y541" s="152"/>
      <c r="Z541" s="153"/>
      <c r="AA541" s="153"/>
      <c r="AB541" s="154"/>
      <c r="AC541" s="155">
        <f t="shared" si="638"/>
        <v>12307.249679999999</v>
      </c>
      <c r="AD541" s="156">
        <f t="shared" si="639"/>
        <v>2758.5214800000003</v>
      </c>
      <c r="AE541" s="156">
        <f t="shared" si="640"/>
        <v>1862.0019989999998</v>
      </c>
      <c r="AF541" s="156">
        <f t="shared" si="641"/>
        <v>848.77584000000002</v>
      </c>
      <c r="AG541" s="156">
        <f t="shared" si="642"/>
        <v>424.38792000000001</v>
      </c>
      <c r="AH541" s="156">
        <f t="shared" si="643"/>
        <v>424.38792000000001</v>
      </c>
      <c r="AI541" s="156">
        <f t="shared" si="644"/>
        <v>212.19396</v>
      </c>
      <c r="AJ541" s="156">
        <f t="shared" si="645"/>
        <v>424.38792000000001</v>
      </c>
      <c r="AK541" s="156">
        <f t="shared" si="646"/>
        <v>424.38792000000001</v>
      </c>
      <c r="AL541" s="156">
        <f t="shared" si="647"/>
        <v>1485.3577200000002</v>
      </c>
      <c r="AM541" s="157">
        <f t="shared" si="648"/>
        <v>6530.2691190000005</v>
      </c>
      <c r="AN541" s="158">
        <f t="shared" si="649"/>
        <v>2200</v>
      </c>
      <c r="AO541" s="159">
        <v>0.2</v>
      </c>
      <c r="AP541" s="160">
        <f t="shared" si="650"/>
        <v>173511632.15683699</v>
      </c>
      <c r="AQ541" s="161">
        <f t="shared" si="651"/>
        <v>48197.679454935431</v>
      </c>
      <c r="AR541" s="162">
        <f t="shared" si="652"/>
        <v>9639.5358909870865</v>
      </c>
      <c r="AS541" s="163">
        <f t="shared" si="653"/>
        <v>1.37550455065455</v>
      </c>
      <c r="AT541" s="164">
        <f t="shared" si="654"/>
        <v>1.37550455065455</v>
      </c>
      <c r="AU541" s="165"/>
      <c r="AV541" s="166"/>
      <c r="AW541" s="167"/>
      <c r="AX541" s="146"/>
      <c r="AY541" s="168"/>
    </row>
    <row r="542" spans="1:51" s="139" customFormat="1" ht="11.25" x14ac:dyDescent="0.25">
      <c r="A542" s="1"/>
      <c r="B542" s="140">
        <v>5</v>
      </c>
      <c r="C542" s="63" t="s">
        <v>556</v>
      </c>
      <c r="D542" s="142"/>
      <c r="E542" s="143"/>
      <c r="F542" s="143"/>
      <c r="G542" s="143"/>
      <c r="H542" s="143"/>
      <c r="I542" s="222"/>
      <c r="J542" s="222"/>
      <c r="K542" s="222"/>
      <c r="L542" s="222"/>
      <c r="M542" s="222"/>
      <c r="N542" s="222"/>
      <c r="O542" s="222">
        <v>123755</v>
      </c>
      <c r="P542" s="145"/>
      <c r="Q542" s="223">
        <f t="shared" si="655"/>
        <v>123755</v>
      </c>
      <c r="R542" s="147">
        <f t="shared" si="635"/>
        <v>13613.05</v>
      </c>
      <c r="S542" s="147">
        <f t="shared" si="636"/>
        <v>37.296027397260275</v>
      </c>
      <c r="T542" s="148">
        <f t="shared" si="637"/>
        <v>8167.83</v>
      </c>
      <c r="U542" s="199"/>
      <c r="V542" s="150"/>
      <c r="W542" s="151"/>
      <c r="X542" s="151"/>
      <c r="Y542" s="152"/>
      <c r="Z542" s="153"/>
      <c r="AA542" s="153"/>
      <c r="AB542" s="154"/>
      <c r="AC542" s="155">
        <f t="shared" si="638"/>
        <v>4737.3413999999993</v>
      </c>
      <c r="AD542" s="156">
        <f t="shared" si="639"/>
        <v>1061.8179</v>
      </c>
      <c r="AE542" s="156">
        <f t="shared" si="640"/>
        <v>716.72708249999994</v>
      </c>
      <c r="AF542" s="156">
        <f t="shared" si="641"/>
        <v>326.71320000000003</v>
      </c>
      <c r="AG542" s="156">
        <f t="shared" si="642"/>
        <v>163.35660000000001</v>
      </c>
      <c r="AH542" s="156">
        <f t="shared" si="643"/>
        <v>163.35660000000001</v>
      </c>
      <c r="AI542" s="156">
        <f t="shared" si="644"/>
        <v>81.678300000000007</v>
      </c>
      <c r="AJ542" s="156">
        <f t="shared" si="645"/>
        <v>163.35660000000001</v>
      </c>
      <c r="AK542" s="156">
        <f t="shared" si="646"/>
        <v>163.35660000000001</v>
      </c>
      <c r="AL542" s="156">
        <f t="shared" si="647"/>
        <v>571.74810000000002</v>
      </c>
      <c r="AM542" s="157">
        <f t="shared" si="648"/>
        <v>2513.6496825000004</v>
      </c>
      <c r="AN542" s="158">
        <f t="shared" si="649"/>
        <v>2200</v>
      </c>
      <c r="AO542" s="159">
        <v>0.2</v>
      </c>
      <c r="AP542" s="160">
        <f t="shared" si="650"/>
        <v>66788588.8212642</v>
      </c>
      <c r="AQ542" s="161">
        <f t="shared" si="651"/>
        <v>18552.387267875361</v>
      </c>
      <c r="AR542" s="162">
        <f t="shared" si="652"/>
        <v>3710.4774535750726</v>
      </c>
      <c r="AS542" s="163">
        <f t="shared" si="653"/>
        <v>0.52946310695991328</v>
      </c>
      <c r="AT542" s="164">
        <f t="shared" si="654"/>
        <v>0.52946310695991328</v>
      </c>
      <c r="AU542" s="165"/>
      <c r="AV542" s="166"/>
      <c r="AW542" s="167"/>
      <c r="AX542" s="146"/>
      <c r="AY542" s="168"/>
    </row>
    <row r="543" spans="1:51" s="139" customFormat="1" ht="11.25" x14ac:dyDescent="0.25">
      <c r="A543" s="1"/>
      <c r="B543" s="140">
        <v>6</v>
      </c>
      <c r="C543" s="63" t="s">
        <v>557</v>
      </c>
      <c r="D543" s="142"/>
      <c r="E543" s="143"/>
      <c r="F543" s="143"/>
      <c r="G543" s="143"/>
      <c r="H543" s="143"/>
      <c r="I543" s="222"/>
      <c r="J543" s="222"/>
      <c r="K543" s="222"/>
      <c r="L543" s="222"/>
      <c r="M543" s="222"/>
      <c r="N543" s="222"/>
      <c r="O543" s="222">
        <v>246798</v>
      </c>
      <c r="P543" s="145"/>
      <c r="Q543" s="223">
        <f t="shared" si="655"/>
        <v>246798</v>
      </c>
      <c r="R543" s="147">
        <f t="shared" si="635"/>
        <v>27147.78</v>
      </c>
      <c r="S543" s="147">
        <f t="shared" si="636"/>
        <v>74.377479452054786</v>
      </c>
      <c r="T543" s="148">
        <f t="shared" si="637"/>
        <v>16288.667999999996</v>
      </c>
      <c r="U543" s="199"/>
      <c r="V543" s="150"/>
      <c r="W543" s="151"/>
      <c r="X543" s="151"/>
      <c r="Y543" s="152"/>
      <c r="Z543" s="153"/>
      <c r="AA543" s="153"/>
      <c r="AB543" s="154"/>
      <c r="AC543" s="155">
        <f t="shared" si="638"/>
        <v>9447.4274399999977</v>
      </c>
      <c r="AD543" s="156">
        <f t="shared" si="639"/>
        <v>2117.5268399999995</v>
      </c>
      <c r="AE543" s="156">
        <f t="shared" si="640"/>
        <v>1429.3306169999996</v>
      </c>
      <c r="AF543" s="156">
        <f t="shared" si="641"/>
        <v>651.54671999999982</v>
      </c>
      <c r="AG543" s="156">
        <f t="shared" si="642"/>
        <v>325.77335999999991</v>
      </c>
      <c r="AH543" s="156">
        <f t="shared" si="643"/>
        <v>325.77335999999991</v>
      </c>
      <c r="AI543" s="156">
        <f t="shared" si="644"/>
        <v>162.88667999999996</v>
      </c>
      <c r="AJ543" s="156">
        <f t="shared" si="645"/>
        <v>325.77335999999991</v>
      </c>
      <c r="AK543" s="156">
        <f t="shared" si="646"/>
        <v>325.77335999999991</v>
      </c>
      <c r="AL543" s="156">
        <f t="shared" si="647"/>
        <v>1140.2067599999998</v>
      </c>
      <c r="AM543" s="157">
        <f t="shared" si="648"/>
        <v>5012.8375769999984</v>
      </c>
      <c r="AN543" s="158">
        <f t="shared" si="649"/>
        <v>2200</v>
      </c>
      <c r="AO543" s="159">
        <v>0.2</v>
      </c>
      <c r="AP543" s="160">
        <f t="shared" si="650"/>
        <v>133192922.66098629</v>
      </c>
      <c r="AQ543" s="161">
        <f t="shared" si="651"/>
        <v>36998.037032338914</v>
      </c>
      <c r="AR543" s="162">
        <f t="shared" si="652"/>
        <v>7399.6074064677832</v>
      </c>
      <c r="AS543" s="163">
        <f t="shared" si="653"/>
        <v>1.0558800522927774</v>
      </c>
      <c r="AT543" s="164">
        <f t="shared" si="654"/>
        <v>1.0558800522927774</v>
      </c>
      <c r="AU543" s="165"/>
      <c r="AV543" s="166"/>
      <c r="AW543" s="167"/>
      <c r="AX543" s="146"/>
      <c r="AY543" s="168"/>
    </row>
    <row r="544" spans="1:51" s="139" customFormat="1" ht="11.25" x14ac:dyDescent="0.25">
      <c r="A544" s="1"/>
      <c r="B544" s="140">
        <v>7</v>
      </c>
      <c r="C544" s="63" t="s">
        <v>558</v>
      </c>
      <c r="D544" s="142"/>
      <c r="E544" s="143"/>
      <c r="F544" s="143"/>
      <c r="G544" s="143"/>
      <c r="H544" s="143"/>
      <c r="I544" s="222"/>
      <c r="J544" s="222"/>
      <c r="K544" s="222"/>
      <c r="L544" s="222"/>
      <c r="M544" s="222"/>
      <c r="N544" s="222"/>
      <c r="O544" s="222">
        <v>269853</v>
      </c>
      <c r="P544" s="145"/>
      <c r="Q544" s="223">
        <f t="shared" si="655"/>
        <v>269853</v>
      </c>
      <c r="R544" s="147">
        <f t="shared" si="635"/>
        <v>29683.83</v>
      </c>
      <c r="S544" s="147">
        <f t="shared" si="636"/>
        <v>81.325561643835627</v>
      </c>
      <c r="T544" s="148">
        <f t="shared" si="637"/>
        <v>17810.298000000003</v>
      </c>
      <c r="U544" s="199"/>
      <c r="V544" s="150"/>
      <c r="W544" s="151"/>
      <c r="X544" s="151"/>
      <c r="Y544" s="152"/>
      <c r="Z544" s="153"/>
      <c r="AA544" s="153"/>
      <c r="AB544" s="154"/>
      <c r="AC544" s="155">
        <f t="shared" si="638"/>
        <v>10329.97284</v>
      </c>
      <c r="AD544" s="156">
        <f t="shared" si="639"/>
        <v>2315.3387400000006</v>
      </c>
      <c r="AE544" s="156">
        <f t="shared" si="640"/>
        <v>1562.8536495000001</v>
      </c>
      <c r="AF544" s="156">
        <f t="shared" si="641"/>
        <v>712.41192000000012</v>
      </c>
      <c r="AG544" s="156">
        <f t="shared" si="642"/>
        <v>356.20596000000006</v>
      </c>
      <c r="AH544" s="156">
        <f t="shared" si="643"/>
        <v>356.20596000000006</v>
      </c>
      <c r="AI544" s="156">
        <f t="shared" si="644"/>
        <v>178.10298000000003</v>
      </c>
      <c r="AJ544" s="156">
        <f t="shared" si="645"/>
        <v>356.20596000000006</v>
      </c>
      <c r="AK544" s="156">
        <f t="shared" si="646"/>
        <v>356.20596000000006</v>
      </c>
      <c r="AL544" s="156">
        <f t="shared" si="647"/>
        <v>1246.7208600000004</v>
      </c>
      <c r="AM544" s="157">
        <f t="shared" si="648"/>
        <v>5481.1192095000015</v>
      </c>
      <c r="AN544" s="158">
        <f t="shared" si="649"/>
        <v>2200</v>
      </c>
      <c r="AO544" s="159">
        <v>0.2</v>
      </c>
      <c r="AP544" s="160">
        <f t="shared" si="650"/>
        <v>145635336.42426255</v>
      </c>
      <c r="AQ544" s="161">
        <f t="shared" si="651"/>
        <v>40454.26335419152</v>
      </c>
      <c r="AR544" s="162">
        <f t="shared" si="652"/>
        <v>8090.8526708383042</v>
      </c>
      <c r="AS544" s="163">
        <f t="shared" si="653"/>
        <v>1.1545166482360594</v>
      </c>
      <c r="AT544" s="164">
        <f t="shared" si="654"/>
        <v>1.1545166482360594</v>
      </c>
      <c r="AU544" s="165"/>
      <c r="AV544" s="166"/>
      <c r="AW544" s="167"/>
      <c r="AX544" s="146"/>
      <c r="AY544" s="168"/>
    </row>
    <row r="545" spans="1:51" s="139" customFormat="1" ht="11.25" x14ac:dyDescent="0.25">
      <c r="A545" s="1"/>
      <c r="B545" s="140">
        <v>8</v>
      </c>
      <c r="C545" s="63" t="s">
        <v>559</v>
      </c>
      <c r="D545" s="142"/>
      <c r="E545" s="143"/>
      <c r="F545" s="143"/>
      <c r="G545" s="143"/>
      <c r="H545" s="143"/>
      <c r="I545" s="222"/>
      <c r="J545" s="222"/>
      <c r="K545" s="222"/>
      <c r="L545" s="222"/>
      <c r="M545" s="222"/>
      <c r="N545" s="222"/>
      <c r="O545" s="222">
        <v>52560</v>
      </c>
      <c r="P545" s="145"/>
      <c r="Q545" s="223">
        <f t="shared" si="655"/>
        <v>52560</v>
      </c>
      <c r="R545" s="147">
        <f t="shared" si="635"/>
        <v>5781.6</v>
      </c>
      <c r="S545" s="147">
        <f t="shared" si="636"/>
        <v>15.840000000000002</v>
      </c>
      <c r="T545" s="148">
        <f t="shared" si="637"/>
        <v>3468.96</v>
      </c>
      <c r="U545" s="199"/>
      <c r="V545" s="150"/>
      <c r="W545" s="151"/>
      <c r="X545" s="151"/>
      <c r="Y545" s="152"/>
      <c r="Z545" s="153"/>
      <c r="AA545" s="153"/>
      <c r="AB545" s="154"/>
      <c r="AC545" s="155">
        <f t="shared" si="638"/>
        <v>2011.9967999999999</v>
      </c>
      <c r="AD545" s="156">
        <f t="shared" si="639"/>
        <v>450.96480000000003</v>
      </c>
      <c r="AE545" s="156">
        <f t="shared" si="640"/>
        <v>304.40123999999997</v>
      </c>
      <c r="AF545" s="156">
        <f t="shared" si="641"/>
        <v>138.75839999999999</v>
      </c>
      <c r="AG545" s="156">
        <f t="shared" si="642"/>
        <v>69.379199999999997</v>
      </c>
      <c r="AH545" s="156">
        <f t="shared" si="643"/>
        <v>69.379199999999997</v>
      </c>
      <c r="AI545" s="156">
        <f t="shared" si="644"/>
        <v>34.689599999999999</v>
      </c>
      <c r="AJ545" s="156">
        <f t="shared" si="645"/>
        <v>69.379199999999997</v>
      </c>
      <c r="AK545" s="156">
        <f t="shared" si="646"/>
        <v>69.379199999999997</v>
      </c>
      <c r="AL545" s="156">
        <f t="shared" si="647"/>
        <v>242.82720000000003</v>
      </c>
      <c r="AM545" s="157">
        <f t="shared" si="648"/>
        <v>1067.5724399999999</v>
      </c>
      <c r="AN545" s="158">
        <f t="shared" si="649"/>
        <v>2200</v>
      </c>
      <c r="AO545" s="159">
        <v>0.2</v>
      </c>
      <c r="AP545" s="160">
        <f t="shared" si="650"/>
        <v>28365789.086870398</v>
      </c>
      <c r="AQ545" s="161">
        <f t="shared" si="651"/>
        <v>7879.3864878148679</v>
      </c>
      <c r="AR545" s="162">
        <f t="shared" si="652"/>
        <v>1575.8772975629736</v>
      </c>
      <c r="AS545" s="163">
        <f t="shared" si="653"/>
        <v>0.22486833583946542</v>
      </c>
      <c r="AT545" s="164">
        <f t="shared" si="654"/>
        <v>0.22486833583946542</v>
      </c>
      <c r="AU545" s="165"/>
      <c r="AV545" s="166"/>
      <c r="AW545" s="167"/>
      <c r="AX545" s="146"/>
      <c r="AY545" s="168"/>
    </row>
    <row r="546" spans="1:51" s="139" customFormat="1" ht="11.25" x14ac:dyDescent="0.25">
      <c r="A546" s="1"/>
      <c r="B546" s="140">
        <v>9</v>
      </c>
      <c r="C546" s="63" t="s">
        <v>560</v>
      </c>
      <c r="D546" s="142"/>
      <c r="E546" s="143"/>
      <c r="F546" s="143"/>
      <c r="G546" s="143"/>
      <c r="H546" s="143"/>
      <c r="I546" s="222"/>
      <c r="J546" s="222"/>
      <c r="K546" s="222"/>
      <c r="L546" s="222"/>
      <c r="M546" s="222"/>
      <c r="N546" s="222"/>
      <c r="O546" s="222">
        <v>273616</v>
      </c>
      <c r="P546" s="145"/>
      <c r="Q546" s="223">
        <f t="shared" si="655"/>
        <v>273616</v>
      </c>
      <c r="R546" s="147">
        <f t="shared" si="635"/>
        <v>30097.759999999998</v>
      </c>
      <c r="S546" s="147">
        <f t="shared" si="636"/>
        <v>82.459616438356164</v>
      </c>
      <c r="T546" s="148">
        <f t="shared" si="637"/>
        <v>18058.655999999999</v>
      </c>
      <c r="U546" s="199"/>
      <c r="V546" s="150"/>
      <c r="W546" s="151"/>
      <c r="X546" s="151"/>
      <c r="Y546" s="152"/>
      <c r="Z546" s="153"/>
      <c r="AA546" s="153"/>
      <c r="AB546" s="154"/>
      <c r="AC546" s="155">
        <f t="shared" si="638"/>
        <v>10474.020479999999</v>
      </c>
      <c r="AD546" s="156">
        <f t="shared" si="639"/>
        <v>2347.6252799999997</v>
      </c>
      <c r="AE546" s="156">
        <f t="shared" si="640"/>
        <v>1584.6470639999998</v>
      </c>
      <c r="AF546" s="156">
        <f t="shared" si="641"/>
        <v>722.34623999999997</v>
      </c>
      <c r="AG546" s="156">
        <f t="shared" si="642"/>
        <v>361.17311999999998</v>
      </c>
      <c r="AH546" s="156">
        <f t="shared" si="643"/>
        <v>361.17311999999998</v>
      </c>
      <c r="AI546" s="156">
        <f t="shared" si="644"/>
        <v>180.58655999999999</v>
      </c>
      <c r="AJ546" s="156">
        <f t="shared" si="645"/>
        <v>361.17311999999998</v>
      </c>
      <c r="AK546" s="156">
        <f t="shared" si="646"/>
        <v>361.17311999999998</v>
      </c>
      <c r="AL546" s="156">
        <f t="shared" si="647"/>
        <v>1264.10592</v>
      </c>
      <c r="AM546" s="157">
        <f t="shared" si="648"/>
        <v>5557.5513840000003</v>
      </c>
      <c r="AN546" s="158">
        <f t="shared" si="649"/>
        <v>2200</v>
      </c>
      <c r="AO546" s="159">
        <v>0.2</v>
      </c>
      <c r="AP546" s="160">
        <f t="shared" si="650"/>
        <v>147666167.17642942</v>
      </c>
      <c r="AQ546" s="161">
        <f t="shared" si="651"/>
        <v>41018.383052700774</v>
      </c>
      <c r="AR546" s="162">
        <f t="shared" si="652"/>
        <v>8203.6766105401548</v>
      </c>
      <c r="AS546" s="163">
        <f t="shared" si="653"/>
        <v>1.1706159547003645</v>
      </c>
      <c r="AT546" s="233">
        <f t="shared" si="654"/>
        <v>1.1706159547003645</v>
      </c>
      <c r="AU546" s="187"/>
      <c r="AV546" s="166"/>
      <c r="AW546" s="167"/>
      <c r="AX546" s="146"/>
      <c r="AY546" s="168"/>
    </row>
    <row r="547" spans="1:51" s="139" customFormat="1" ht="11.25" x14ac:dyDescent="0.25">
      <c r="A547" s="1"/>
      <c r="B547" s="140">
        <v>10</v>
      </c>
      <c r="C547" s="63" t="s">
        <v>561</v>
      </c>
      <c r="D547" s="142"/>
      <c r="E547" s="143"/>
      <c r="F547" s="143"/>
      <c r="G547" s="143"/>
      <c r="H547" s="143"/>
      <c r="I547" s="222"/>
      <c r="J547" s="222"/>
      <c r="K547" s="222"/>
      <c r="L547" s="222"/>
      <c r="M547" s="222"/>
      <c r="N547" s="222"/>
      <c r="O547" s="222">
        <v>94846</v>
      </c>
      <c r="P547" s="145"/>
      <c r="Q547" s="223">
        <f t="shared" si="655"/>
        <v>94846</v>
      </c>
      <c r="R547" s="147">
        <f t="shared" si="635"/>
        <v>10433.06</v>
      </c>
      <c r="S547" s="147">
        <f t="shared" si="636"/>
        <v>28.583726027397258</v>
      </c>
      <c r="T547" s="148">
        <f t="shared" si="637"/>
        <v>6259.8359999999993</v>
      </c>
      <c r="U547" s="199"/>
      <c r="V547" s="150"/>
      <c r="W547" s="151"/>
      <c r="X547" s="151"/>
      <c r="Y547" s="152"/>
      <c r="Z547" s="153"/>
      <c r="AA547" s="153"/>
      <c r="AB547" s="154"/>
      <c r="AC547" s="155">
        <f t="shared" si="638"/>
        <v>3630.7048799999993</v>
      </c>
      <c r="AD547" s="156">
        <f t="shared" si="639"/>
        <v>813.77867999999989</v>
      </c>
      <c r="AE547" s="156">
        <f t="shared" si="640"/>
        <v>549.30060899999989</v>
      </c>
      <c r="AF547" s="156">
        <f t="shared" si="641"/>
        <v>250.39343999999997</v>
      </c>
      <c r="AG547" s="156">
        <f t="shared" si="642"/>
        <v>125.19671999999998</v>
      </c>
      <c r="AH547" s="156">
        <f t="shared" si="643"/>
        <v>125.19671999999998</v>
      </c>
      <c r="AI547" s="156">
        <f t="shared" si="644"/>
        <v>62.598359999999992</v>
      </c>
      <c r="AJ547" s="156">
        <f t="shared" si="645"/>
        <v>125.19671999999998</v>
      </c>
      <c r="AK547" s="156">
        <f t="shared" si="646"/>
        <v>125.19671999999998</v>
      </c>
      <c r="AL547" s="156">
        <f t="shared" si="647"/>
        <v>438.18851999999998</v>
      </c>
      <c r="AM547" s="157">
        <f t="shared" si="648"/>
        <v>1926.4645289999996</v>
      </c>
      <c r="AN547" s="158">
        <f t="shared" si="649"/>
        <v>2200</v>
      </c>
      <c r="AO547" s="159">
        <v>0.2</v>
      </c>
      <c r="AP547" s="160">
        <f t="shared" si="650"/>
        <v>51186865.139522627</v>
      </c>
      <c r="AQ547" s="161">
        <f t="shared" si="651"/>
        <v>14218.574787353287</v>
      </c>
      <c r="AR547" s="162">
        <f t="shared" si="652"/>
        <v>2843.7149574706577</v>
      </c>
      <c r="AS547" s="163">
        <f t="shared" si="653"/>
        <v>0.40578124393131532</v>
      </c>
      <c r="AT547" s="164">
        <f t="shared" si="654"/>
        <v>0.40578124393131532</v>
      </c>
      <c r="AU547" s="165"/>
      <c r="AV547" s="166"/>
      <c r="AW547" s="167"/>
      <c r="AX547" s="146"/>
      <c r="AY547" s="168"/>
    </row>
    <row r="548" spans="1:51" s="139" customFormat="1" ht="11.25" x14ac:dyDescent="0.25">
      <c r="A548" s="1"/>
      <c r="B548" s="140">
        <v>11</v>
      </c>
      <c r="C548" s="362" t="s">
        <v>562</v>
      </c>
      <c r="D548" s="142"/>
      <c r="E548" s="143"/>
      <c r="F548" s="143"/>
      <c r="G548" s="143"/>
      <c r="H548" s="143"/>
      <c r="I548" s="222"/>
      <c r="J548" s="222"/>
      <c r="K548" s="222"/>
      <c r="L548" s="222"/>
      <c r="M548" s="222"/>
      <c r="N548" s="222"/>
      <c r="O548" s="222">
        <v>139717</v>
      </c>
      <c r="P548" s="145"/>
      <c r="Q548" s="223">
        <f t="shared" si="655"/>
        <v>139717</v>
      </c>
      <c r="R548" s="147">
        <f t="shared" si="635"/>
        <v>15368.87</v>
      </c>
      <c r="S548" s="147">
        <f t="shared" si="636"/>
        <v>42.106493150684933</v>
      </c>
      <c r="T548" s="148">
        <f t="shared" si="637"/>
        <v>9221.3220000000001</v>
      </c>
      <c r="U548" s="199"/>
      <c r="V548" s="150"/>
      <c r="W548" s="151"/>
      <c r="X548" s="151"/>
      <c r="Y548" s="152"/>
      <c r="Z548" s="153"/>
      <c r="AA548" s="153"/>
      <c r="AB548" s="154"/>
      <c r="AC548" s="155">
        <f t="shared" si="638"/>
        <v>5348.3667599999999</v>
      </c>
      <c r="AD548" s="156">
        <f t="shared" si="639"/>
        <v>1198.7718600000001</v>
      </c>
      <c r="AE548" s="156">
        <f t="shared" si="640"/>
        <v>809.17100549999998</v>
      </c>
      <c r="AF548" s="156">
        <f t="shared" si="641"/>
        <v>368.85288000000003</v>
      </c>
      <c r="AG548" s="156">
        <f t="shared" si="642"/>
        <v>184.42644000000001</v>
      </c>
      <c r="AH548" s="156">
        <f t="shared" si="643"/>
        <v>184.42644000000001</v>
      </c>
      <c r="AI548" s="156">
        <f t="shared" si="644"/>
        <v>92.213220000000007</v>
      </c>
      <c r="AJ548" s="156">
        <f t="shared" si="645"/>
        <v>184.42644000000001</v>
      </c>
      <c r="AK548" s="156">
        <f t="shared" si="646"/>
        <v>184.42644000000001</v>
      </c>
      <c r="AL548" s="156">
        <f t="shared" si="647"/>
        <v>645.49254000000008</v>
      </c>
      <c r="AM548" s="157">
        <f t="shared" si="648"/>
        <v>2837.8618455000005</v>
      </c>
      <c r="AN548" s="158">
        <f t="shared" si="649"/>
        <v>2200</v>
      </c>
      <c r="AO548" s="159">
        <v>0.2</v>
      </c>
      <c r="AP548" s="160">
        <f t="shared" si="650"/>
        <v>75403024.23611629</v>
      </c>
      <c r="AQ548" s="161">
        <f t="shared" si="651"/>
        <v>20945.286185655063</v>
      </c>
      <c r="AR548" s="162">
        <f t="shared" si="652"/>
        <v>4189.0572371310127</v>
      </c>
      <c r="AS548" s="163">
        <f t="shared" si="653"/>
        <v>0.59775360118878607</v>
      </c>
      <c r="AT548" s="164">
        <f t="shared" si="654"/>
        <v>0.59775360118878607</v>
      </c>
      <c r="AU548" s="165"/>
      <c r="AV548" s="166"/>
      <c r="AW548" s="167"/>
      <c r="AX548" s="146"/>
      <c r="AY548" s="168"/>
    </row>
    <row r="549" spans="1:51" s="139" customFormat="1" ht="11.25" x14ac:dyDescent="0.25">
      <c r="A549" s="1"/>
      <c r="B549" s="140">
        <v>12</v>
      </c>
      <c r="C549" s="128" t="s">
        <v>563</v>
      </c>
      <c r="D549" s="142"/>
      <c r="E549" s="143"/>
      <c r="F549" s="143"/>
      <c r="G549" s="143"/>
      <c r="H549" s="143"/>
      <c r="I549" s="222"/>
      <c r="J549" s="222"/>
      <c r="K549" s="222"/>
      <c r="L549" s="222"/>
      <c r="M549" s="222"/>
      <c r="N549" s="222"/>
      <c r="O549" s="222">
        <v>295737</v>
      </c>
      <c r="P549" s="145"/>
      <c r="Q549" s="223">
        <f t="shared" si="655"/>
        <v>295737</v>
      </c>
      <c r="R549" s="147">
        <f t="shared" si="635"/>
        <v>32531.07</v>
      </c>
      <c r="S549" s="147">
        <f t="shared" si="636"/>
        <v>89.126219178082195</v>
      </c>
      <c r="T549" s="148">
        <f t="shared" si="637"/>
        <v>19518.642</v>
      </c>
      <c r="U549" s="199"/>
      <c r="V549" s="150"/>
      <c r="W549" s="151"/>
      <c r="X549" s="151"/>
      <c r="Y549" s="152"/>
      <c r="Z549" s="153"/>
      <c r="AA549" s="153"/>
      <c r="AB549" s="154"/>
      <c r="AC549" s="155">
        <f t="shared" si="638"/>
        <v>11320.81236</v>
      </c>
      <c r="AD549" s="156">
        <f t="shared" si="639"/>
        <v>2537.42346</v>
      </c>
      <c r="AE549" s="156">
        <f t="shared" si="640"/>
        <v>1712.7608355</v>
      </c>
      <c r="AF549" s="156">
        <f t="shared" si="641"/>
        <v>780.74567999999999</v>
      </c>
      <c r="AG549" s="156">
        <f t="shared" si="642"/>
        <v>390.37284</v>
      </c>
      <c r="AH549" s="156">
        <f t="shared" si="643"/>
        <v>390.37284</v>
      </c>
      <c r="AI549" s="156">
        <f t="shared" si="644"/>
        <v>195.18642</v>
      </c>
      <c r="AJ549" s="156">
        <f t="shared" si="645"/>
        <v>390.37284</v>
      </c>
      <c r="AK549" s="156">
        <f t="shared" si="646"/>
        <v>390.37284</v>
      </c>
      <c r="AL549" s="156">
        <f t="shared" si="647"/>
        <v>1366.3049400000002</v>
      </c>
      <c r="AM549" s="157">
        <f t="shared" si="648"/>
        <v>6006.8620755000002</v>
      </c>
      <c r="AN549" s="158">
        <f t="shared" si="649"/>
        <v>2200</v>
      </c>
      <c r="AO549" s="159">
        <v>0.2</v>
      </c>
      <c r="AP549" s="160">
        <f t="shared" si="650"/>
        <v>159604516.11841309</v>
      </c>
      <c r="AQ549" s="161">
        <f t="shared" si="651"/>
        <v>44334.591357437326</v>
      </c>
      <c r="AR549" s="162">
        <f t="shared" si="652"/>
        <v>8866.918271487466</v>
      </c>
      <c r="AS549" s="163">
        <f t="shared" si="653"/>
        <v>1.2652566026665906</v>
      </c>
      <c r="AT549" s="164">
        <f t="shared" si="654"/>
        <v>1.2652566026665906</v>
      </c>
      <c r="AU549" s="165"/>
      <c r="AV549" s="166"/>
      <c r="AW549" s="167"/>
      <c r="AX549" s="146"/>
      <c r="AY549" s="168"/>
    </row>
    <row r="550" spans="1:51" s="190" customFormat="1" ht="16.7" customHeight="1" x14ac:dyDescent="0.25">
      <c r="A550" s="173"/>
      <c r="B550" s="120"/>
      <c r="C550" s="352" t="s">
        <v>564</v>
      </c>
      <c r="D550" s="240">
        <f>SUM(D538:D549)</f>
        <v>0</v>
      </c>
      <c r="E550" s="240">
        <f>SUM(E538:E549)</f>
        <v>0</v>
      </c>
      <c r="F550" s="240">
        <f>SUM(F538:F549)</f>
        <v>0</v>
      </c>
      <c r="G550" s="240">
        <f>SUM(G538:G549)</f>
        <v>0</v>
      </c>
      <c r="H550" s="240">
        <f>SUM(H538:H549)</f>
        <v>0</v>
      </c>
      <c r="I550" s="240">
        <f t="shared" ref="I550:P550" si="656">SUM(I538:I549)</f>
        <v>0</v>
      </c>
      <c r="J550" s="240">
        <f t="shared" si="656"/>
        <v>0</v>
      </c>
      <c r="K550" s="240">
        <f t="shared" si="656"/>
        <v>0</v>
      </c>
      <c r="L550" s="240">
        <f t="shared" si="656"/>
        <v>0</v>
      </c>
      <c r="M550" s="240">
        <f t="shared" si="656"/>
        <v>0</v>
      </c>
      <c r="N550" s="240">
        <f t="shared" si="656"/>
        <v>0</v>
      </c>
      <c r="O550" s="240">
        <f t="shared" si="656"/>
        <v>2277020</v>
      </c>
      <c r="P550" s="240">
        <f t="shared" si="656"/>
        <v>0</v>
      </c>
      <c r="Q550" s="240">
        <f>SUM(Q538:Q549)</f>
        <v>2277020</v>
      </c>
      <c r="R550" s="240">
        <f>SUM(R538:R549)</f>
        <v>250472.20000000004</v>
      </c>
      <c r="S550" s="240">
        <f>SUM(S538:S549)</f>
        <v>686.22520547945203</v>
      </c>
      <c r="T550" s="240">
        <f>SUM(T538:T549)</f>
        <v>150283.31999999998</v>
      </c>
      <c r="U550" s="199">
        <f>SUM(U538:U549)</f>
        <v>0</v>
      </c>
      <c r="V550" s="241"/>
      <c r="W550" s="242">
        <f>SUM(W538:W549)</f>
        <v>0</v>
      </c>
      <c r="X550" s="242">
        <f>SUM(X538:X549)</f>
        <v>0</v>
      </c>
      <c r="Y550" s="242">
        <f>SUM(Y538:Y549)</f>
        <v>0</v>
      </c>
      <c r="Z550" s="199"/>
      <c r="AA550" s="199"/>
      <c r="AB550" s="243"/>
      <c r="AC550" s="240">
        <f t="shared" ref="AC550:AM550" si="657">SUM(AC538:AC549)</f>
        <v>87164.325599999996</v>
      </c>
      <c r="AD550" s="244">
        <f t="shared" si="657"/>
        <v>19536.831599999998</v>
      </c>
      <c r="AE550" s="244">
        <f t="shared" si="657"/>
        <v>13187.361329999996</v>
      </c>
      <c r="AF550" s="244">
        <f t="shared" si="657"/>
        <v>6011.3328000000001</v>
      </c>
      <c r="AG550" s="244">
        <f t="shared" si="657"/>
        <v>3005.6664000000001</v>
      </c>
      <c r="AH550" s="244">
        <f t="shared" si="657"/>
        <v>3005.6664000000001</v>
      </c>
      <c r="AI550" s="244">
        <f t="shared" si="657"/>
        <v>1502.8332</v>
      </c>
      <c r="AJ550" s="244">
        <f t="shared" si="657"/>
        <v>3005.6664000000001</v>
      </c>
      <c r="AK550" s="244">
        <f t="shared" si="657"/>
        <v>3005.6664000000001</v>
      </c>
      <c r="AL550" s="244">
        <f t="shared" si="657"/>
        <v>10519.832399999999</v>
      </c>
      <c r="AM550" s="245">
        <f t="shared" si="657"/>
        <v>46249.691729999999</v>
      </c>
      <c r="AN550" s="158"/>
      <c r="AO550" s="183"/>
      <c r="AP550" s="184">
        <f>SUM(AP538:AP549)</f>
        <v>1228871177.0659366</v>
      </c>
      <c r="AQ550" s="184">
        <f>SUM(AQ538:AQ549)</f>
        <v>341353.13204878633</v>
      </c>
      <c r="AR550" s="184">
        <f>SUM(AR538:AR549)</f>
        <v>68270.626409757271</v>
      </c>
      <c r="AS550" s="185">
        <f>SUM(AS538:AS549)</f>
        <v>9.7418131292461876</v>
      </c>
      <c r="AT550" s="186">
        <f>SUM(AT538:AT549)</f>
        <v>9.7418131292461876</v>
      </c>
      <c r="AU550" s="187"/>
      <c r="AV550" s="246">
        <f>SUM(AV542:AV549)</f>
        <v>0</v>
      </c>
      <c r="AW550" s="246"/>
      <c r="AX550" s="185">
        <f>SUM(AX542:AX549)</f>
        <v>0</v>
      </c>
      <c r="AY550" s="189"/>
    </row>
    <row r="551" spans="1:51" s="139" customFormat="1" ht="10.9" customHeight="1" x14ac:dyDescent="0.25">
      <c r="Q551" s="310"/>
      <c r="R551" s="310"/>
      <c r="S551" s="310"/>
      <c r="T551" s="310"/>
      <c r="U551" s="311"/>
      <c r="V551" s="312"/>
      <c r="W551" s="310"/>
      <c r="X551" s="310"/>
      <c r="Z551" s="86"/>
      <c r="AA551" s="86"/>
      <c r="AB551" s="313"/>
      <c r="AD551" s="314"/>
      <c r="AE551" s="314"/>
      <c r="AF551" s="314"/>
      <c r="AG551" s="314"/>
      <c r="AH551" s="314"/>
      <c r="AI551" s="314"/>
      <c r="AJ551" s="314"/>
      <c r="AK551" s="314"/>
      <c r="AL551" s="314"/>
      <c r="AM551" s="315"/>
      <c r="AN551" s="310"/>
      <c r="AO551" s="316"/>
      <c r="AP551" s="310"/>
      <c r="AQ551" s="317"/>
      <c r="AR551" s="317"/>
      <c r="AS551" s="318"/>
      <c r="AT551" s="318"/>
      <c r="AU551" s="319"/>
      <c r="AV551" s="310"/>
      <c r="AW551" s="310"/>
      <c r="AX551" s="310"/>
      <c r="AY551" s="310"/>
    </row>
    <row r="552" spans="1:51" s="351" customFormat="1" ht="26.45" customHeight="1" thickBot="1" x14ac:dyDescent="0.3">
      <c r="A552" s="346"/>
      <c r="B552" s="272"/>
      <c r="C552" s="356" t="s">
        <v>565</v>
      </c>
      <c r="D552" s="272">
        <f>D476+D485+D499+D508+D535+D550</f>
        <v>830184</v>
      </c>
      <c r="E552" s="272">
        <f t="shared" ref="E552:P552" si="658">E476+E485+E499+E508+E535+E550</f>
        <v>0</v>
      </c>
      <c r="F552" s="272">
        <f t="shared" si="658"/>
        <v>0</v>
      </c>
      <c r="G552" s="272">
        <f t="shared" si="658"/>
        <v>0</v>
      </c>
      <c r="H552" s="272">
        <f t="shared" si="658"/>
        <v>0</v>
      </c>
      <c r="I552" s="272">
        <f t="shared" si="658"/>
        <v>0</v>
      </c>
      <c r="J552" s="272">
        <f t="shared" si="658"/>
        <v>0</v>
      </c>
      <c r="K552" s="272">
        <f t="shared" si="658"/>
        <v>0</v>
      </c>
      <c r="L552" s="272">
        <f t="shared" si="658"/>
        <v>0</v>
      </c>
      <c r="M552" s="272">
        <f t="shared" si="658"/>
        <v>0</v>
      </c>
      <c r="N552" s="272">
        <f t="shared" si="658"/>
        <v>1040164</v>
      </c>
      <c r="O552" s="272">
        <f>O476+O485+O499+O508+O535+O550</f>
        <v>15429056</v>
      </c>
      <c r="P552" s="272">
        <f t="shared" si="658"/>
        <v>0</v>
      </c>
      <c r="Q552" s="272">
        <f>Q476+Q485+Q499+Q508+Q535+Q550</f>
        <v>16469220</v>
      </c>
      <c r="R552" s="272">
        <f>R476+R485+R499+R508+R535+R550</f>
        <v>1608819.952</v>
      </c>
      <c r="S552" s="272">
        <f>S476+S485+S499+S508+S535+S550</f>
        <v>5099.8718136986299</v>
      </c>
      <c r="T552" s="272">
        <f>T476+T485+T499+T508+T535+T550</f>
        <v>1137084.4154000001</v>
      </c>
      <c r="U552" s="272">
        <f t="shared" ref="U552:AM552" si="659">U476+U485+U499+U508+U535+U550</f>
        <v>0</v>
      </c>
      <c r="V552" s="272">
        <f t="shared" si="659"/>
        <v>0</v>
      </c>
      <c r="W552" s="272">
        <f t="shared" si="659"/>
        <v>0</v>
      </c>
      <c r="X552" s="272">
        <f t="shared" si="659"/>
        <v>0</v>
      </c>
      <c r="Y552" s="272">
        <f t="shared" si="659"/>
        <v>0</v>
      </c>
      <c r="Z552" s="272">
        <f t="shared" si="659"/>
        <v>0</v>
      </c>
      <c r="AA552" s="272">
        <f t="shared" si="659"/>
        <v>0</v>
      </c>
      <c r="AB552" s="272">
        <f t="shared" si="659"/>
        <v>0</v>
      </c>
      <c r="AC552" s="272">
        <f t="shared" si="659"/>
        <v>659508.96093199996</v>
      </c>
      <c r="AD552" s="272">
        <f t="shared" si="659"/>
        <v>147820.974002</v>
      </c>
      <c r="AE552" s="272">
        <f t="shared" si="659"/>
        <v>99779.157451349995</v>
      </c>
      <c r="AF552" s="272">
        <f t="shared" si="659"/>
        <v>45483.376616000009</v>
      </c>
      <c r="AG552" s="272">
        <f t="shared" si="659"/>
        <v>22741.688308000004</v>
      </c>
      <c r="AH552" s="272">
        <f t="shared" si="659"/>
        <v>22741.688308000004</v>
      </c>
      <c r="AI552" s="272">
        <f t="shared" si="659"/>
        <v>11370.844154000002</v>
      </c>
      <c r="AJ552" s="272">
        <f t="shared" si="659"/>
        <v>22741.688308000004</v>
      </c>
      <c r="AK552" s="272">
        <f t="shared" si="659"/>
        <v>22741.688308000004</v>
      </c>
      <c r="AL552" s="272">
        <f t="shared" si="659"/>
        <v>79595.909077999997</v>
      </c>
      <c r="AM552" s="272">
        <f t="shared" si="659"/>
        <v>349937.72883934999</v>
      </c>
      <c r="AN552" s="350"/>
      <c r="AO552" s="350"/>
      <c r="AP552" s="272">
        <f t="shared" ref="AP552:AX552" si="660">AP476+AP485+AP499+AP508+AP535+AP550</f>
        <v>9297973081.616312</v>
      </c>
      <c r="AQ552" s="272">
        <f t="shared" si="660"/>
        <v>2582770.5070705996</v>
      </c>
      <c r="AR552" s="272">
        <f t="shared" si="660"/>
        <v>516554.10141412006</v>
      </c>
      <c r="AS552" s="272">
        <f t="shared" si="660"/>
        <v>73.709203968909819</v>
      </c>
      <c r="AT552" s="272">
        <f t="shared" si="660"/>
        <v>73.709203968909819</v>
      </c>
      <c r="AU552" s="272">
        <f t="shared" si="660"/>
        <v>0</v>
      </c>
      <c r="AV552" s="272">
        <f t="shared" si="660"/>
        <v>0</v>
      </c>
      <c r="AW552" s="272"/>
      <c r="AX552" s="272">
        <f t="shared" si="660"/>
        <v>0</v>
      </c>
      <c r="AY552" s="350"/>
    </row>
    <row r="553" spans="1:51" s="139" customFormat="1" ht="10.9" customHeight="1" x14ac:dyDescent="0.25">
      <c r="Q553" s="310"/>
      <c r="R553" s="310"/>
      <c r="S553" s="310"/>
      <c r="T553" s="310"/>
      <c r="U553" s="311"/>
      <c r="V553" s="312"/>
      <c r="W553" s="310"/>
      <c r="X553" s="310"/>
      <c r="Z553" s="86"/>
      <c r="AA553" s="86"/>
      <c r="AB553" s="313"/>
      <c r="AD553" s="314"/>
      <c r="AE553" s="314"/>
      <c r="AF553" s="314"/>
      <c r="AG553" s="314"/>
      <c r="AH553" s="314"/>
      <c r="AI553" s="314"/>
      <c r="AJ553" s="314"/>
      <c r="AK553" s="314"/>
      <c r="AL553" s="314"/>
      <c r="AM553" s="315"/>
      <c r="AN553" s="310"/>
      <c r="AO553" s="316"/>
      <c r="AP553" s="310"/>
      <c r="AQ553" s="317"/>
      <c r="AR553" s="317"/>
      <c r="AS553" s="318"/>
      <c r="AT553" s="318"/>
      <c r="AU553" s="319"/>
      <c r="AV553" s="310"/>
      <c r="AW553" s="310"/>
      <c r="AX553" s="310"/>
      <c r="AY553" s="310"/>
    </row>
    <row r="554" spans="1:51" s="139" customFormat="1" ht="10.9" customHeight="1" x14ac:dyDescent="0.25">
      <c r="Q554" s="310"/>
      <c r="R554" s="310"/>
      <c r="S554" s="310"/>
      <c r="T554" s="310"/>
      <c r="U554" s="311"/>
      <c r="V554" s="312"/>
      <c r="W554" s="310"/>
      <c r="X554" s="310"/>
      <c r="Z554" s="86"/>
      <c r="AA554" s="86"/>
      <c r="AB554" s="313"/>
      <c r="AD554" s="314"/>
      <c r="AE554" s="314"/>
      <c r="AF554" s="314"/>
      <c r="AG554" s="314"/>
      <c r="AH554" s="314"/>
      <c r="AI554" s="314"/>
      <c r="AJ554" s="314"/>
      <c r="AK554" s="314"/>
      <c r="AL554" s="314"/>
      <c r="AM554" s="315"/>
      <c r="AN554" s="310"/>
      <c r="AO554" s="316"/>
      <c r="AP554" s="310"/>
      <c r="AQ554" s="317"/>
      <c r="AR554" s="317"/>
      <c r="AS554" s="318"/>
      <c r="AT554" s="318"/>
      <c r="AU554" s="319"/>
      <c r="AV554" s="310"/>
      <c r="AW554" s="310"/>
      <c r="AX554" s="310"/>
      <c r="AY554" s="310"/>
    </row>
    <row r="555" spans="1:51" s="290" customFormat="1" ht="23.1" customHeight="1" x14ac:dyDescent="0.25">
      <c r="B555" s="291" t="s">
        <v>566</v>
      </c>
      <c r="C555" s="292"/>
      <c r="D555" s="293"/>
      <c r="E555" s="292"/>
      <c r="F555" s="292"/>
      <c r="G555" s="292"/>
      <c r="H555" s="292"/>
      <c r="I555" s="292"/>
      <c r="J555" s="292"/>
      <c r="K555" s="292"/>
      <c r="L555" s="292"/>
      <c r="M555" s="292"/>
      <c r="N555" s="292"/>
      <c r="O555" s="292"/>
      <c r="P555" s="292"/>
      <c r="Q555" s="292"/>
      <c r="R555" s="292"/>
      <c r="S555" s="294"/>
      <c r="T555" s="292"/>
      <c r="U555" s="292"/>
      <c r="V555" s="292"/>
      <c r="W555" s="292"/>
      <c r="X555" s="292"/>
      <c r="Y555" s="292"/>
      <c r="Z555" s="295"/>
      <c r="AA555" s="296"/>
      <c r="AB555" s="116"/>
      <c r="AC555" s="117"/>
      <c r="AD555" s="117"/>
      <c r="AE555" s="117"/>
      <c r="AF555" s="117"/>
      <c r="AG555" s="117"/>
      <c r="AH555" s="117"/>
      <c r="AI555" s="117"/>
      <c r="AJ555" s="117"/>
      <c r="AK555" s="117"/>
      <c r="AL555" s="117"/>
      <c r="AM555" s="117"/>
      <c r="AN555" s="297"/>
      <c r="AO555" s="292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</row>
    <row r="556" spans="1:51" s="139" customFormat="1" ht="15" customHeight="1" x14ac:dyDescent="0.25">
      <c r="A556" s="1"/>
      <c r="B556" s="126"/>
      <c r="C556" s="352" t="s">
        <v>567</v>
      </c>
      <c r="D556" s="122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213"/>
      <c r="Q556" s="76"/>
      <c r="R556" s="108"/>
      <c r="S556" s="108"/>
      <c r="T556" s="94"/>
      <c r="U556" s="199"/>
      <c r="V556" s="179"/>
      <c r="W556" s="180"/>
      <c r="X556" s="180"/>
      <c r="Y556" s="214"/>
      <c r="Z556" s="181"/>
      <c r="AA556" s="181"/>
      <c r="AB556" s="182"/>
      <c r="AC556" s="62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125"/>
      <c r="AN556" s="75"/>
      <c r="AO556" s="216"/>
      <c r="AP556" s="75"/>
      <c r="AQ556" s="51"/>
      <c r="AR556" s="259"/>
      <c r="AS556" s="218"/>
      <c r="AT556" s="219"/>
      <c r="AU556" s="220"/>
      <c r="AV556" s="135"/>
      <c r="AW556" s="136"/>
      <c r="AX556" s="137"/>
      <c r="AY556" s="138"/>
    </row>
    <row r="557" spans="1:51" ht="10.9" customHeight="1" x14ac:dyDescent="0.2">
      <c r="B557" s="357">
        <v>1</v>
      </c>
      <c r="C557" s="141" t="s">
        <v>568</v>
      </c>
      <c r="D557" s="300"/>
      <c r="E557" s="236"/>
      <c r="F557" s="236"/>
      <c r="G557" s="236"/>
      <c r="H557" s="236"/>
      <c r="I557" s="236"/>
      <c r="J557" s="236"/>
      <c r="K557" s="236"/>
      <c r="L557" s="236"/>
      <c r="M557" s="236">
        <v>95974</v>
      </c>
      <c r="N557" s="236">
        <v>108445</v>
      </c>
      <c r="O557" s="301">
        <v>113036</v>
      </c>
      <c r="P557" s="237">
        <v>115004</v>
      </c>
      <c r="Q557" s="223">
        <f t="shared" ref="Q557:Q567" si="661">MAX(D557:P557)</f>
        <v>115004</v>
      </c>
      <c r="R557" s="147">
        <f t="shared" ref="R557:R567" si="662">Q557*$R$10</f>
        <v>12650.44</v>
      </c>
      <c r="S557" s="147">
        <f t="shared" ref="S557:S567" si="663">R557/$S$5</f>
        <v>34.658739726027399</v>
      </c>
      <c r="T557" s="148">
        <f t="shared" ref="T557:T567" si="664">S557*$T$5*$T$10</f>
        <v>7590.2640000000001</v>
      </c>
      <c r="U557" s="199"/>
      <c r="V557" s="150"/>
      <c r="W557" s="249"/>
      <c r="X557" s="249"/>
      <c r="Y557" s="152"/>
      <c r="Z557" s="153"/>
      <c r="AA557" s="153"/>
      <c r="AB557" s="154"/>
      <c r="AC557" s="155">
        <f t="shared" ref="AC557:AC567" si="665">T557*$AC$5</f>
        <v>4402.3531199999998</v>
      </c>
      <c r="AD557" s="156">
        <f t="shared" ref="AD557:AD567" si="666">T557*$AD$5</f>
        <v>986.73432000000003</v>
      </c>
      <c r="AE557" s="156">
        <f t="shared" ref="AE557:AE567" si="667">T557*$AE$5</f>
        <v>666.04566599999998</v>
      </c>
      <c r="AF557" s="156">
        <f t="shared" ref="AF557:AF567" si="668">T557*$AF$5</f>
        <v>303.61056000000002</v>
      </c>
      <c r="AG557" s="156">
        <f t="shared" ref="AG557:AG567" si="669">T557*$AG$5</f>
        <v>151.80528000000001</v>
      </c>
      <c r="AH557" s="156">
        <f t="shared" ref="AH557:AH567" si="670">T557*$AH$5</f>
        <v>151.80528000000001</v>
      </c>
      <c r="AI557" s="156">
        <f t="shared" ref="AI557:AI567" si="671">T557*$AI$5</f>
        <v>75.902640000000005</v>
      </c>
      <c r="AJ557" s="156">
        <f t="shared" ref="AJ557:AJ567" si="672">T557*$AJ$5</f>
        <v>151.80528000000001</v>
      </c>
      <c r="AK557" s="156">
        <f t="shared" ref="AK557:AK567" si="673">T557*$AK$5</f>
        <v>151.80528000000001</v>
      </c>
      <c r="AL557" s="156">
        <f t="shared" ref="AL557:AL567" si="674">T557*$AL$5</f>
        <v>531.31848000000002</v>
      </c>
      <c r="AM557" s="157">
        <f t="shared" ref="AM557:AM567" si="675">SUM(AD557:AI557)</f>
        <v>2335.903746</v>
      </c>
      <c r="AN557" s="158">
        <f t="shared" ref="AN557:AN567" si="676">$AN$5</f>
        <v>2200</v>
      </c>
      <c r="AO557" s="159">
        <v>0.2</v>
      </c>
      <c r="AP557" s="160">
        <f t="shared" ref="AP557:AP567" si="677">(AC557+AM557)*AN557*$AP$5</f>
        <v>62065814.462451361</v>
      </c>
      <c r="AQ557" s="161">
        <f t="shared" ref="AQ557:AQ567" si="678">AP557*$AQ$5</f>
        <v>17240.50539658792</v>
      </c>
      <c r="AR557" s="162">
        <f t="shared" ref="AR557:AR567" si="679">AQ557*$AR$5</f>
        <v>3448.1010793175842</v>
      </c>
      <c r="AS557" s="163">
        <f t="shared" ref="AS557:AS567" si="680">AR557/$AS$5</f>
        <v>0.49202355583869639</v>
      </c>
      <c r="AT557" s="164">
        <f t="shared" ref="AT557:AT567" si="681">AS557</f>
        <v>0.49202355583869639</v>
      </c>
      <c r="AU557" s="165"/>
      <c r="AV557" s="166"/>
      <c r="AW557" s="167"/>
      <c r="AX557" s="146"/>
      <c r="AY557" s="168"/>
    </row>
    <row r="558" spans="1:51" ht="10.9" customHeight="1" x14ac:dyDescent="0.2">
      <c r="B558" s="357">
        <v>2</v>
      </c>
      <c r="C558" s="169" t="s">
        <v>569</v>
      </c>
      <c r="D558" s="300"/>
      <c r="E558" s="236"/>
      <c r="F558" s="236"/>
      <c r="G558" s="236"/>
      <c r="H558" s="236"/>
      <c r="I558" s="236"/>
      <c r="J558" s="236"/>
      <c r="K558" s="236"/>
      <c r="L558" s="236"/>
      <c r="M558" s="236">
        <v>52950</v>
      </c>
      <c r="N558" s="236">
        <v>53671</v>
      </c>
      <c r="O558" s="301">
        <v>55403</v>
      </c>
      <c r="P558" s="237">
        <v>56368</v>
      </c>
      <c r="Q558" s="223">
        <f t="shared" si="661"/>
        <v>56368</v>
      </c>
      <c r="R558" s="147">
        <f t="shared" si="662"/>
        <v>6200.4800000000005</v>
      </c>
      <c r="S558" s="147">
        <f t="shared" si="663"/>
        <v>16.987616438356167</v>
      </c>
      <c r="T558" s="148">
        <f t="shared" si="664"/>
        <v>3720.288</v>
      </c>
      <c r="U558" s="199"/>
      <c r="V558" s="150"/>
      <c r="W558" s="249"/>
      <c r="X558" s="249"/>
      <c r="Y558" s="152"/>
      <c r="Z558" s="153"/>
      <c r="AA558" s="153"/>
      <c r="AB558" s="154"/>
      <c r="AC558" s="155">
        <f t="shared" si="665"/>
        <v>2157.7670399999997</v>
      </c>
      <c r="AD558" s="156">
        <f t="shared" si="666"/>
        <v>483.63744000000003</v>
      </c>
      <c r="AE558" s="156">
        <f t="shared" si="667"/>
        <v>326.45527199999998</v>
      </c>
      <c r="AF558" s="156">
        <f t="shared" si="668"/>
        <v>148.81152</v>
      </c>
      <c r="AG558" s="156">
        <f t="shared" si="669"/>
        <v>74.405760000000001</v>
      </c>
      <c r="AH558" s="156">
        <f t="shared" si="670"/>
        <v>74.405760000000001</v>
      </c>
      <c r="AI558" s="156">
        <f t="shared" si="671"/>
        <v>37.20288</v>
      </c>
      <c r="AJ558" s="156">
        <f t="shared" si="672"/>
        <v>74.405760000000001</v>
      </c>
      <c r="AK558" s="156">
        <f t="shared" si="673"/>
        <v>74.405760000000001</v>
      </c>
      <c r="AL558" s="156">
        <f t="shared" si="674"/>
        <v>260.42016000000001</v>
      </c>
      <c r="AM558" s="157">
        <f t="shared" si="675"/>
        <v>1144.9186320000001</v>
      </c>
      <c r="AN558" s="158">
        <f t="shared" si="676"/>
        <v>2200</v>
      </c>
      <c r="AO558" s="159">
        <v>0.2</v>
      </c>
      <c r="AP558" s="160">
        <f t="shared" si="677"/>
        <v>30420905.617365118</v>
      </c>
      <c r="AQ558" s="161">
        <f t="shared" si="678"/>
        <v>8450.2522363993248</v>
      </c>
      <c r="AR558" s="162">
        <f t="shared" si="679"/>
        <v>1690.050447279865</v>
      </c>
      <c r="AS558" s="163">
        <f t="shared" si="680"/>
        <v>0.24116016656390768</v>
      </c>
      <c r="AT558" s="164">
        <f t="shared" si="681"/>
        <v>0.24116016656390768</v>
      </c>
      <c r="AU558" s="165"/>
      <c r="AV558" s="166"/>
      <c r="AW558" s="167"/>
      <c r="AX558" s="146"/>
      <c r="AY558" s="168"/>
    </row>
    <row r="559" spans="1:51" ht="10.9" customHeight="1" x14ac:dyDescent="0.2">
      <c r="B559" s="357">
        <v>10</v>
      </c>
      <c r="C559" s="170" t="s">
        <v>570</v>
      </c>
      <c r="D559" s="300"/>
      <c r="E559" s="236"/>
      <c r="F559" s="236"/>
      <c r="G559" s="236"/>
      <c r="H559" s="236"/>
      <c r="I559" s="236"/>
      <c r="J559" s="236"/>
      <c r="K559" s="236"/>
      <c r="L559" s="236"/>
      <c r="M559" s="236">
        <v>284809</v>
      </c>
      <c r="N559" s="236">
        <v>331254</v>
      </c>
      <c r="O559" s="301">
        <v>348407</v>
      </c>
      <c r="P559" s="237">
        <v>354464</v>
      </c>
      <c r="Q559" s="223">
        <f t="shared" si="661"/>
        <v>354464</v>
      </c>
      <c r="R559" s="147">
        <f t="shared" si="662"/>
        <v>38991.040000000001</v>
      </c>
      <c r="S559" s="147">
        <f t="shared" si="663"/>
        <v>106.82476712328767</v>
      </c>
      <c r="T559" s="148">
        <f t="shared" si="664"/>
        <v>23394.624</v>
      </c>
      <c r="U559" s="199"/>
      <c r="V559" s="150"/>
      <c r="W559" s="249"/>
      <c r="X559" s="249"/>
      <c r="Y559" s="152"/>
      <c r="Z559" s="153"/>
      <c r="AA559" s="153"/>
      <c r="AB559" s="154"/>
      <c r="AC559" s="155">
        <f t="shared" si="665"/>
        <v>13568.88192</v>
      </c>
      <c r="AD559" s="156">
        <f t="shared" si="666"/>
        <v>3041.3011200000001</v>
      </c>
      <c r="AE559" s="156">
        <f t="shared" si="667"/>
        <v>2052.878256</v>
      </c>
      <c r="AF559" s="156">
        <f t="shared" si="668"/>
        <v>935.78495999999996</v>
      </c>
      <c r="AG559" s="156">
        <f t="shared" si="669"/>
        <v>467.89247999999998</v>
      </c>
      <c r="AH559" s="156">
        <f t="shared" si="670"/>
        <v>467.89247999999998</v>
      </c>
      <c r="AI559" s="156">
        <f t="shared" si="671"/>
        <v>233.94623999999999</v>
      </c>
      <c r="AJ559" s="156">
        <f t="shared" si="672"/>
        <v>467.89247999999998</v>
      </c>
      <c r="AK559" s="156">
        <f t="shared" si="673"/>
        <v>467.89247999999998</v>
      </c>
      <c r="AL559" s="156">
        <f t="shared" si="674"/>
        <v>1637.6236800000001</v>
      </c>
      <c r="AM559" s="157">
        <f t="shared" si="675"/>
        <v>7199.6955360000002</v>
      </c>
      <c r="AN559" s="158">
        <f t="shared" si="676"/>
        <v>2200</v>
      </c>
      <c r="AO559" s="159">
        <v>0.2</v>
      </c>
      <c r="AP559" s="160">
        <f t="shared" si="677"/>
        <v>191298536.20411775</v>
      </c>
      <c r="AQ559" s="161">
        <f t="shared" si="678"/>
        <v>53138.486530000177</v>
      </c>
      <c r="AR559" s="162">
        <f t="shared" si="679"/>
        <v>10627.697306000036</v>
      </c>
      <c r="AS559" s="163">
        <f t="shared" si="680"/>
        <v>1.5165093187785441</v>
      </c>
      <c r="AT559" s="164">
        <f t="shared" si="681"/>
        <v>1.5165093187785441</v>
      </c>
      <c r="AU559" s="165"/>
      <c r="AV559" s="166"/>
      <c r="AW559" s="167"/>
      <c r="AX559" s="146"/>
      <c r="AY559" s="168"/>
    </row>
    <row r="560" spans="1:51" ht="10.9" customHeight="1" x14ac:dyDescent="0.2">
      <c r="B560" s="357">
        <v>8</v>
      </c>
      <c r="C560" s="170" t="s">
        <v>571</v>
      </c>
      <c r="D560" s="300"/>
      <c r="E560" s="236"/>
      <c r="F560" s="236"/>
      <c r="G560" s="236"/>
      <c r="H560" s="236"/>
      <c r="I560" s="236"/>
      <c r="J560" s="236"/>
      <c r="K560" s="236"/>
      <c r="L560" s="236"/>
      <c r="M560" s="236">
        <v>159718</v>
      </c>
      <c r="N560" s="236">
        <v>164656</v>
      </c>
      <c r="O560" s="301">
        <v>168197</v>
      </c>
      <c r="P560" s="237">
        <v>171129</v>
      </c>
      <c r="Q560" s="223">
        <f t="shared" si="661"/>
        <v>171129</v>
      </c>
      <c r="R560" s="147">
        <f t="shared" si="662"/>
        <v>18824.189999999999</v>
      </c>
      <c r="S560" s="147">
        <f t="shared" si="663"/>
        <v>51.57312328767123</v>
      </c>
      <c r="T560" s="148">
        <f t="shared" si="664"/>
        <v>11294.513999999999</v>
      </c>
      <c r="U560" s="199"/>
      <c r="V560" s="150"/>
      <c r="W560" s="249"/>
      <c r="X560" s="249"/>
      <c r="Y560" s="152"/>
      <c r="Z560" s="153"/>
      <c r="AA560" s="153"/>
      <c r="AB560" s="154"/>
      <c r="AC560" s="155">
        <f t="shared" si="665"/>
        <v>6550.818119999999</v>
      </c>
      <c r="AD560" s="156">
        <f t="shared" si="666"/>
        <v>1468.28682</v>
      </c>
      <c r="AE560" s="156">
        <f t="shared" si="667"/>
        <v>991.09360349999986</v>
      </c>
      <c r="AF560" s="156">
        <f t="shared" si="668"/>
        <v>451.78055999999998</v>
      </c>
      <c r="AG560" s="156">
        <f t="shared" si="669"/>
        <v>225.89027999999999</v>
      </c>
      <c r="AH560" s="156">
        <f t="shared" si="670"/>
        <v>225.89027999999999</v>
      </c>
      <c r="AI560" s="156">
        <f t="shared" si="671"/>
        <v>112.94513999999999</v>
      </c>
      <c r="AJ560" s="156">
        <f t="shared" si="672"/>
        <v>225.89027999999999</v>
      </c>
      <c r="AK560" s="156">
        <f t="shared" si="673"/>
        <v>225.89027999999999</v>
      </c>
      <c r="AL560" s="156">
        <f t="shared" si="674"/>
        <v>790.61598000000004</v>
      </c>
      <c r="AM560" s="157">
        <f t="shared" si="675"/>
        <v>3475.8866834999999</v>
      </c>
      <c r="AN560" s="158">
        <f t="shared" si="676"/>
        <v>2200</v>
      </c>
      <c r="AO560" s="159">
        <v>0.2</v>
      </c>
      <c r="AP560" s="160">
        <f t="shared" si="677"/>
        <v>92355576.876846358</v>
      </c>
      <c r="AQ560" s="161">
        <f t="shared" si="678"/>
        <v>25654.32896258125</v>
      </c>
      <c r="AR560" s="162">
        <f t="shared" si="679"/>
        <v>5130.8657925162506</v>
      </c>
      <c r="AS560" s="163">
        <f t="shared" si="680"/>
        <v>0.73214409139786685</v>
      </c>
      <c r="AT560" s="164">
        <f t="shared" si="681"/>
        <v>0.73214409139786685</v>
      </c>
      <c r="AU560" s="165"/>
      <c r="AV560" s="166"/>
      <c r="AW560" s="167"/>
      <c r="AX560" s="146"/>
      <c r="AY560" s="168"/>
    </row>
    <row r="561" spans="1:51" ht="10.9" customHeight="1" x14ac:dyDescent="0.2">
      <c r="B561" s="357">
        <v>5</v>
      </c>
      <c r="C561" s="170" t="s">
        <v>572</v>
      </c>
      <c r="D561" s="300"/>
      <c r="E561" s="236"/>
      <c r="F561" s="236"/>
      <c r="G561" s="236"/>
      <c r="H561" s="236"/>
      <c r="I561" s="236"/>
      <c r="J561" s="236"/>
      <c r="K561" s="236"/>
      <c r="L561" s="236"/>
      <c r="M561" s="236">
        <v>370931</v>
      </c>
      <c r="N561" s="236">
        <v>361698</v>
      </c>
      <c r="O561" s="301">
        <v>368999</v>
      </c>
      <c r="P561" s="237">
        <v>375393</v>
      </c>
      <c r="Q561" s="223">
        <f t="shared" si="661"/>
        <v>375393</v>
      </c>
      <c r="R561" s="147">
        <f t="shared" si="662"/>
        <v>41293.230000000003</v>
      </c>
      <c r="S561" s="147">
        <f t="shared" si="663"/>
        <v>113.13213698630138</v>
      </c>
      <c r="T561" s="148">
        <f t="shared" si="664"/>
        <v>24775.938000000002</v>
      </c>
      <c r="U561" s="199"/>
      <c r="V561" s="150"/>
      <c r="W561" s="249"/>
      <c r="X561" s="249"/>
      <c r="Y561" s="152"/>
      <c r="Z561" s="153"/>
      <c r="AA561" s="153"/>
      <c r="AB561" s="154"/>
      <c r="AC561" s="155">
        <f t="shared" si="665"/>
        <v>14370.044040000001</v>
      </c>
      <c r="AD561" s="156">
        <f t="shared" si="666"/>
        <v>3220.8719400000004</v>
      </c>
      <c r="AE561" s="156">
        <f t="shared" si="667"/>
        <v>2174.0885595</v>
      </c>
      <c r="AF561" s="156">
        <f t="shared" si="668"/>
        <v>991.03752000000009</v>
      </c>
      <c r="AG561" s="156">
        <f t="shared" si="669"/>
        <v>495.51876000000004</v>
      </c>
      <c r="AH561" s="156">
        <f t="shared" si="670"/>
        <v>495.51876000000004</v>
      </c>
      <c r="AI561" s="156">
        <f t="shared" si="671"/>
        <v>247.75938000000002</v>
      </c>
      <c r="AJ561" s="156">
        <f t="shared" si="672"/>
        <v>495.51876000000004</v>
      </c>
      <c r="AK561" s="156">
        <f t="shared" si="673"/>
        <v>495.51876000000004</v>
      </c>
      <c r="AL561" s="156">
        <f t="shared" si="674"/>
        <v>1734.3156600000002</v>
      </c>
      <c r="AM561" s="157">
        <f t="shared" si="675"/>
        <v>7624.794919500001</v>
      </c>
      <c r="AN561" s="158">
        <f t="shared" si="676"/>
        <v>2200</v>
      </c>
      <c r="AO561" s="159">
        <v>0.2</v>
      </c>
      <c r="AP561" s="160">
        <f t="shared" si="677"/>
        <v>202593581.86239612</v>
      </c>
      <c r="AQ561" s="161">
        <f t="shared" si="678"/>
        <v>56275.999463856293</v>
      </c>
      <c r="AR561" s="162">
        <f t="shared" si="679"/>
        <v>11255.199892771259</v>
      </c>
      <c r="AS561" s="163">
        <f t="shared" si="680"/>
        <v>1.6060502130095975</v>
      </c>
      <c r="AT561" s="164">
        <f t="shared" si="681"/>
        <v>1.6060502130095975</v>
      </c>
      <c r="AU561" s="165"/>
      <c r="AV561" s="166"/>
      <c r="AW561" s="167"/>
      <c r="AX561" s="146"/>
      <c r="AY561" s="168"/>
    </row>
    <row r="562" spans="1:51" ht="10.9" customHeight="1" x14ac:dyDescent="0.2">
      <c r="B562" s="357">
        <v>9</v>
      </c>
      <c r="C562" s="170" t="s">
        <v>573</v>
      </c>
      <c r="D562" s="300"/>
      <c r="E562" s="236"/>
      <c r="F562" s="236"/>
      <c r="G562" s="236"/>
      <c r="H562" s="236"/>
      <c r="I562" s="236"/>
      <c r="J562" s="236"/>
      <c r="K562" s="236"/>
      <c r="L562" s="236"/>
      <c r="M562" s="236">
        <v>86709</v>
      </c>
      <c r="N562" s="236">
        <v>99065</v>
      </c>
      <c r="O562" s="301">
        <v>102107</v>
      </c>
      <c r="P562" s="237">
        <v>103890</v>
      </c>
      <c r="Q562" s="223">
        <f t="shared" si="661"/>
        <v>103890</v>
      </c>
      <c r="R562" s="147">
        <f t="shared" si="662"/>
        <v>11427.9</v>
      </c>
      <c r="S562" s="147">
        <f t="shared" si="663"/>
        <v>31.309315068493149</v>
      </c>
      <c r="T562" s="148">
        <f t="shared" si="664"/>
        <v>6856.74</v>
      </c>
      <c r="U562" s="199"/>
      <c r="V562" s="150"/>
      <c r="W562" s="249"/>
      <c r="X562" s="249"/>
      <c r="Y562" s="152"/>
      <c r="Z562" s="153"/>
      <c r="AA562" s="153"/>
      <c r="AB562" s="154"/>
      <c r="AC562" s="155">
        <f t="shared" si="665"/>
        <v>3976.9091999999996</v>
      </c>
      <c r="AD562" s="156">
        <f t="shared" si="666"/>
        <v>891.37620000000004</v>
      </c>
      <c r="AE562" s="156">
        <f t="shared" si="667"/>
        <v>601.67893499999991</v>
      </c>
      <c r="AF562" s="156">
        <f t="shared" si="668"/>
        <v>274.26960000000003</v>
      </c>
      <c r="AG562" s="156">
        <f t="shared" si="669"/>
        <v>137.13480000000001</v>
      </c>
      <c r="AH562" s="156">
        <f t="shared" si="670"/>
        <v>137.13480000000001</v>
      </c>
      <c r="AI562" s="156">
        <f t="shared" si="671"/>
        <v>68.567400000000006</v>
      </c>
      <c r="AJ562" s="156">
        <f t="shared" si="672"/>
        <v>137.13480000000001</v>
      </c>
      <c r="AK562" s="156">
        <f t="shared" si="673"/>
        <v>137.13480000000001</v>
      </c>
      <c r="AL562" s="156">
        <f t="shared" si="674"/>
        <v>479.97180000000003</v>
      </c>
      <c r="AM562" s="157">
        <f t="shared" si="675"/>
        <v>2110.1617350000001</v>
      </c>
      <c r="AN562" s="158">
        <f t="shared" si="676"/>
        <v>2200</v>
      </c>
      <c r="AO562" s="159">
        <v>0.2</v>
      </c>
      <c r="AP562" s="160">
        <f t="shared" si="677"/>
        <v>56067766.899447598</v>
      </c>
      <c r="AQ562" s="161">
        <f t="shared" si="678"/>
        <v>15574.380940241375</v>
      </c>
      <c r="AR562" s="162">
        <f t="shared" si="679"/>
        <v>3114.8761880482753</v>
      </c>
      <c r="AS562" s="163">
        <f t="shared" si="680"/>
        <v>0.44447434190186574</v>
      </c>
      <c r="AT562" s="164">
        <f t="shared" si="681"/>
        <v>0.44447434190186574</v>
      </c>
      <c r="AU562" s="165"/>
      <c r="AV562" s="166"/>
      <c r="AW562" s="167"/>
      <c r="AX562" s="146"/>
      <c r="AY562" s="168"/>
    </row>
    <row r="563" spans="1:51" ht="10.9" customHeight="1" x14ac:dyDescent="0.2">
      <c r="B563" s="357">
        <v>4</v>
      </c>
      <c r="C563" s="169" t="s">
        <v>574</v>
      </c>
      <c r="D563" s="300"/>
      <c r="E563" s="236"/>
      <c r="F563" s="236"/>
      <c r="G563" s="236"/>
      <c r="H563" s="236"/>
      <c r="I563" s="236"/>
      <c r="J563" s="236"/>
      <c r="K563" s="236"/>
      <c r="L563" s="236"/>
      <c r="M563" s="236">
        <v>70412</v>
      </c>
      <c r="N563" s="236">
        <v>70714</v>
      </c>
      <c r="O563" s="301">
        <v>71730</v>
      </c>
      <c r="P563" s="237">
        <v>72981</v>
      </c>
      <c r="Q563" s="223">
        <f t="shared" si="661"/>
        <v>72981</v>
      </c>
      <c r="R563" s="147">
        <f t="shared" si="662"/>
        <v>8027.91</v>
      </c>
      <c r="S563" s="147">
        <f t="shared" si="663"/>
        <v>21.994273972602738</v>
      </c>
      <c r="T563" s="148">
        <f t="shared" si="664"/>
        <v>4816.7459999999992</v>
      </c>
      <c r="U563" s="199"/>
      <c r="V563" s="150"/>
      <c r="W563" s="249"/>
      <c r="X563" s="249"/>
      <c r="Y563" s="152"/>
      <c r="Z563" s="153"/>
      <c r="AA563" s="153"/>
      <c r="AB563" s="154"/>
      <c r="AC563" s="155">
        <f t="shared" si="665"/>
        <v>2793.7126799999992</v>
      </c>
      <c r="AD563" s="156">
        <f t="shared" si="666"/>
        <v>626.17697999999996</v>
      </c>
      <c r="AE563" s="156">
        <f t="shared" si="667"/>
        <v>422.6694614999999</v>
      </c>
      <c r="AF563" s="156">
        <f t="shared" si="668"/>
        <v>192.66983999999997</v>
      </c>
      <c r="AG563" s="156">
        <f t="shared" si="669"/>
        <v>96.334919999999983</v>
      </c>
      <c r="AH563" s="156">
        <f t="shared" si="670"/>
        <v>96.334919999999983</v>
      </c>
      <c r="AI563" s="156">
        <f t="shared" si="671"/>
        <v>48.167459999999991</v>
      </c>
      <c r="AJ563" s="156">
        <f t="shared" si="672"/>
        <v>96.334919999999983</v>
      </c>
      <c r="AK563" s="156">
        <f t="shared" si="673"/>
        <v>96.334919999999983</v>
      </c>
      <c r="AL563" s="156">
        <f t="shared" si="674"/>
        <v>337.17221999999998</v>
      </c>
      <c r="AM563" s="157">
        <f t="shared" si="675"/>
        <v>1482.3535814999998</v>
      </c>
      <c r="AN563" s="158">
        <f t="shared" si="676"/>
        <v>2200</v>
      </c>
      <c r="AO563" s="159">
        <v>0.2</v>
      </c>
      <c r="AP563" s="160">
        <f t="shared" si="677"/>
        <v>39386675.292026028</v>
      </c>
      <c r="AQ563" s="161">
        <f t="shared" si="678"/>
        <v>10940.744011933348</v>
      </c>
      <c r="AR563" s="162">
        <f t="shared" si="679"/>
        <v>2188.1488023866696</v>
      </c>
      <c r="AS563" s="163">
        <f t="shared" si="680"/>
        <v>0.31223584508942204</v>
      </c>
      <c r="AT563" s="164">
        <f t="shared" si="681"/>
        <v>0.31223584508942204</v>
      </c>
      <c r="AU563" s="165"/>
      <c r="AV563" s="166"/>
      <c r="AW563" s="167"/>
      <c r="AX563" s="146"/>
      <c r="AY563" s="168"/>
    </row>
    <row r="564" spans="1:51" ht="10.9" customHeight="1" x14ac:dyDescent="0.2">
      <c r="B564" s="357">
        <v>7</v>
      </c>
      <c r="C564" s="170" t="s">
        <v>575</v>
      </c>
      <c r="D564" s="300"/>
      <c r="E564" s="236"/>
      <c r="F564" s="236"/>
      <c r="G564" s="236"/>
      <c r="H564" s="236"/>
      <c r="I564" s="236"/>
      <c r="J564" s="236"/>
      <c r="K564" s="236"/>
      <c r="L564" s="236"/>
      <c r="M564" s="236">
        <v>94370</v>
      </c>
      <c r="N564" s="236">
        <v>105341</v>
      </c>
      <c r="O564" s="301">
        <v>107898</v>
      </c>
      <c r="P564" s="237">
        <v>109768</v>
      </c>
      <c r="Q564" s="223">
        <f t="shared" si="661"/>
        <v>109768</v>
      </c>
      <c r="R564" s="147">
        <f t="shared" si="662"/>
        <v>12074.48</v>
      </c>
      <c r="S564" s="147">
        <f t="shared" si="663"/>
        <v>33.080767123287671</v>
      </c>
      <c r="T564" s="148">
        <f t="shared" si="664"/>
        <v>7244.6879999999992</v>
      </c>
      <c r="U564" s="199"/>
      <c r="V564" s="150"/>
      <c r="W564" s="249"/>
      <c r="X564" s="249"/>
      <c r="Y564" s="152"/>
      <c r="Z564" s="153"/>
      <c r="AA564" s="153"/>
      <c r="AB564" s="154"/>
      <c r="AC564" s="155">
        <f t="shared" si="665"/>
        <v>4201.9190399999989</v>
      </c>
      <c r="AD564" s="156">
        <f t="shared" si="666"/>
        <v>941.80943999999988</v>
      </c>
      <c r="AE564" s="156">
        <f t="shared" si="667"/>
        <v>635.72137199999986</v>
      </c>
      <c r="AF564" s="156">
        <f t="shared" si="668"/>
        <v>289.78751999999997</v>
      </c>
      <c r="AG564" s="156">
        <f t="shared" si="669"/>
        <v>144.89375999999999</v>
      </c>
      <c r="AH564" s="156">
        <f t="shared" si="670"/>
        <v>144.89375999999999</v>
      </c>
      <c r="AI564" s="156">
        <f t="shared" si="671"/>
        <v>72.446879999999993</v>
      </c>
      <c r="AJ564" s="156">
        <f t="shared" si="672"/>
        <v>144.89375999999999</v>
      </c>
      <c r="AK564" s="156">
        <f t="shared" si="673"/>
        <v>144.89375999999999</v>
      </c>
      <c r="AL564" s="156">
        <f t="shared" si="674"/>
        <v>507.12815999999998</v>
      </c>
      <c r="AM564" s="157">
        <f t="shared" si="675"/>
        <v>2229.5527319999997</v>
      </c>
      <c r="AN564" s="158">
        <f t="shared" si="676"/>
        <v>2200</v>
      </c>
      <c r="AO564" s="159">
        <v>0.2</v>
      </c>
      <c r="AP564" s="160">
        <f t="shared" si="677"/>
        <v>59240029.23302111</v>
      </c>
      <c r="AQ564" s="161">
        <f t="shared" si="678"/>
        <v>16455.564992284289</v>
      </c>
      <c r="AR564" s="162">
        <f t="shared" si="679"/>
        <v>3291.1129984568579</v>
      </c>
      <c r="AS564" s="163">
        <f t="shared" si="680"/>
        <v>0.46962228859258814</v>
      </c>
      <c r="AT564" s="164">
        <f t="shared" si="681"/>
        <v>0.46962228859258814</v>
      </c>
      <c r="AU564" s="165"/>
      <c r="AV564" s="166"/>
      <c r="AW564" s="167"/>
      <c r="AX564" s="146"/>
      <c r="AY564" s="168"/>
    </row>
    <row r="565" spans="1:51" ht="10.9" customHeight="1" x14ac:dyDescent="0.2">
      <c r="B565" s="357">
        <v>6</v>
      </c>
      <c r="C565" s="170" t="s">
        <v>576</v>
      </c>
      <c r="D565" s="300"/>
      <c r="E565" s="236"/>
      <c r="F565" s="236"/>
      <c r="G565" s="236"/>
      <c r="H565" s="236"/>
      <c r="I565" s="236"/>
      <c r="J565" s="236"/>
      <c r="K565" s="236"/>
      <c r="L565" s="236"/>
      <c r="M565" s="236">
        <v>105081</v>
      </c>
      <c r="N565" s="236">
        <v>96442</v>
      </c>
      <c r="O565" s="301">
        <v>98440</v>
      </c>
      <c r="P565" s="237">
        <v>100154</v>
      </c>
      <c r="Q565" s="223">
        <f t="shared" si="661"/>
        <v>105081</v>
      </c>
      <c r="R565" s="147">
        <f t="shared" si="662"/>
        <v>11558.91</v>
      </c>
      <c r="S565" s="147">
        <f t="shared" si="663"/>
        <v>31.668246575342465</v>
      </c>
      <c r="T565" s="148">
        <f t="shared" si="664"/>
        <v>6935.3459999999995</v>
      </c>
      <c r="U565" s="199"/>
      <c r="V565" s="150"/>
      <c r="W565" s="249"/>
      <c r="X565" s="249"/>
      <c r="Y565" s="152"/>
      <c r="Z565" s="153"/>
      <c r="AA565" s="153"/>
      <c r="AB565" s="154"/>
      <c r="AC565" s="155">
        <f t="shared" si="665"/>
        <v>4022.5006799999996</v>
      </c>
      <c r="AD565" s="156">
        <f t="shared" si="666"/>
        <v>901.59497999999996</v>
      </c>
      <c r="AE565" s="156">
        <f t="shared" si="667"/>
        <v>608.5766114999999</v>
      </c>
      <c r="AF565" s="156">
        <f t="shared" si="668"/>
        <v>277.41383999999999</v>
      </c>
      <c r="AG565" s="156">
        <f t="shared" si="669"/>
        <v>138.70692</v>
      </c>
      <c r="AH565" s="156">
        <f t="shared" si="670"/>
        <v>138.70692</v>
      </c>
      <c r="AI565" s="156">
        <f t="shared" si="671"/>
        <v>69.353459999999998</v>
      </c>
      <c r="AJ565" s="156">
        <f t="shared" si="672"/>
        <v>138.70692</v>
      </c>
      <c r="AK565" s="156">
        <f t="shared" si="673"/>
        <v>138.70692</v>
      </c>
      <c r="AL565" s="156">
        <f t="shared" si="674"/>
        <v>485.47422</v>
      </c>
      <c r="AM565" s="157">
        <f t="shared" si="675"/>
        <v>2134.3527314999997</v>
      </c>
      <c r="AN565" s="158">
        <f t="shared" si="676"/>
        <v>2200</v>
      </c>
      <c r="AO565" s="159">
        <v>0.2</v>
      </c>
      <c r="AP565" s="160">
        <f t="shared" si="677"/>
        <v>56710530.499190032</v>
      </c>
      <c r="AQ565" s="161">
        <f t="shared" si="678"/>
        <v>15752.926398897909</v>
      </c>
      <c r="AR565" s="162">
        <f t="shared" si="679"/>
        <v>3150.5852797795819</v>
      </c>
      <c r="AS565" s="163">
        <f t="shared" si="680"/>
        <v>0.44956981732014584</v>
      </c>
      <c r="AT565" s="164">
        <f t="shared" si="681"/>
        <v>0.44956981732014584</v>
      </c>
      <c r="AU565" s="165"/>
      <c r="AV565" s="166"/>
      <c r="AW565" s="167"/>
      <c r="AX565" s="146"/>
      <c r="AY565" s="168"/>
    </row>
    <row r="566" spans="1:51" ht="10.9" customHeight="1" x14ac:dyDescent="0.2">
      <c r="B566" s="357">
        <v>11</v>
      </c>
      <c r="C566" s="170" t="s">
        <v>577</v>
      </c>
      <c r="D566" s="300"/>
      <c r="E566" s="236"/>
      <c r="F566" s="236"/>
      <c r="G566" s="236"/>
      <c r="H566" s="236"/>
      <c r="I566" s="236"/>
      <c r="J566" s="236"/>
      <c r="K566" s="236"/>
      <c r="L566" s="236"/>
      <c r="M566" s="236">
        <v>54404</v>
      </c>
      <c r="N566" s="236">
        <v>58082</v>
      </c>
      <c r="O566" s="301">
        <v>60444</v>
      </c>
      <c r="P566" s="237">
        <v>61503</v>
      </c>
      <c r="Q566" s="223">
        <f t="shared" si="661"/>
        <v>61503</v>
      </c>
      <c r="R566" s="147">
        <f t="shared" si="662"/>
        <v>6765.33</v>
      </c>
      <c r="S566" s="147">
        <f t="shared" si="663"/>
        <v>18.535150684931505</v>
      </c>
      <c r="T566" s="148">
        <f t="shared" si="664"/>
        <v>4059.1979999999994</v>
      </c>
      <c r="U566" s="199"/>
      <c r="V566" s="150"/>
      <c r="W566" s="249"/>
      <c r="X566" s="249"/>
      <c r="Y566" s="152"/>
      <c r="Z566" s="153"/>
      <c r="AA566" s="153"/>
      <c r="AB566" s="154"/>
      <c r="AC566" s="155">
        <f t="shared" si="665"/>
        <v>2354.3348399999995</v>
      </c>
      <c r="AD566" s="156">
        <f t="shared" si="666"/>
        <v>527.69573999999989</v>
      </c>
      <c r="AE566" s="156">
        <f t="shared" si="667"/>
        <v>356.19462449999992</v>
      </c>
      <c r="AF566" s="156">
        <f t="shared" si="668"/>
        <v>162.36791999999997</v>
      </c>
      <c r="AG566" s="156">
        <f t="shared" si="669"/>
        <v>81.183959999999985</v>
      </c>
      <c r="AH566" s="156">
        <f t="shared" si="670"/>
        <v>81.183959999999985</v>
      </c>
      <c r="AI566" s="156">
        <f t="shared" si="671"/>
        <v>40.591979999999992</v>
      </c>
      <c r="AJ566" s="156">
        <f t="shared" si="672"/>
        <v>81.183959999999985</v>
      </c>
      <c r="AK566" s="156">
        <f t="shared" si="673"/>
        <v>81.183959999999985</v>
      </c>
      <c r="AL566" s="156">
        <f t="shared" si="674"/>
        <v>284.14385999999996</v>
      </c>
      <c r="AM566" s="157">
        <f t="shared" si="675"/>
        <v>1249.2181844999998</v>
      </c>
      <c r="AN566" s="158">
        <f t="shared" si="676"/>
        <v>2200</v>
      </c>
      <c r="AO566" s="159">
        <v>0.2</v>
      </c>
      <c r="AP566" s="160">
        <f t="shared" si="677"/>
        <v>33192182.766548511</v>
      </c>
      <c r="AQ566" s="161">
        <f t="shared" si="678"/>
        <v>9220.0515060897578</v>
      </c>
      <c r="AR566" s="162">
        <f t="shared" si="679"/>
        <v>1844.0103012179516</v>
      </c>
      <c r="AS566" s="163">
        <f t="shared" si="680"/>
        <v>0.26312932380393145</v>
      </c>
      <c r="AT566" s="164">
        <f t="shared" si="681"/>
        <v>0.26312932380393145</v>
      </c>
      <c r="AU566" s="165"/>
      <c r="AV566" s="166"/>
      <c r="AW566" s="167"/>
      <c r="AX566" s="146"/>
      <c r="AY566" s="168"/>
    </row>
    <row r="567" spans="1:51" ht="10.9" customHeight="1" x14ac:dyDescent="0.2">
      <c r="B567" s="357">
        <v>3</v>
      </c>
      <c r="C567" s="169" t="s">
        <v>578</v>
      </c>
      <c r="D567" s="300"/>
      <c r="E567" s="236"/>
      <c r="F567" s="236"/>
      <c r="G567" s="236"/>
      <c r="H567" s="236"/>
      <c r="I567" s="236"/>
      <c r="J567" s="236"/>
      <c r="K567" s="236"/>
      <c r="L567" s="236"/>
      <c r="M567" s="236">
        <v>81712</v>
      </c>
      <c r="N567" s="236">
        <v>84138</v>
      </c>
      <c r="O567" s="301">
        <v>86618</v>
      </c>
      <c r="P567" s="237">
        <v>88132</v>
      </c>
      <c r="Q567" s="223">
        <f t="shared" si="661"/>
        <v>88132</v>
      </c>
      <c r="R567" s="147">
        <f t="shared" si="662"/>
        <v>9694.52</v>
      </c>
      <c r="S567" s="147">
        <f t="shared" si="663"/>
        <v>26.560328767123288</v>
      </c>
      <c r="T567" s="148">
        <f t="shared" si="664"/>
        <v>5816.7120000000004</v>
      </c>
      <c r="U567" s="199"/>
      <c r="V567" s="150"/>
      <c r="W567" s="249"/>
      <c r="X567" s="249"/>
      <c r="Y567" s="152"/>
      <c r="Z567" s="153"/>
      <c r="AA567" s="153"/>
      <c r="AB567" s="154"/>
      <c r="AC567" s="155">
        <f t="shared" si="665"/>
        <v>3373.6929599999999</v>
      </c>
      <c r="AD567" s="156">
        <f t="shared" si="666"/>
        <v>756.17256000000009</v>
      </c>
      <c r="AE567" s="156">
        <f t="shared" si="667"/>
        <v>510.41647799999998</v>
      </c>
      <c r="AF567" s="156">
        <f t="shared" si="668"/>
        <v>232.66848000000002</v>
      </c>
      <c r="AG567" s="156">
        <f t="shared" si="669"/>
        <v>116.33424000000001</v>
      </c>
      <c r="AH567" s="156">
        <f t="shared" si="670"/>
        <v>116.33424000000001</v>
      </c>
      <c r="AI567" s="156">
        <f t="shared" si="671"/>
        <v>58.167120000000004</v>
      </c>
      <c r="AJ567" s="156">
        <f t="shared" si="672"/>
        <v>116.33424000000001</v>
      </c>
      <c r="AK567" s="156">
        <f t="shared" si="673"/>
        <v>116.33424000000001</v>
      </c>
      <c r="AL567" s="156">
        <f t="shared" si="674"/>
        <v>407.16984000000008</v>
      </c>
      <c r="AM567" s="157">
        <f t="shared" si="675"/>
        <v>1790.093118</v>
      </c>
      <c r="AN567" s="158">
        <f t="shared" si="676"/>
        <v>2200</v>
      </c>
      <c r="AO567" s="159">
        <v>0.2</v>
      </c>
      <c r="AP567" s="160">
        <f t="shared" si="677"/>
        <v>47563427.013014883</v>
      </c>
      <c r="AQ567" s="161">
        <f t="shared" si="678"/>
        <v>13212.064116135845</v>
      </c>
      <c r="AR567" s="162">
        <f t="shared" si="679"/>
        <v>2642.4128232271692</v>
      </c>
      <c r="AS567" s="163">
        <f t="shared" si="680"/>
        <v>0.37705662431894538</v>
      </c>
      <c r="AT567" s="164">
        <f t="shared" si="681"/>
        <v>0.37705662431894538</v>
      </c>
      <c r="AU567" s="165"/>
      <c r="AV567" s="166"/>
      <c r="AW567" s="167"/>
      <c r="AX567" s="146"/>
      <c r="AY567" s="168"/>
    </row>
    <row r="568" spans="1:51" s="263" customFormat="1" ht="16.7" customHeight="1" x14ac:dyDescent="0.25">
      <c r="A568" s="173"/>
      <c r="B568" s="225"/>
      <c r="C568" s="352" t="s">
        <v>579</v>
      </c>
      <c r="D568" s="240">
        <f t="shared" ref="D568:U568" si="682">SUM(D557:D567)</f>
        <v>0</v>
      </c>
      <c r="E568" s="240">
        <f t="shared" si="682"/>
        <v>0</v>
      </c>
      <c r="F568" s="240">
        <f t="shared" si="682"/>
        <v>0</v>
      </c>
      <c r="G568" s="240">
        <f t="shared" si="682"/>
        <v>0</v>
      </c>
      <c r="H568" s="240">
        <f t="shared" si="682"/>
        <v>0</v>
      </c>
      <c r="I568" s="240">
        <f t="shared" si="682"/>
        <v>0</v>
      </c>
      <c r="J568" s="240">
        <f t="shared" si="682"/>
        <v>0</v>
      </c>
      <c r="K568" s="240">
        <f t="shared" si="682"/>
        <v>0</v>
      </c>
      <c r="L568" s="240">
        <f t="shared" si="682"/>
        <v>0</v>
      </c>
      <c r="M568" s="240">
        <f t="shared" si="682"/>
        <v>1457070</v>
      </c>
      <c r="N568" s="240">
        <f t="shared" si="682"/>
        <v>1533506</v>
      </c>
      <c r="O568" s="240">
        <f t="shared" si="682"/>
        <v>1581279</v>
      </c>
      <c r="P568" s="240">
        <f t="shared" si="682"/>
        <v>1608786</v>
      </c>
      <c r="Q568" s="240">
        <f t="shared" si="682"/>
        <v>1613713</v>
      </c>
      <c r="R568" s="240">
        <f t="shared" si="682"/>
        <v>177508.43</v>
      </c>
      <c r="S568" s="240">
        <f t="shared" si="682"/>
        <v>486.3244657534247</v>
      </c>
      <c r="T568" s="240">
        <f t="shared" si="682"/>
        <v>106505.058</v>
      </c>
      <c r="U568" s="199">
        <f t="shared" si="682"/>
        <v>0</v>
      </c>
      <c r="V568" s="241"/>
      <c r="W568" s="242">
        <f>SUM(W557:W567)</f>
        <v>0</v>
      </c>
      <c r="X568" s="242">
        <f>SUM(X557:X567)</f>
        <v>0</v>
      </c>
      <c r="Y568" s="242">
        <f>SUM(Y557:Y567)</f>
        <v>0</v>
      </c>
      <c r="Z568" s="199"/>
      <c r="AA568" s="199"/>
      <c r="AB568" s="243"/>
      <c r="AC568" s="240">
        <f t="shared" ref="AC568:AM568" si="683">SUM(AC557:AC567)</f>
        <v>61772.933639999988</v>
      </c>
      <c r="AD568" s="244">
        <f t="shared" si="683"/>
        <v>13845.65754</v>
      </c>
      <c r="AE568" s="244">
        <f t="shared" si="683"/>
        <v>9345.8188394999997</v>
      </c>
      <c r="AF568" s="244">
        <f t="shared" si="683"/>
        <v>4260.2023200000003</v>
      </c>
      <c r="AG568" s="244">
        <f t="shared" si="683"/>
        <v>2130.1011600000002</v>
      </c>
      <c r="AH568" s="244">
        <f t="shared" si="683"/>
        <v>2130.1011600000002</v>
      </c>
      <c r="AI568" s="244">
        <f t="shared" si="683"/>
        <v>1065.0505800000001</v>
      </c>
      <c r="AJ568" s="244">
        <f t="shared" si="683"/>
        <v>2130.1011600000002</v>
      </c>
      <c r="AK568" s="244">
        <f t="shared" si="683"/>
        <v>2130.1011600000002</v>
      </c>
      <c r="AL568" s="244">
        <f t="shared" si="683"/>
        <v>7455.3540600000024</v>
      </c>
      <c r="AM568" s="245">
        <f t="shared" si="683"/>
        <v>32776.9315995</v>
      </c>
      <c r="AN568" s="158"/>
      <c r="AO568" s="183"/>
      <c r="AP568" s="160">
        <f>SUM(AP557:AP567)</f>
        <v>870895026.72642493</v>
      </c>
      <c r="AQ568" s="160">
        <f>SUM(AQ557:AQ567)</f>
        <v>241915.30455500749</v>
      </c>
      <c r="AR568" s="160">
        <f>SUM(AR557:AR567)</f>
        <v>48383.060911001507</v>
      </c>
      <c r="AS568" s="185">
        <f>SUM(AS557:AS567)</f>
        <v>6.9039755866155108</v>
      </c>
      <c r="AT568" s="186">
        <f>SUM(AT557:AT567)</f>
        <v>6.9039755866155108</v>
      </c>
      <c r="AU568" s="187"/>
      <c r="AV568" s="246">
        <f>SUM(AV557:AV567)</f>
        <v>0</v>
      </c>
      <c r="AW568" s="246"/>
      <c r="AX568" s="185">
        <f>SUM(AX557:AX567)</f>
        <v>0</v>
      </c>
      <c r="AY568" s="189"/>
    </row>
    <row r="569" spans="1:51" s="139" customFormat="1" ht="10.9" customHeight="1" x14ac:dyDescent="0.25">
      <c r="B569" s="247"/>
      <c r="C569" s="152"/>
      <c r="D569" s="247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248"/>
      <c r="Q569" s="249"/>
      <c r="R569" s="250"/>
      <c r="S569" s="250"/>
      <c r="T569" s="251"/>
      <c r="U569" s="199"/>
      <c r="V569" s="179"/>
      <c r="W569" s="249"/>
      <c r="X569" s="249"/>
      <c r="Y569" s="152"/>
      <c r="Z569" s="153"/>
      <c r="AA569" s="153"/>
      <c r="AB569" s="154"/>
      <c r="AC569" s="247"/>
      <c r="AD569" s="252"/>
      <c r="AE569" s="252"/>
      <c r="AF569" s="252"/>
      <c r="AG569" s="252"/>
      <c r="AH569" s="252"/>
      <c r="AI569" s="252"/>
      <c r="AJ569" s="252"/>
      <c r="AK569" s="252"/>
      <c r="AL569" s="252"/>
      <c r="AM569" s="214"/>
      <c r="AN569" s="203"/>
      <c r="AO569" s="204"/>
      <c r="AP569" s="203"/>
      <c r="AQ569" s="205"/>
      <c r="AR569" s="206"/>
      <c r="AS569" s="253"/>
      <c r="AT569" s="254"/>
      <c r="AU569" s="255"/>
      <c r="AV569" s="256"/>
      <c r="AW569" s="257"/>
      <c r="AX569" s="214"/>
      <c r="AY569" s="212"/>
    </row>
    <row r="570" spans="1:51" s="139" customFormat="1" ht="15" customHeight="1" x14ac:dyDescent="0.25">
      <c r="A570" s="1"/>
      <c r="B570" s="126"/>
      <c r="C570" s="352" t="s">
        <v>580</v>
      </c>
      <c r="D570" s="122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213"/>
      <c r="Q570" s="76"/>
      <c r="R570" s="108"/>
      <c r="S570" s="108"/>
      <c r="T570" s="94"/>
      <c r="U570" s="199"/>
      <c r="V570" s="179"/>
      <c r="W570" s="180"/>
      <c r="X570" s="180"/>
      <c r="Y570" s="214"/>
      <c r="Z570" s="181"/>
      <c r="AA570" s="181"/>
      <c r="AB570" s="182"/>
      <c r="AC570" s="62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125"/>
      <c r="AN570" s="75"/>
      <c r="AO570" s="216"/>
      <c r="AP570" s="75"/>
      <c r="AQ570" s="51"/>
      <c r="AR570" s="259"/>
      <c r="AS570" s="218"/>
      <c r="AT570" s="219"/>
      <c r="AU570" s="220"/>
      <c r="AV570" s="135"/>
      <c r="AW570" s="136"/>
      <c r="AX570" s="137"/>
      <c r="AY570" s="138"/>
    </row>
    <row r="571" spans="1:51" ht="10.9" customHeight="1" x14ac:dyDescent="0.25">
      <c r="B571" s="140">
        <v>7</v>
      </c>
      <c r="C571" s="170" t="s">
        <v>581</v>
      </c>
      <c r="D571" s="235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>
        <v>52697</v>
      </c>
      <c r="P571" s="237">
        <v>53968</v>
      </c>
      <c r="Q571" s="223">
        <f t="shared" ref="Q571:Q579" si="684">MAX(D571:P571)</f>
        <v>53968</v>
      </c>
      <c r="R571" s="147">
        <f t="shared" ref="R571:R579" si="685">Q571*$R$10</f>
        <v>5936.4800000000005</v>
      </c>
      <c r="S571" s="147">
        <f t="shared" ref="S571:S579" si="686">R571/$S$5</f>
        <v>16.264328767123288</v>
      </c>
      <c r="T571" s="148">
        <f t="shared" ref="T571:T579" si="687">S571*$T$5*$T$10</f>
        <v>3561.8880000000004</v>
      </c>
      <c r="U571" s="199"/>
      <c r="V571" s="150"/>
      <c r="W571" s="249"/>
      <c r="X571" s="249"/>
      <c r="Y571" s="152"/>
      <c r="Z571" s="153"/>
      <c r="AA571" s="153"/>
      <c r="AB571" s="154"/>
      <c r="AC571" s="155">
        <f t="shared" ref="AC571:AC579" si="688">T571*$AC$5</f>
        <v>2065.8950399999999</v>
      </c>
      <c r="AD571" s="156">
        <f t="shared" ref="AD571:AD579" si="689">T571*$AD$5</f>
        <v>463.04544000000004</v>
      </c>
      <c r="AE571" s="156">
        <f t="shared" ref="AE571:AE579" si="690">T571*$AE$5</f>
        <v>312.55567200000002</v>
      </c>
      <c r="AF571" s="156">
        <f t="shared" ref="AF571:AF579" si="691">T571*$AF$5</f>
        <v>142.47552000000002</v>
      </c>
      <c r="AG571" s="156">
        <f t="shared" ref="AG571:AG579" si="692">T571*$AG$5</f>
        <v>71.237760000000009</v>
      </c>
      <c r="AH571" s="156">
        <f t="shared" ref="AH571:AH579" si="693">T571*$AH$5</f>
        <v>71.237760000000009</v>
      </c>
      <c r="AI571" s="156">
        <f t="shared" ref="AI571:AI579" si="694">T571*$AI$5</f>
        <v>35.618880000000004</v>
      </c>
      <c r="AJ571" s="156">
        <f t="shared" ref="AJ571:AJ579" si="695">T571*$AJ$5</f>
        <v>71.237760000000009</v>
      </c>
      <c r="AK571" s="156">
        <f t="shared" ref="AK571:AK579" si="696">T571*$AK$5</f>
        <v>71.237760000000009</v>
      </c>
      <c r="AL571" s="156">
        <f t="shared" ref="AL571:AL579" si="697">T571*$AL$5</f>
        <v>249.33216000000004</v>
      </c>
      <c r="AM571" s="157">
        <f t="shared" ref="AM571:AM579" si="698">SUM(AD571:AI571)</f>
        <v>1096.171032</v>
      </c>
      <c r="AN571" s="158">
        <f t="shared" ref="AN571:AN579" si="699">$AN$5</f>
        <v>2200</v>
      </c>
      <c r="AO571" s="159">
        <v>0.2</v>
      </c>
      <c r="AP571" s="160">
        <f t="shared" ref="AP571:AP579" si="700">(AC571+AM571)*AN571*$AP$5</f>
        <v>29125664.106549118</v>
      </c>
      <c r="AQ571" s="161">
        <f t="shared" ref="AQ571:AQ579" si="701">AP571*$AQ$5</f>
        <v>8090.4628990561796</v>
      </c>
      <c r="AR571" s="162">
        <f t="shared" ref="AR571:AR579" si="702">AQ571*$AR$5</f>
        <v>1618.092579811236</v>
      </c>
      <c r="AS571" s="163">
        <f t="shared" ref="AS571:AS579" si="703">AR571/$AS$5</f>
        <v>0.2308922060232928</v>
      </c>
      <c r="AT571" s="164">
        <f t="shared" ref="AT571:AT579" si="704">AS571</f>
        <v>0.2308922060232928</v>
      </c>
      <c r="AU571" s="165"/>
      <c r="AV571" s="166"/>
      <c r="AW571" s="167"/>
      <c r="AX571" s="146"/>
      <c r="AY571" s="168"/>
    </row>
    <row r="572" spans="1:51" ht="10.9" customHeight="1" x14ac:dyDescent="0.25">
      <c r="B572" s="140">
        <v>1</v>
      </c>
      <c r="C572" s="170" t="s">
        <v>582</v>
      </c>
      <c r="D572" s="235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>
        <v>100424</v>
      </c>
      <c r="P572" s="237">
        <v>102845</v>
      </c>
      <c r="Q572" s="223">
        <f t="shared" si="684"/>
        <v>102845</v>
      </c>
      <c r="R572" s="147">
        <f t="shared" si="685"/>
        <v>11312.95</v>
      </c>
      <c r="S572" s="147">
        <f t="shared" si="686"/>
        <v>30.994383561643836</v>
      </c>
      <c r="T572" s="148">
        <f t="shared" si="687"/>
        <v>6787.77</v>
      </c>
      <c r="U572" s="199"/>
      <c r="V572" s="150"/>
      <c r="W572" s="249"/>
      <c r="X572" s="249"/>
      <c r="Y572" s="152"/>
      <c r="Z572" s="153"/>
      <c r="AA572" s="153"/>
      <c r="AB572" s="154"/>
      <c r="AC572" s="155">
        <f t="shared" si="688"/>
        <v>3936.9065999999998</v>
      </c>
      <c r="AD572" s="156">
        <f t="shared" si="689"/>
        <v>882.41010000000006</v>
      </c>
      <c r="AE572" s="156">
        <f t="shared" si="690"/>
        <v>595.62681750000002</v>
      </c>
      <c r="AF572" s="156">
        <f t="shared" si="691"/>
        <v>271.51080000000002</v>
      </c>
      <c r="AG572" s="156">
        <f t="shared" si="692"/>
        <v>135.75540000000001</v>
      </c>
      <c r="AH572" s="156">
        <f t="shared" si="693"/>
        <v>135.75540000000001</v>
      </c>
      <c r="AI572" s="156">
        <f t="shared" si="694"/>
        <v>67.877700000000004</v>
      </c>
      <c r="AJ572" s="156">
        <f t="shared" si="695"/>
        <v>135.75540000000001</v>
      </c>
      <c r="AK572" s="156">
        <f t="shared" si="696"/>
        <v>135.75540000000001</v>
      </c>
      <c r="AL572" s="156">
        <f t="shared" si="697"/>
        <v>475.14390000000009</v>
      </c>
      <c r="AM572" s="157">
        <f t="shared" si="698"/>
        <v>2088.9362175000001</v>
      </c>
      <c r="AN572" s="158">
        <f t="shared" si="699"/>
        <v>2200</v>
      </c>
      <c r="AO572" s="159">
        <v>0.2</v>
      </c>
      <c r="AP572" s="160">
        <f t="shared" si="700"/>
        <v>55503797.158279799</v>
      </c>
      <c r="AQ572" s="161">
        <f t="shared" si="701"/>
        <v>15417.722666273214</v>
      </c>
      <c r="AR572" s="162">
        <f t="shared" si="702"/>
        <v>3083.5445332546428</v>
      </c>
      <c r="AS572" s="163">
        <f t="shared" si="703"/>
        <v>0.44000350074980632</v>
      </c>
      <c r="AT572" s="164">
        <f t="shared" si="704"/>
        <v>0.44000350074980632</v>
      </c>
      <c r="AU572" s="165"/>
      <c r="AV572" s="166"/>
      <c r="AW572" s="167"/>
      <c r="AX572" s="146"/>
      <c r="AY572" s="168"/>
    </row>
    <row r="573" spans="1:51" ht="10.9" customHeight="1" x14ac:dyDescent="0.25">
      <c r="B573" s="140">
        <v>3</v>
      </c>
      <c r="C573" s="170" t="s">
        <v>583</v>
      </c>
      <c r="D573" s="235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>
        <v>161847</v>
      </c>
      <c r="P573" s="237">
        <v>165749</v>
      </c>
      <c r="Q573" s="223">
        <f t="shared" si="684"/>
        <v>165749</v>
      </c>
      <c r="R573" s="147">
        <f t="shared" si="685"/>
        <v>18232.39</v>
      </c>
      <c r="S573" s="147">
        <f t="shared" si="686"/>
        <v>49.951753424657532</v>
      </c>
      <c r="T573" s="148">
        <f t="shared" si="687"/>
        <v>10939.433999999999</v>
      </c>
      <c r="U573" s="199"/>
      <c r="V573" s="150"/>
      <c r="W573" s="249"/>
      <c r="X573" s="249"/>
      <c r="Y573" s="152"/>
      <c r="Z573" s="153"/>
      <c r="AA573" s="153"/>
      <c r="AB573" s="154"/>
      <c r="AC573" s="155">
        <f t="shared" si="688"/>
        <v>6344.8717199999992</v>
      </c>
      <c r="AD573" s="156">
        <f t="shared" si="689"/>
        <v>1422.1264200000001</v>
      </c>
      <c r="AE573" s="156">
        <f t="shared" si="690"/>
        <v>959.93533349999984</v>
      </c>
      <c r="AF573" s="156">
        <f t="shared" si="691"/>
        <v>437.57736</v>
      </c>
      <c r="AG573" s="156">
        <f t="shared" si="692"/>
        <v>218.78868</v>
      </c>
      <c r="AH573" s="156">
        <f t="shared" si="693"/>
        <v>218.78868</v>
      </c>
      <c r="AI573" s="156">
        <f t="shared" si="694"/>
        <v>109.39434</v>
      </c>
      <c r="AJ573" s="156">
        <f t="shared" si="695"/>
        <v>218.78868</v>
      </c>
      <c r="AK573" s="156">
        <f t="shared" si="696"/>
        <v>218.78868</v>
      </c>
      <c r="AL573" s="156">
        <f t="shared" si="697"/>
        <v>765.76038000000005</v>
      </c>
      <c r="AM573" s="157">
        <f t="shared" si="698"/>
        <v>3366.6108135000004</v>
      </c>
      <c r="AN573" s="158">
        <f t="shared" si="699"/>
        <v>2200</v>
      </c>
      <c r="AO573" s="159">
        <v>0.2</v>
      </c>
      <c r="AP573" s="160">
        <f t="shared" si="700"/>
        <v>89452077.156767145</v>
      </c>
      <c r="AQ573" s="161">
        <f t="shared" si="701"/>
        <v>24847.801198037032</v>
      </c>
      <c r="AR573" s="162">
        <f t="shared" si="702"/>
        <v>4969.5602396074064</v>
      </c>
      <c r="AS573" s="163">
        <f t="shared" si="703"/>
        <v>0.70912674651932173</v>
      </c>
      <c r="AT573" s="164">
        <f t="shared" si="704"/>
        <v>0.70912674651932173</v>
      </c>
      <c r="AU573" s="165"/>
      <c r="AV573" s="166"/>
      <c r="AW573" s="167"/>
      <c r="AX573" s="146"/>
      <c r="AY573" s="168"/>
    </row>
    <row r="574" spans="1:51" ht="10.9" customHeight="1" x14ac:dyDescent="0.25">
      <c r="B574" s="140">
        <v>6</v>
      </c>
      <c r="C574" s="170" t="s">
        <v>584</v>
      </c>
      <c r="D574" s="235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>
        <v>73109</v>
      </c>
      <c r="P574" s="237">
        <v>74872</v>
      </c>
      <c r="Q574" s="223">
        <f t="shared" si="684"/>
        <v>74872</v>
      </c>
      <c r="R574" s="147">
        <f t="shared" si="685"/>
        <v>8235.92</v>
      </c>
      <c r="S574" s="147">
        <f t="shared" si="686"/>
        <v>22.564164383561643</v>
      </c>
      <c r="T574" s="148">
        <f t="shared" si="687"/>
        <v>4941.5519999999997</v>
      </c>
      <c r="U574" s="199"/>
      <c r="V574" s="150"/>
      <c r="W574" s="249"/>
      <c r="X574" s="249"/>
      <c r="Y574" s="152"/>
      <c r="Z574" s="153"/>
      <c r="AA574" s="153"/>
      <c r="AB574" s="154"/>
      <c r="AC574" s="155">
        <f t="shared" si="688"/>
        <v>2866.1001599999995</v>
      </c>
      <c r="AD574" s="156">
        <f t="shared" si="689"/>
        <v>642.40175999999997</v>
      </c>
      <c r="AE574" s="156">
        <f t="shared" si="690"/>
        <v>433.62118799999996</v>
      </c>
      <c r="AF574" s="156">
        <f t="shared" si="691"/>
        <v>197.66208</v>
      </c>
      <c r="AG574" s="156">
        <f t="shared" si="692"/>
        <v>98.831040000000002</v>
      </c>
      <c r="AH574" s="156">
        <f t="shared" si="693"/>
        <v>98.831040000000002</v>
      </c>
      <c r="AI574" s="156">
        <f t="shared" si="694"/>
        <v>49.415520000000001</v>
      </c>
      <c r="AJ574" s="156">
        <f t="shared" si="695"/>
        <v>98.831040000000002</v>
      </c>
      <c r="AK574" s="156">
        <f t="shared" si="696"/>
        <v>98.831040000000002</v>
      </c>
      <c r="AL574" s="156">
        <f t="shared" si="697"/>
        <v>345.90863999999999</v>
      </c>
      <c r="AM574" s="157">
        <f t="shared" si="698"/>
        <v>1520.7626279999999</v>
      </c>
      <c r="AN574" s="158">
        <f t="shared" si="699"/>
        <v>2200</v>
      </c>
      <c r="AO574" s="159">
        <v>0.2</v>
      </c>
      <c r="AP574" s="160">
        <f t="shared" si="700"/>
        <v>40407217.665756471</v>
      </c>
      <c r="AQ574" s="161">
        <f t="shared" si="701"/>
        <v>11224.228027314968</v>
      </c>
      <c r="AR574" s="162">
        <f t="shared" si="702"/>
        <v>2244.8456054629937</v>
      </c>
      <c r="AS574" s="163">
        <f t="shared" si="703"/>
        <v>0.3203261423320482</v>
      </c>
      <c r="AT574" s="164">
        <f t="shared" si="704"/>
        <v>0.3203261423320482</v>
      </c>
      <c r="AU574" s="165"/>
      <c r="AV574" s="166"/>
      <c r="AW574" s="167"/>
      <c r="AX574" s="146"/>
      <c r="AY574" s="168"/>
    </row>
    <row r="575" spans="1:51" ht="10.9" customHeight="1" x14ac:dyDescent="0.25">
      <c r="B575" s="140">
        <v>2</v>
      </c>
      <c r="C575" s="170" t="s">
        <v>585</v>
      </c>
      <c r="D575" s="235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>
        <v>42815</v>
      </c>
      <c r="P575" s="237">
        <v>43847</v>
      </c>
      <c r="Q575" s="223">
        <f t="shared" si="684"/>
        <v>43847</v>
      </c>
      <c r="R575" s="147">
        <f t="shared" si="685"/>
        <v>4823.17</v>
      </c>
      <c r="S575" s="147">
        <f t="shared" si="686"/>
        <v>13.214164383561645</v>
      </c>
      <c r="T575" s="148">
        <f t="shared" si="687"/>
        <v>2893.902</v>
      </c>
      <c r="U575" s="199"/>
      <c r="V575" s="150"/>
      <c r="W575" s="249"/>
      <c r="X575" s="249"/>
      <c r="Y575" s="152"/>
      <c r="Z575" s="153"/>
      <c r="AA575" s="153"/>
      <c r="AB575" s="154"/>
      <c r="AC575" s="155">
        <f t="shared" si="688"/>
        <v>1678.46316</v>
      </c>
      <c r="AD575" s="156">
        <f t="shared" si="689"/>
        <v>376.20726000000002</v>
      </c>
      <c r="AE575" s="156">
        <f t="shared" si="690"/>
        <v>253.93990049999999</v>
      </c>
      <c r="AF575" s="156">
        <f t="shared" si="691"/>
        <v>115.75608</v>
      </c>
      <c r="AG575" s="156">
        <f t="shared" si="692"/>
        <v>57.878039999999999</v>
      </c>
      <c r="AH575" s="156">
        <f t="shared" si="693"/>
        <v>57.878039999999999</v>
      </c>
      <c r="AI575" s="156">
        <f t="shared" si="694"/>
        <v>28.939019999999999</v>
      </c>
      <c r="AJ575" s="156">
        <f t="shared" si="695"/>
        <v>57.878039999999999</v>
      </c>
      <c r="AK575" s="156">
        <f t="shared" si="696"/>
        <v>57.878039999999999</v>
      </c>
      <c r="AL575" s="156">
        <f t="shared" si="697"/>
        <v>202.57314000000002</v>
      </c>
      <c r="AM575" s="157">
        <f t="shared" si="698"/>
        <v>890.59834050000018</v>
      </c>
      <c r="AN575" s="158">
        <f t="shared" si="699"/>
        <v>2200</v>
      </c>
      <c r="AO575" s="159">
        <v>0.2</v>
      </c>
      <c r="AP575" s="160">
        <f t="shared" si="700"/>
        <v>23663522.71864548</v>
      </c>
      <c r="AQ575" s="161">
        <f t="shared" si="701"/>
        <v>6573.2012810353599</v>
      </c>
      <c r="AR575" s="162">
        <f t="shared" si="702"/>
        <v>1314.6402562070721</v>
      </c>
      <c r="AS575" s="163">
        <f t="shared" si="703"/>
        <v>0.18759136076014157</v>
      </c>
      <c r="AT575" s="164">
        <f t="shared" si="704"/>
        <v>0.18759136076014157</v>
      </c>
      <c r="AU575" s="165"/>
      <c r="AV575" s="166"/>
      <c r="AW575" s="167"/>
      <c r="AX575" s="146"/>
      <c r="AY575" s="168"/>
    </row>
    <row r="576" spans="1:51" ht="10.9" customHeight="1" x14ac:dyDescent="0.25">
      <c r="B576" s="140">
        <v>4</v>
      </c>
      <c r="C576" s="170" t="s">
        <v>586</v>
      </c>
      <c r="D576" s="235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>
        <v>198911</v>
      </c>
      <c r="P576" s="237">
        <v>203707</v>
      </c>
      <c r="Q576" s="223">
        <f t="shared" si="684"/>
        <v>203707</v>
      </c>
      <c r="R576" s="147">
        <f t="shared" si="685"/>
        <v>22407.77</v>
      </c>
      <c r="S576" s="147">
        <f t="shared" si="686"/>
        <v>61.39115068493151</v>
      </c>
      <c r="T576" s="148">
        <f t="shared" si="687"/>
        <v>13444.662</v>
      </c>
      <c r="U576" s="199"/>
      <c r="V576" s="150"/>
      <c r="W576" s="249"/>
      <c r="X576" s="249"/>
      <c r="Y576" s="152"/>
      <c r="Z576" s="153"/>
      <c r="AA576" s="153"/>
      <c r="AB576" s="154"/>
      <c r="AC576" s="155">
        <f t="shared" si="688"/>
        <v>7797.9039599999996</v>
      </c>
      <c r="AD576" s="156">
        <f t="shared" si="689"/>
        <v>1747.8060600000001</v>
      </c>
      <c r="AE576" s="156">
        <f t="shared" si="690"/>
        <v>1179.7690904999999</v>
      </c>
      <c r="AF576" s="156">
        <f t="shared" si="691"/>
        <v>537.78647999999998</v>
      </c>
      <c r="AG576" s="156">
        <f t="shared" si="692"/>
        <v>268.89323999999999</v>
      </c>
      <c r="AH576" s="156">
        <f t="shared" si="693"/>
        <v>268.89323999999999</v>
      </c>
      <c r="AI576" s="156">
        <f t="shared" si="694"/>
        <v>134.44662</v>
      </c>
      <c r="AJ576" s="156">
        <f t="shared" si="695"/>
        <v>268.89323999999999</v>
      </c>
      <c r="AK576" s="156">
        <f t="shared" si="696"/>
        <v>268.89323999999999</v>
      </c>
      <c r="AL576" s="156">
        <f t="shared" si="697"/>
        <v>941.12634000000014</v>
      </c>
      <c r="AM576" s="157">
        <f t="shared" si="698"/>
        <v>4137.5947304999991</v>
      </c>
      <c r="AN576" s="158">
        <f t="shared" si="699"/>
        <v>2200</v>
      </c>
      <c r="AO576" s="159">
        <v>0.2</v>
      </c>
      <c r="AP576" s="160">
        <f t="shared" si="700"/>
        <v>109937401.01824786</v>
      </c>
      <c r="AQ576" s="161">
        <f t="shared" si="701"/>
        <v>30538.169392566648</v>
      </c>
      <c r="AR576" s="162">
        <f t="shared" si="702"/>
        <v>6107.6338785133303</v>
      </c>
      <c r="AS576" s="163">
        <f t="shared" si="703"/>
        <v>0.87152309910292958</v>
      </c>
      <c r="AT576" s="164">
        <f t="shared" si="704"/>
        <v>0.87152309910292958</v>
      </c>
      <c r="AU576" s="165"/>
      <c r="AV576" s="166"/>
      <c r="AW576" s="167"/>
      <c r="AX576" s="146"/>
      <c r="AY576" s="168"/>
    </row>
    <row r="577" spans="1:51" ht="10.9" customHeight="1" x14ac:dyDescent="0.25">
      <c r="B577" s="140">
        <v>9</v>
      </c>
      <c r="C577" s="170" t="s">
        <v>587</v>
      </c>
      <c r="D577" s="235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>
        <v>90055</v>
      </c>
      <c r="P577" s="237">
        <v>92226</v>
      </c>
      <c r="Q577" s="223">
        <f t="shared" si="684"/>
        <v>92226</v>
      </c>
      <c r="R577" s="147">
        <f t="shared" si="685"/>
        <v>10144.86</v>
      </c>
      <c r="S577" s="147">
        <f t="shared" si="686"/>
        <v>27.794136986301371</v>
      </c>
      <c r="T577" s="148">
        <f t="shared" si="687"/>
        <v>6086.9160000000002</v>
      </c>
      <c r="U577" s="199"/>
      <c r="V577" s="150"/>
      <c r="W577" s="249"/>
      <c r="X577" s="249"/>
      <c r="Y577" s="152"/>
      <c r="Z577" s="153"/>
      <c r="AA577" s="153"/>
      <c r="AB577" s="154"/>
      <c r="AC577" s="155">
        <f t="shared" si="688"/>
        <v>3530.4112799999998</v>
      </c>
      <c r="AD577" s="156">
        <f t="shared" si="689"/>
        <v>791.29908</v>
      </c>
      <c r="AE577" s="156">
        <f t="shared" si="690"/>
        <v>534.12687900000003</v>
      </c>
      <c r="AF577" s="156">
        <f t="shared" si="691"/>
        <v>243.47664</v>
      </c>
      <c r="AG577" s="156">
        <f t="shared" si="692"/>
        <v>121.73832</v>
      </c>
      <c r="AH577" s="156">
        <f t="shared" si="693"/>
        <v>121.73832</v>
      </c>
      <c r="AI577" s="156">
        <f t="shared" si="694"/>
        <v>60.869160000000001</v>
      </c>
      <c r="AJ577" s="156">
        <f t="shared" si="695"/>
        <v>121.73832</v>
      </c>
      <c r="AK577" s="156">
        <f t="shared" si="696"/>
        <v>121.73832</v>
      </c>
      <c r="AL577" s="156">
        <f t="shared" si="697"/>
        <v>426.08412000000004</v>
      </c>
      <c r="AM577" s="157">
        <f t="shared" si="698"/>
        <v>1873.2483990000001</v>
      </c>
      <c r="AN577" s="158">
        <f t="shared" si="699"/>
        <v>2200</v>
      </c>
      <c r="AO577" s="159">
        <v>0.2</v>
      </c>
      <c r="AP577" s="160">
        <f t="shared" si="700"/>
        <v>49772893.156881839</v>
      </c>
      <c r="AQ577" s="161">
        <f t="shared" si="701"/>
        <v>13825.804760753692</v>
      </c>
      <c r="AR577" s="162">
        <f t="shared" si="702"/>
        <v>2765.1609521507385</v>
      </c>
      <c r="AS577" s="163">
        <f t="shared" si="703"/>
        <v>0.39457205367447751</v>
      </c>
      <c r="AT577" s="164">
        <f t="shared" si="704"/>
        <v>0.39457205367447751</v>
      </c>
      <c r="AU577" s="165"/>
      <c r="AV577" s="166"/>
      <c r="AW577" s="167"/>
      <c r="AX577" s="146"/>
      <c r="AY577" s="168"/>
    </row>
    <row r="578" spans="1:51" ht="10.9" customHeight="1" x14ac:dyDescent="0.25">
      <c r="B578" s="140">
        <v>8</v>
      </c>
      <c r="C578" s="170" t="s">
        <v>588</v>
      </c>
      <c r="D578" s="235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>
        <v>185705</v>
      </c>
      <c r="P578" s="237">
        <v>190184</v>
      </c>
      <c r="Q578" s="223">
        <f t="shared" si="684"/>
        <v>190184</v>
      </c>
      <c r="R578" s="147">
        <f t="shared" si="685"/>
        <v>20920.240000000002</v>
      </c>
      <c r="S578" s="147">
        <f t="shared" si="686"/>
        <v>57.315726027397268</v>
      </c>
      <c r="T578" s="148">
        <f t="shared" si="687"/>
        <v>12552.144</v>
      </c>
      <c r="U578" s="199"/>
      <c r="V578" s="150"/>
      <c r="W578" s="249"/>
      <c r="X578" s="249"/>
      <c r="Y578" s="152"/>
      <c r="Z578" s="153"/>
      <c r="AA578" s="153"/>
      <c r="AB578" s="154"/>
      <c r="AC578" s="155">
        <f t="shared" si="688"/>
        <v>7280.24352</v>
      </c>
      <c r="AD578" s="156">
        <f t="shared" si="689"/>
        <v>1631.77872</v>
      </c>
      <c r="AE578" s="156">
        <f t="shared" si="690"/>
        <v>1101.450636</v>
      </c>
      <c r="AF578" s="156">
        <f t="shared" si="691"/>
        <v>502.08575999999999</v>
      </c>
      <c r="AG578" s="156">
        <f t="shared" si="692"/>
        <v>251.04288</v>
      </c>
      <c r="AH578" s="156">
        <f t="shared" si="693"/>
        <v>251.04288</v>
      </c>
      <c r="AI578" s="156">
        <f t="shared" si="694"/>
        <v>125.52144</v>
      </c>
      <c r="AJ578" s="156">
        <f t="shared" si="695"/>
        <v>251.04288</v>
      </c>
      <c r="AK578" s="156">
        <f t="shared" si="696"/>
        <v>251.04288</v>
      </c>
      <c r="AL578" s="156">
        <f t="shared" si="697"/>
        <v>878.65008000000012</v>
      </c>
      <c r="AM578" s="157">
        <f t="shared" si="698"/>
        <v>3862.9223159999997</v>
      </c>
      <c r="AN578" s="158">
        <f t="shared" si="699"/>
        <v>2200</v>
      </c>
      <c r="AO578" s="159">
        <v>0.2</v>
      </c>
      <c r="AP578" s="160">
        <f t="shared" si="700"/>
        <v>102639254.78876255</v>
      </c>
      <c r="AQ578" s="161">
        <f t="shared" si="701"/>
        <v>28510.906388861928</v>
      </c>
      <c r="AR578" s="162">
        <f t="shared" si="702"/>
        <v>5702.1812777723862</v>
      </c>
      <c r="AS578" s="163">
        <f t="shared" si="703"/>
        <v>0.81366741977345691</v>
      </c>
      <c r="AT578" s="164">
        <f t="shared" si="704"/>
        <v>0.81366741977345691</v>
      </c>
      <c r="AU578" s="165"/>
      <c r="AV578" s="166"/>
      <c r="AW578" s="167"/>
      <c r="AX578" s="146"/>
      <c r="AY578" s="168"/>
    </row>
    <row r="579" spans="1:51" ht="10.9" customHeight="1" x14ac:dyDescent="0.25">
      <c r="B579" s="140">
        <v>5</v>
      </c>
      <c r="C579" s="170" t="s">
        <v>589</v>
      </c>
      <c r="D579" s="235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>
        <v>132524</v>
      </c>
      <c r="P579" s="237">
        <v>135719</v>
      </c>
      <c r="Q579" s="223">
        <f t="shared" si="684"/>
        <v>135719</v>
      </c>
      <c r="R579" s="147">
        <f t="shared" si="685"/>
        <v>14929.09</v>
      </c>
      <c r="S579" s="147">
        <f t="shared" si="686"/>
        <v>40.901616438356164</v>
      </c>
      <c r="T579" s="148">
        <f t="shared" si="687"/>
        <v>8957.4539999999997</v>
      </c>
      <c r="U579" s="199"/>
      <c r="V579" s="150"/>
      <c r="W579" s="249"/>
      <c r="X579" s="249"/>
      <c r="Y579" s="152"/>
      <c r="Z579" s="153"/>
      <c r="AA579" s="153"/>
      <c r="AB579" s="154"/>
      <c r="AC579" s="155">
        <f t="shared" si="688"/>
        <v>5195.3233199999995</v>
      </c>
      <c r="AD579" s="156">
        <f t="shared" si="689"/>
        <v>1164.46902</v>
      </c>
      <c r="AE579" s="156">
        <f t="shared" si="690"/>
        <v>786.0165884999999</v>
      </c>
      <c r="AF579" s="156">
        <f t="shared" si="691"/>
        <v>358.29816</v>
      </c>
      <c r="AG579" s="156">
        <f t="shared" si="692"/>
        <v>179.14908</v>
      </c>
      <c r="AH579" s="156">
        <f t="shared" si="693"/>
        <v>179.14908</v>
      </c>
      <c r="AI579" s="156">
        <f t="shared" si="694"/>
        <v>89.574539999999999</v>
      </c>
      <c r="AJ579" s="156">
        <f t="shared" si="695"/>
        <v>179.14908</v>
      </c>
      <c r="AK579" s="156">
        <f t="shared" si="696"/>
        <v>179.14908</v>
      </c>
      <c r="AL579" s="156">
        <f t="shared" si="697"/>
        <v>627.02178000000004</v>
      </c>
      <c r="AM579" s="157">
        <f t="shared" si="698"/>
        <v>2756.6564685000003</v>
      </c>
      <c r="AN579" s="158">
        <f t="shared" si="699"/>
        <v>2200</v>
      </c>
      <c r="AO579" s="159">
        <v>0.2</v>
      </c>
      <c r="AP579" s="160">
        <f t="shared" si="700"/>
        <v>73245367.752681956</v>
      </c>
      <c r="AQ579" s="161">
        <f t="shared" si="701"/>
        <v>20345.937114530938</v>
      </c>
      <c r="AR579" s="162">
        <f t="shared" si="702"/>
        <v>4069.1874229061877</v>
      </c>
      <c r="AS579" s="163">
        <f t="shared" si="703"/>
        <v>0.58064889025487842</v>
      </c>
      <c r="AT579" s="164">
        <f t="shared" si="704"/>
        <v>0.58064889025487842</v>
      </c>
      <c r="AU579" s="165"/>
      <c r="AV579" s="166"/>
      <c r="AW579" s="167"/>
      <c r="AX579" s="146"/>
      <c r="AY579" s="168"/>
    </row>
    <row r="580" spans="1:51" s="263" customFormat="1" ht="17.25" customHeight="1" x14ac:dyDescent="0.25">
      <c r="A580" s="173"/>
      <c r="B580" s="225"/>
      <c r="C580" s="352" t="s">
        <v>590</v>
      </c>
      <c r="D580" s="240">
        <f>SUM(D571:D579)</f>
        <v>0</v>
      </c>
      <c r="E580" s="240">
        <f t="shared" ref="E580:T580" si="705">SUM(E571:E579)</f>
        <v>0</v>
      </c>
      <c r="F580" s="240">
        <f t="shared" si="705"/>
        <v>0</v>
      </c>
      <c r="G580" s="240">
        <f t="shared" si="705"/>
        <v>0</v>
      </c>
      <c r="H580" s="240">
        <f t="shared" si="705"/>
        <v>0</v>
      </c>
      <c r="I580" s="240">
        <f t="shared" si="705"/>
        <v>0</v>
      </c>
      <c r="J580" s="240">
        <f t="shared" si="705"/>
        <v>0</v>
      </c>
      <c r="K580" s="240">
        <f t="shared" si="705"/>
        <v>0</v>
      </c>
      <c r="L580" s="240">
        <f t="shared" si="705"/>
        <v>0</v>
      </c>
      <c r="M580" s="240">
        <f t="shared" si="705"/>
        <v>0</v>
      </c>
      <c r="N580" s="240">
        <f t="shared" si="705"/>
        <v>0</v>
      </c>
      <c r="O580" s="240">
        <f t="shared" si="705"/>
        <v>1038087</v>
      </c>
      <c r="P580" s="240">
        <f t="shared" si="705"/>
        <v>1063117</v>
      </c>
      <c r="Q580" s="240">
        <f t="shared" si="705"/>
        <v>1063117</v>
      </c>
      <c r="R580" s="240">
        <f t="shared" si="705"/>
        <v>116942.87</v>
      </c>
      <c r="S580" s="240">
        <f t="shared" si="705"/>
        <v>320.39142465753423</v>
      </c>
      <c r="T580" s="240">
        <f t="shared" si="705"/>
        <v>70165.721999999994</v>
      </c>
      <c r="U580" s="199"/>
      <c r="V580" s="179"/>
      <c r="W580" s="180"/>
      <c r="X580" s="180"/>
      <c r="Y580" s="227"/>
      <c r="Z580" s="181"/>
      <c r="AA580" s="181"/>
      <c r="AB580" s="182"/>
      <c r="AC580" s="240">
        <f t="shared" ref="AC580:AM580" si="706">SUM(AC571:AC579)</f>
        <v>40696.118759999998</v>
      </c>
      <c r="AD580" s="240">
        <f t="shared" si="706"/>
        <v>9121.5438599999998</v>
      </c>
      <c r="AE580" s="240">
        <f t="shared" si="706"/>
        <v>6157.0421054999997</v>
      </c>
      <c r="AF580" s="240">
        <f t="shared" si="706"/>
        <v>2806.6288799999998</v>
      </c>
      <c r="AG580" s="240">
        <f t="shared" si="706"/>
        <v>1403.3144399999999</v>
      </c>
      <c r="AH580" s="240">
        <f t="shared" si="706"/>
        <v>1403.3144399999999</v>
      </c>
      <c r="AI580" s="240">
        <f t="shared" si="706"/>
        <v>701.65721999999994</v>
      </c>
      <c r="AJ580" s="240">
        <f t="shared" si="706"/>
        <v>1403.3144399999999</v>
      </c>
      <c r="AK580" s="240">
        <f t="shared" si="706"/>
        <v>1403.3144399999999</v>
      </c>
      <c r="AL580" s="240">
        <f t="shared" si="706"/>
        <v>4911.6005400000004</v>
      </c>
      <c r="AM580" s="240">
        <f t="shared" si="706"/>
        <v>21593.5009455</v>
      </c>
      <c r="AN580" s="261"/>
      <c r="AO580" s="262"/>
      <c r="AP580" s="240">
        <f t="shared" ref="AP580:AX580" si="707">SUM(AP571:AP579)</f>
        <v>573747195.52257228</v>
      </c>
      <c r="AQ580" s="240">
        <f t="shared" si="707"/>
        <v>159374.23372842994</v>
      </c>
      <c r="AR580" s="240">
        <f t="shared" si="707"/>
        <v>31874.846745685994</v>
      </c>
      <c r="AS580" s="240">
        <f t="shared" si="707"/>
        <v>4.5483514191903529</v>
      </c>
      <c r="AT580" s="240">
        <f t="shared" si="707"/>
        <v>4.5483514191903529</v>
      </c>
      <c r="AU580" s="240">
        <f t="shared" si="707"/>
        <v>0</v>
      </c>
      <c r="AV580" s="240">
        <f t="shared" si="707"/>
        <v>0</v>
      </c>
      <c r="AW580" s="240">
        <f t="shared" si="707"/>
        <v>0</v>
      </c>
      <c r="AX580" s="240">
        <f t="shared" si="707"/>
        <v>0</v>
      </c>
      <c r="AY580" s="189"/>
    </row>
    <row r="581" spans="1:51" s="139" customFormat="1" ht="10.9" customHeight="1" x14ac:dyDescent="0.25">
      <c r="B581" s="247"/>
      <c r="C581" s="152"/>
      <c r="D581" s="247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248"/>
      <c r="Q581" s="249"/>
      <c r="R581" s="250"/>
      <c r="S581" s="250"/>
      <c r="T581" s="251"/>
      <c r="U581" s="199"/>
      <c r="V581" s="179"/>
      <c r="W581" s="249"/>
      <c r="X581" s="249"/>
      <c r="Y581" s="152"/>
      <c r="Z581" s="153"/>
      <c r="AA581" s="153"/>
      <c r="AB581" s="154"/>
      <c r="AC581" s="247"/>
      <c r="AD581" s="252"/>
      <c r="AE581" s="252"/>
      <c r="AF581" s="252"/>
      <c r="AG581" s="252"/>
      <c r="AH581" s="252"/>
      <c r="AI581" s="252"/>
      <c r="AJ581" s="252"/>
      <c r="AK581" s="252"/>
      <c r="AL581" s="252"/>
      <c r="AM581" s="214"/>
      <c r="AN581" s="203"/>
      <c r="AO581" s="204"/>
      <c r="AP581" s="203"/>
      <c r="AQ581" s="205"/>
      <c r="AR581" s="206"/>
      <c r="AS581" s="253"/>
      <c r="AT581" s="254"/>
      <c r="AU581" s="255"/>
      <c r="AV581" s="256"/>
      <c r="AW581" s="257"/>
      <c r="AX581" s="214"/>
      <c r="AY581" s="212"/>
    </row>
    <row r="582" spans="1:51" s="289" customFormat="1" ht="20.85" customHeight="1" x14ac:dyDescent="0.25">
      <c r="A582" s="269"/>
      <c r="B582" s="272"/>
      <c r="C582" s="356" t="s">
        <v>579</v>
      </c>
      <c r="D582" s="272">
        <f t="shared" ref="D582:T582" si="708">D568+D580</f>
        <v>0</v>
      </c>
      <c r="E582" s="272">
        <f t="shared" si="708"/>
        <v>0</v>
      </c>
      <c r="F582" s="272">
        <f t="shared" si="708"/>
        <v>0</v>
      </c>
      <c r="G582" s="272">
        <f t="shared" si="708"/>
        <v>0</v>
      </c>
      <c r="H582" s="272">
        <f t="shared" si="708"/>
        <v>0</v>
      </c>
      <c r="I582" s="272">
        <f t="shared" si="708"/>
        <v>0</v>
      </c>
      <c r="J582" s="272">
        <f t="shared" si="708"/>
        <v>0</v>
      </c>
      <c r="K582" s="272">
        <f t="shared" si="708"/>
        <v>0</v>
      </c>
      <c r="L582" s="272">
        <f t="shared" si="708"/>
        <v>0</v>
      </c>
      <c r="M582" s="272">
        <f t="shared" si="708"/>
        <v>1457070</v>
      </c>
      <c r="N582" s="272">
        <f t="shared" si="708"/>
        <v>1533506</v>
      </c>
      <c r="O582" s="272">
        <f t="shared" si="708"/>
        <v>2619366</v>
      </c>
      <c r="P582" s="272">
        <f t="shared" si="708"/>
        <v>2671903</v>
      </c>
      <c r="Q582" s="272">
        <f t="shared" si="708"/>
        <v>2676830</v>
      </c>
      <c r="R582" s="272">
        <f t="shared" si="708"/>
        <v>294451.3</v>
      </c>
      <c r="S582" s="272">
        <f t="shared" si="708"/>
        <v>806.71589041095899</v>
      </c>
      <c r="T582" s="272">
        <f t="shared" si="708"/>
        <v>176670.78</v>
      </c>
      <c r="U582" s="276"/>
      <c r="V582" s="277"/>
      <c r="W582" s="278"/>
      <c r="X582" s="278"/>
      <c r="Y582" s="279"/>
      <c r="Z582" s="280"/>
      <c r="AA582" s="280"/>
      <c r="AB582" s="281"/>
      <c r="AC582" s="272">
        <f t="shared" ref="AC582:AM582" si="709">AC568+AC580</f>
        <v>102469.05239999999</v>
      </c>
      <c r="AD582" s="272">
        <f t="shared" si="709"/>
        <v>22967.201399999998</v>
      </c>
      <c r="AE582" s="272">
        <f t="shared" si="709"/>
        <v>15502.860945</v>
      </c>
      <c r="AF582" s="272">
        <f t="shared" si="709"/>
        <v>7066.8312000000005</v>
      </c>
      <c r="AG582" s="272">
        <f t="shared" si="709"/>
        <v>3533.4156000000003</v>
      </c>
      <c r="AH582" s="272">
        <f t="shared" si="709"/>
        <v>3533.4156000000003</v>
      </c>
      <c r="AI582" s="272">
        <f t="shared" si="709"/>
        <v>1766.7078000000001</v>
      </c>
      <c r="AJ582" s="272">
        <f t="shared" si="709"/>
        <v>3533.4156000000003</v>
      </c>
      <c r="AK582" s="272">
        <f t="shared" si="709"/>
        <v>3533.4156000000003</v>
      </c>
      <c r="AL582" s="272">
        <f t="shared" si="709"/>
        <v>12366.954600000003</v>
      </c>
      <c r="AM582" s="272">
        <f t="shared" si="709"/>
        <v>54370.432545000003</v>
      </c>
      <c r="AN582" s="284"/>
      <c r="AO582" s="285"/>
      <c r="AP582" s="272">
        <f t="shared" ref="AP582:AV582" si="710">AP568+AP580</f>
        <v>1444642222.2489972</v>
      </c>
      <c r="AQ582" s="272">
        <f t="shared" si="710"/>
        <v>401289.53828343743</v>
      </c>
      <c r="AR582" s="272">
        <f t="shared" si="710"/>
        <v>80257.907656687501</v>
      </c>
      <c r="AS582" s="272">
        <f t="shared" si="710"/>
        <v>11.452327005805863</v>
      </c>
      <c r="AT582" s="272">
        <f t="shared" si="710"/>
        <v>11.452327005805863</v>
      </c>
      <c r="AU582" s="272">
        <f t="shared" si="710"/>
        <v>0</v>
      </c>
      <c r="AV582" s="272">
        <f t="shared" si="710"/>
        <v>0</v>
      </c>
      <c r="AW582" s="272"/>
      <c r="AX582" s="272">
        <f>AX568+AX580</f>
        <v>0</v>
      </c>
      <c r="AY582" s="288"/>
    </row>
    <row r="583" spans="1:51" s="139" customFormat="1" ht="10.9" customHeight="1" x14ac:dyDescent="0.25">
      <c r="Q583" s="310"/>
      <c r="R583" s="310"/>
      <c r="S583" s="310"/>
      <c r="T583" s="310"/>
      <c r="U583" s="311"/>
      <c r="V583" s="312"/>
      <c r="W583" s="310"/>
      <c r="X583" s="310"/>
      <c r="Z583" s="86"/>
      <c r="AA583" s="86"/>
      <c r="AB583" s="313"/>
      <c r="AD583" s="314"/>
      <c r="AE583" s="314"/>
      <c r="AF583" s="314"/>
      <c r="AG583" s="314"/>
      <c r="AH583" s="314"/>
      <c r="AI583" s="314"/>
      <c r="AJ583" s="314"/>
      <c r="AK583" s="314"/>
      <c r="AL583" s="314"/>
      <c r="AM583" s="315"/>
      <c r="AN583" s="310"/>
      <c r="AO583" s="316"/>
      <c r="AP583" s="310"/>
      <c r="AQ583" s="317"/>
      <c r="AR583" s="317"/>
      <c r="AS583" s="318"/>
      <c r="AT583" s="318"/>
      <c r="AU583" s="319"/>
      <c r="AV583" s="310"/>
      <c r="AW583" s="310"/>
      <c r="AX583" s="310"/>
      <c r="AY583" s="310"/>
    </row>
    <row r="584" spans="1:51" s="139" customFormat="1" ht="10.9" customHeight="1" x14ac:dyDescent="0.25">
      <c r="Q584" s="310"/>
      <c r="R584" s="310"/>
      <c r="S584" s="310"/>
      <c r="T584" s="310"/>
      <c r="U584" s="311"/>
      <c r="V584" s="312"/>
      <c r="W584" s="310"/>
      <c r="X584" s="310"/>
      <c r="Z584" s="86"/>
      <c r="AA584" s="86"/>
      <c r="AB584" s="313"/>
      <c r="AD584" s="314"/>
      <c r="AE584" s="314"/>
      <c r="AF584" s="314"/>
      <c r="AG584" s="314"/>
      <c r="AH584" s="314"/>
      <c r="AI584" s="314"/>
      <c r="AJ584" s="314"/>
      <c r="AK584" s="314"/>
      <c r="AL584" s="314"/>
      <c r="AM584" s="315"/>
      <c r="AN584" s="310"/>
      <c r="AO584" s="316"/>
      <c r="AP584" s="310"/>
      <c r="AQ584" s="317"/>
      <c r="AR584" s="317"/>
      <c r="AS584" s="318"/>
      <c r="AT584" s="318"/>
      <c r="AU584" s="319"/>
      <c r="AV584" s="310"/>
      <c r="AW584" s="310"/>
      <c r="AX584" s="310"/>
      <c r="AY584" s="310"/>
    </row>
    <row r="585" spans="1:51" s="290" customFormat="1" ht="23.1" customHeight="1" x14ac:dyDescent="0.25">
      <c r="B585" s="291" t="s">
        <v>591</v>
      </c>
      <c r="C585" s="292"/>
      <c r="D585" s="293"/>
      <c r="E585" s="292"/>
      <c r="F585" s="292"/>
      <c r="G585" s="292"/>
      <c r="H585" s="292"/>
      <c r="I585" s="292"/>
      <c r="J585" s="292"/>
      <c r="K585" s="292"/>
      <c r="L585" s="292"/>
      <c r="M585" s="292"/>
      <c r="N585" s="292"/>
      <c r="O585" s="292"/>
      <c r="P585" s="292"/>
      <c r="Q585" s="292"/>
      <c r="R585" s="292"/>
      <c r="S585" s="294"/>
      <c r="T585" s="292"/>
      <c r="U585" s="292"/>
      <c r="V585" s="292"/>
      <c r="W585" s="292"/>
      <c r="X585" s="292"/>
      <c r="Y585" s="292"/>
      <c r="Z585" s="295"/>
      <c r="AA585" s="296"/>
      <c r="AB585" s="116"/>
      <c r="AC585" s="117"/>
      <c r="AD585" s="117"/>
      <c r="AE585" s="117"/>
      <c r="AF585" s="117"/>
      <c r="AG585" s="117"/>
      <c r="AH585" s="117"/>
      <c r="AI585" s="117"/>
      <c r="AJ585" s="117"/>
      <c r="AK585" s="117"/>
      <c r="AL585" s="117"/>
      <c r="AM585" s="117"/>
      <c r="AN585" s="297"/>
      <c r="AO585" s="292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</row>
    <row r="586" spans="1:51" s="139" customFormat="1" ht="15" customHeight="1" x14ac:dyDescent="0.25">
      <c r="A586" s="1"/>
      <c r="B586" s="126"/>
      <c r="C586" s="352" t="s">
        <v>592</v>
      </c>
      <c r="D586" s="122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213"/>
      <c r="Q586" s="76"/>
      <c r="R586" s="108"/>
      <c r="S586" s="108"/>
      <c r="T586" s="94"/>
      <c r="U586" s="199"/>
      <c r="V586" s="179"/>
      <c r="W586" s="180"/>
      <c r="X586" s="180"/>
      <c r="Y586" s="214"/>
      <c r="Z586" s="181"/>
      <c r="AA586" s="181"/>
      <c r="AB586" s="182"/>
      <c r="AC586" s="62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125"/>
      <c r="AN586" s="75"/>
      <c r="AO586" s="216"/>
      <c r="AP586" s="75"/>
      <c r="AQ586" s="51"/>
      <c r="AR586" s="259"/>
      <c r="AS586" s="218"/>
      <c r="AT586" s="219"/>
      <c r="AU586" s="220"/>
      <c r="AV586" s="135"/>
      <c r="AW586" s="136"/>
      <c r="AX586" s="137"/>
      <c r="AY586" s="138"/>
    </row>
    <row r="587" spans="1:51" ht="10.9" customHeight="1" x14ac:dyDescent="0.2">
      <c r="B587" s="357">
        <v>1</v>
      </c>
      <c r="C587" s="361" t="s">
        <v>593</v>
      </c>
      <c r="D587" s="300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301">
        <v>68503</v>
      </c>
      <c r="P587" s="237"/>
      <c r="Q587" s="223">
        <f t="shared" ref="Q587:Q599" si="711">MAX(D587:P587)</f>
        <v>68503</v>
      </c>
      <c r="R587" s="147">
        <f t="shared" ref="R587:R599" si="712">Q587*$R$10</f>
        <v>7535.33</v>
      </c>
      <c r="S587" s="147">
        <f t="shared" ref="S587:S599" si="713">R587/$S$5</f>
        <v>20.644739726027396</v>
      </c>
      <c r="T587" s="148">
        <f t="shared" ref="T587:T599" si="714">S587*$T$5*$T$10</f>
        <v>4521.1979999999994</v>
      </c>
      <c r="U587" s="199"/>
      <c r="V587" s="150"/>
      <c r="W587" s="249"/>
      <c r="X587" s="249"/>
      <c r="Y587" s="152"/>
      <c r="Z587" s="153"/>
      <c r="AA587" s="153"/>
      <c r="AB587" s="154"/>
      <c r="AC587" s="155">
        <f t="shared" ref="AC587:AC599" si="715">T587*$AC$5</f>
        <v>2622.2948399999996</v>
      </c>
      <c r="AD587" s="156">
        <f t="shared" ref="AD587:AD599" si="716">T587*$AD$5</f>
        <v>587.75573999999995</v>
      </c>
      <c r="AE587" s="156">
        <f t="shared" ref="AE587:AE599" si="717">T587*$AE$5</f>
        <v>396.73512449999993</v>
      </c>
      <c r="AF587" s="156">
        <f t="shared" ref="AF587:AF599" si="718">T587*$AF$5</f>
        <v>180.84791999999999</v>
      </c>
      <c r="AG587" s="156">
        <f t="shared" ref="AG587:AG599" si="719">T587*$AG$5</f>
        <v>90.423959999999994</v>
      </c>
      <c r="AH587" s="156">
        <f t="shared" ref="AH587:AH599" si="720">T587*$AH$5</f>
        <v>90.423959999999994</v>
      </c>
      <c r="AI587" s="156">
        <f t="shared" ref="AI587:AI599" si="721">T587*$AI$5</f>
        <v>45.211979999999997</v>
      </c>
      <c r="AJ587" s="156">
        <f t="shared" ref="AJ587:AJ599" si="722">T587*$AJ$5</f>
        <v>90.423959999999994</v>
      </c>
      <c r="AK587" s="156">
        <f t="shared" ref="AK587:AK599" si="723">T587*$AK$5</f>
        <v>90.423959999999994</v>
      </c>
      <c r="AL587" s="156">
        <f t="shared" ref="AL587:AL599" si="724">T587*$AL$5</f>
        <v>316.48385999999999</v>
      </c>
      <c r="AM587" s="157">
        <f t="shared" ref="AM587:AM599" si="725">SUM(AD587:AI587)</f>
        <v>1391.3986844999999</v>
      </c>
      <c r="AN587" s="158">
        <f>$AN$5</f>
        <v>2200</v>
      </c>
      <c r="AO587" s="159">
        <v>0.2</v>
      </c>
      <c r="AP587" s="160">
        <f t="shared" ref="AP587:AP599" si="726">(AC587+AM587)*AN587*$AP$5</f>
        <v>36969970.506428517</v>
      </c>
      <c r="AQ587" s="161">
        <f>AP587*$AQ$5</f>
        <v>10269.437073340599</v>
      </c>
      <c r="AR587" s="162">
        <f>AQ587*$AR$5</f>
        <v>2053.8874146681201</v>
      </c>
      <c r="AS587" s="163">
        <f>AR587/$AS$5</f>
        <v>0.29307754204739156</v>
      </c>
      <c r="AT587" s="164">
        <f>AS587</f>
        <v>0.29307754204739156</v>
      </c>
      <c r="AU587" s="165"/>
      <c r="AV587" s="166"/>
      <c r="AW587" s="167"/>
      <c r="AX587" s="146"/>
      <c r="AY587" s="168"/>
    </row>
    <row r="588" spans="1:51" ht="10.9" customHeight="1" x14ac:dyDescent="0.2">
      <c r="B588" s="357">
        <v>2</v>
      </c>
      <c r="C588" s="361" t="s">
        <v>594</v>
      </c>
      <c r="D588" s="300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301">
        <v>48251</v>
      </c>
      <c r="P588" s="237"/>
      <c r="Q588" s="223">
        <f t="shared" si="711"/>
        <v>48251</v>
      </c>
      <c r="R588" s="147">
        <f t="shared" si="712"/>
        <v>5307.61</v>
      </c>
      <c r="S588" s="147">
        <f t="shared" si="713"/>
        <v>14.541397260273971</v>
      </c>
      <c r="T588" s="148">
        <f t="shared" si="714"/>
        <v>3184.5659999999998</v>
      </c>
      <c r="U588" s="199"/>
      <c r="V588" s="150"/>
      <c r="W588" s="249"/>
      <c r="X588" s="249"/>
      <c r="Y588" s="152"/>
      <c r="Z588" s="153"/>
      <c r="AA588" s="153"/>
      <c r="AB588" s="154"/>
      <c r="AC588" s="155">
        <f t="shared" si="715"/>
        <v>1847.0482799999997</v>
      </c>
      <c r="AD588" s="156">
        <f t="shared" si="716"/>
        <v>413.99358000000001</v>
      </c>
      <c r="AE588" s="156">
        <f t="shared" si="717"/>
        <v>279.44566649999996</v>
      </c>
      <c r="AF588" s="156">
        <f t="shared" si="718"/>
        <v>127.38263999999999</v>
      </c>
      <c r="AG588" s="156">
        <f t="shared" si="719"/>
        <v>63.691319999999997</v>
      </c>
      <c r="AH588" s="156">
        <f t="shared" si="720"/>
        <v>63.691319999999997</v>
      </c>
      <c r="AI588" s="156">
        <f t="shared" si="721"/>
        <v>31.845659999999999</v>
      </c>
      <c r="AJ588" s="156">
        <f t="shared" si="722"/>
        <v>63.691319999999997</v>
      </c>
      <c r="AK588" s="156">
        <f t="shared" si="723"/>
        <v>63.691319999999997</v>
      </c>
      <c r="AL588" s="156">
        <f t="shared" si="724"/>
        <v>222.91962000000001</v>
      </c>
      <c r="AM588" s="157">
        <f t="shared" si="725"/>
        <v>980.0501865</v>
      </c>
      <c r="AN588" s="158">
        <f>$AN$5</f>
        <v>2200</v>
      </c>
      <c r="AO588" s="159">
        <v>0.2</v>
      </c>
      <c r="AP588" s="160">
        <f t="shared" si="726"/>
        <v>26040290.890992839</v>
      </c>
      <c r="AQ588" s="161">
        <f>AP588*$AQ$5</f>
        <v>7233.4147150600302</v>
      </c>
      <c r="AR588" s="162">
        <f>AQ588*$AR$5</f>
        <v>1446.682943012006</v>
      </c>
      <c r="AS588" s="163">
        <f>AR588/$AS$5</f>
        <v>0.20643306835216982</v>
      </c>
      <c r="AT588" s="164">
        <f>AS588</f>
        <v>0.20643306835216982</v>
      </c>
      <c r="AU588" s="165"/>
      <c r="AV588" s="166"/>
      <c r="AW588" s="167"/>
      <c r="AX588" s="146"/>
      <c r="AY588" s="168"/>
    </row>
    <row r="589" spans="1:51" ht="10.9" customHeight="1" x14ac:dyDescent="0.2">
      <c r="B589" s="357">
        <v>3</v>
      </c>
      <c r="C589" s="361" t="s">
        <v>595</v>
      </c>
      <c r="D589" s="300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301">
        <v>27233</v>
      </c>
      <c r="P589" s="237"/>
      <c r="Q589" s="223">
        <f t="shared" si="711"/>
        <v>27233</v>
      </c>
      <c r="R589" s="147">
        <f t="shared" si="712"/>
        <v>2995.63</v>
      </c>
      <c r="S589" s="147">
        <f t="shared" si="713"/>
        <v>8.207205479452055</v>
      </c>
      <c r="T589" s="148">
        <f t="shared" si="714"/>
        <v>1797.3779999999999</v>
      </c>
      <c r="U589" s="199"/>
      <c r="V589" s="150"/>
      <c r="W589" s="249"/>
      <c r="X589" s="249"/>
      <c r="Y589" s="152"/>
      <c r="Z589" s="153"/>
      <c r="AA589" s="153"/>
      <c r="AB589" s="154"/>
      <c r="AC589" s="155">
        <f t="shared" si="715"/>
        <v>1042.4792399999999</v>
      </c>
      <c r="AD589" s="156">
        <f t="shared" si="716"/>
        <v>233.65914000000001</v>
      </c>
      <c r="AE589" s="156">
        <f t="shared" si="717"/>
        <v>157.71991949999997</v>
      </c>
      <c r="AF589" s="156">
        <f t="shared" si="718"/>
        <v>71.895120000000006</v>
      </c>
      <c r="AG589" s="156">
        <f t="shared" si="719"/>
        <v>35.947560000000003</v>
      </c>
      <c r="AH589" s="156">
        <f t="shared" si="720"/>
        <v>35.947560000000003</v>
      </c>
      <c r="AI589" s="156">
        <f t="shared" si="721"/>
        <v>17.973780000000001</v>
      </c>
      <c r="AJ589" s="156">
        <f t="shared" si="722"/>
        <v>35.947560000000003</v>
      </c>
      <c r="AK589" s="156">
        <f t="shared" si="723"/>
        <v>35.947560000000003</v>
      </c>
      <c r="AL589" s="156">
        <f t="shared" si="724"/>
        <v>125.81646000000001</v>
      </c>
      <c r="AM589" s="157">
        <f t="shared" si="725"/>
        <v>553.1430795</v>
      </c>
      <c r="AN589" s="158">
        <f>$AN$5</f>
        <v>2200</v>
      </c>
      <c r="AO589" s="159">
        <v>0.2</v>
      </c>
      <c r="AP589" s="160">
        <f t="shared" si="726"/>
        <v>14697213.360021716</v>
      </c>
      <c r="AQ589" s="161">
        <f>AP589*$AQ$5</f>
        <v>4082.5595932774399</v>
      </c>
      <c r="AR589" s="162">
        <f>AQ589*$AR$5</f>
        <v>816.51191865548799</v>
      </c>
      <c r="AS589" s="163">
        <f>AR589/$AS$5</f>
        <v>0.11651140391773517</v>
      </c>
      <c r="AT589" s="164">
        <f>AS589</f>
        <v>0.11651140391773517</v>
      </c>
      <c r="AU589" s="165"/>
      <c r="AV589" s="166"/>
      <c r="AW589" s="167"/>
      <c r="AX589" s="146"/>
      <c r="AY589" s="168"/>
    </row>
    <row r="590" spans="1:51" ht="10.9" customHeight="1" x14ac:dyDescent="0.2">
      <c r="B590" s="357">
        <v>4</v>
      </c>
      <c r="C590" s="361" t="s">
        <v>596</v>
      </c>
      <c r="D590" s="300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301">
        <v>54194</v>
      </c>
      <c r="P590" s="237"/>
      <c r="Q590" s="223">
        <f t="shared" si="711"/>
        <v>54194</v>
      </c>
      <c r="R590" s="147">
        <f t="shared" si="712"/>
        <v>5961.34</v>
      </c>
      <c r="S590" s="147">
        <f t="shared" si="713"/>
        <v>16.332438356164385</v>
      </c>
      <c r="T590" s="148">
        <f t="shared" si="714"/>
        <v>3576.8040000000001</v>
      </c>
      <c r="U590" s="199"/>
      <c r="V590" s="150"/>
      <c r="W590" s="249"/>
      <c r="X590" s="249"/>
      <c r="Y590" s="152"/>
      <c r="Z590" s="153"/>
      <c r="AA590" s="153"/>
      <c r="AB590" s="154"/>
      <c r="AC590" s="155">
        <f t="shared" si="715"/>
        <v>2074.5463199999999</v>
      </c>
      <c r="AD590" s="156">
        <f t="shared" si="716"/>
        <v>464.98452000000003</v>
      </c>
      <c r="AE590" s="156">
        <f t="shared" si="717"/>
        <v>313.86455100000001</v>
      </c>
      <c r="AF590" s="156">
        <f t="shared" si="718"/>
        <v>143.07216</v>
      </c>
      <c r="AG590" s="156">
        <f t="shared" si="719"/>
        <v>71.536079999999998</v>
      </c>
      <c r="AH590" s="156">
        <f t="shared" si="720"/>
        <v>71.536079999999998</v>
      </c>
      <c r="AI590" s="156">
        <f t="shared" si="721"/>
        <v>35.768039999999999</v>
      </c>
      <c r="AJ590" s="156">
        <f t="shared" si="722"/>
        <v>71.536079999999998</v>
      </c>
      <c r="AK590" s="156">
        <f t="shared" si="723"/>
        <v>71.536079999999998</v>
      </c>
      <c r="AL590" s="156">
        <f t="shared" si="724"/>
        <v>250.37628000000004</v>
      </c>
      <c r="AM590" s="157">
        <f t="shared" si="725"/>
        <v>1100.7614309999999</v>
      </c>
      <c r="AN590" s="158">
        <f>$AN$5</f>
        <v>2200</v>
      </c>
      <c r="AO590" s="159">
        <v>0.2</v>
      </c>
      <c r="AP590" s="160">
        <f t="shared" si="726"/>
        <v>29247632.68215096</v>
      </c>
      <c r="AQ590" s="161">
        <f>AP590*$AQ$5</f>
        <v>8124.3430616559926</v>
      </c>
      <c r="AR590" s="162">
        <f>AQ590*$AR$5</f>
        <v>1624.8686123311986</v>
      </c>
      <c r="AS590" s="163">
        <f>AR590/$AS$5</f>
        <v>0.2318591056408674</v>
      </c>
      <c r="AT590" s="164">
        <f>AS590</f>
        <v>0.2318591056408674</v>
      </c>
      <c r="AU590" s="165"/>
      <c r="AV590" s="166"/>
      <c r="AW590" s="167"/>
      <c r="AX590" s="146"/>
      <c r="AY590" s="168"/>
    </row>
    <row r="591" spans="1:51" ht="10.9" customHeight="1" x14ac:dyDescent="0.2">
      <c r="B591" s="357">
        <v>5</v>
      </c>
      <c r="C591" s="361" t="s">
        <v>597</v>
      </c>
      <c r="D591" s="300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301">
        <v>194948</v>
      </c>
      <c r="P591" s="237"/>
      <c r="Q591" s="223">
        <f t="shared" si="711"/>
        <v>194948</v>
      </c>
      <c r="R591" s="147">
        <f t="shared" si="712"/>
        <v>21444.28</v>
      </c>
      <c r="S591" s="147">
        <f t="shared" si="713"/>
        <v>58.75145205479452</v>
      </c>
      <c r="T591" s="148">
        <f t="shared" si="714"/>
        <v>12866.567999999999</v>
      </c>
      <c r="U591" s="199"/>
      <c r="V591" s="150"/>
      <c r="W591" s="249"/>
      <c r="X591" s="249"/>
      <c r="Y591" s="152"/>
      <c r="Z591" s="153"/>
      <c r="AA591" s="153"/>
      <c r="AB591" s="154"/>
      <c r="AC591" s="155">
        <f t="shared" si="715"/>
        <v>7462.6094399999993</v>
      </c>
      <c r="AD591" s="156">
        <f t="shared" si="716"/>
        <v>1672.6538399999999</v>
      </c>
      <c r="AE591" s="156">
        <f t="shared" si="717"/>
        <v>1129.0413419999998</v>
      </c>
      <c r="AF591" s="156">
        <f t="shared" si="718"/>
        <v>514.66272000000004</v>
      </c>
      <c r="AG591" s="156">
        <f t="shared" si="719"/>
        <v>257.33136000000002</v>
      </c>
      <c r="AH591" s="156">
        <f t="shared" si="720"/>
        <v>257.33136000000002</v>
      </c>
      <c r="AI591" s="156">
        <f t="shared" si="721"/>
        <v>128.66568000000001</v>
      </c>
      <c r="AJ591" s="156">
        <f t="shared" si="722"/>
        <v>257.33136000000002</v>
      </c>
      <c r="AK591" s="156">
        <f t="shared" si="723"/>
        <v>257.33136000000002</v>
      </c>
      <c r="AL591" s="156">
        <f t="shared" si="724"/>
        <v>900.65976000000001</v>
      </c>
      <c r="AM591" s="157">
        <f t="shared" si="725"/>
        <v>3959.6863020000001</v>
      </c>
      <c r="AN591" s="158"/>
      <c r="AO591" s="159"/>
      <c r="AP591" s="160">
        <f t="shared" si="726"/>
        <v>0</v>
      </c>
      <c r="AQ591" s="161"/>
      <c r="AR591" s="162"/>
      <c r="AS591" s="163"/>
      <c r="AT591" s="164"/>
      <c r="AU591" s="165"/>
      <c r="AV591" s="166"/>
      <c r="AW591" s="167"/>
      <c r="AX591" s="146"/>
      <c r="AY591" s="168"/>
    </row>
    <row r="592" spans="1:51" ht="10.9" customHeight="1" x14ac:dyDescent="0.2">
      <c r="B592" s="357">
        <v>6</v>
      </c>
      <c r="C592" s="361" t="s">
        <v>598</v>
      </c>
      <c r="D592" s="300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301">
        <v>39297</v>
      </c>
      <c r="P592" s="237"/>
      <c r="Q592" s="223">
        <f t="shared" si="711"/>
        <v>39297</v>
      </c>
      <c r="R592" s="147">
        <f t="shared" si="712"/>
        <v>4322.67</v>
      </c>
      <c r="S592" s="147">
        <f t="shared" si="713"/>
        <v>11.842931506849315</v>
      </c>
      <c r="T592" s="148">
        <f t="shared" si="714"/>
        <v>2593.6019999999999</v>
      </c>
      <c r="U592" s="199"/>
      <c r="V592" s="150"/>
      <c r="W592" s="249"/>
      <c r="X592" s="249"/>
      <c r="Y592" s="152"/>
      <c r="Z592" s="153"/>
      <c r="AA592" s="153"/>
      <c r="AB592" s="154"/>
      <c r="AC592" s="155">
        <f t="shared" si="715"/>
        <v>1504.2891599999998</v>
      </c>
      <c r="AD592" s="156">
        <f t="shared" si="716"/>
        <v>337.16825999999998</v>
      </c>
      <c r="AE592" s="156">
        <f t="shared" si="717"/>
        <v>227.58857549999996</v>
      </c>
      <c r="AF592" s="156">
        <f t="shared" si="718"/>
        <v>103.74408</v>
      </c>
      <c r="AG592" s="156">
        <f t="shared" si="719"/>
        <v>51.872039999999998</v>
      </c>
      <c r="AH592" s="156">
        <f t="shared" si="720"/>
        <v>51.872039999999998</v>
      </c>
      <c r="AI592" s="156">
        <f t="shared" si="721"/>
        <v>25.936019999999999</v>
      </c>
      <c r="AJ592" s="156">
        <f t="shared" si="722"/>
        <v>51.872039999999998</v>
      </c>
      <c r="AK592" s="156">
        <f t="shared" si="723"/>
        <v>51.872039999999998</v>
      </c>
      <c r="AL592" s="156">
        <f t="shared" si="724"/>
        <v>181.55214000000001</v>
      </c>
      <c r="AM592" s="157">
        <f t="shared" si="725"/>
        <v>798.18101549999994</v>
      </c>
      <c r="AN592" s="158"/>
      <c r="AO592" s="159"/>
      <c r="AP592" s="160">
        <f t="shared" si="726"/>
        <v>0</v>
      </c>
      <c r="AQ592" s="161"/>
      <c r="AR592" s="162"/>
      <c r="AS592" s="163"/>
      <c r="AT592" s="164"/>
      <c r="AU592" s="165"/>
      <c r="AV592" s="166"/>
      <c r="AW592" s="167"/>
      <c r="AX592" s="146"/>
      <c r="AY592" s="168"/>
    </row>
    <row r="593" spans="1:51" ht="10.9" customHeight="1" x14ac:dyDescent="0.2">
      <c r="B593" s="357">
        <v>7</v>
      </c>
      <c r="C593" s="361" t="s">
        <v>599</v>
      </c>
      <c r="D593" s="300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301">
        <v>73088</v>
      </c>
      <c r="P593" s="237"/>
      <c r="Q593" s="223">
        <f t="shared" si="711"/>
        <v>73088</v>
      </c>
      <c r="R593" s="147">
        <f t="shared" si="712"/>
        <v>8039.68</v>
      </c>
      <c r="S593" s="147">
        <f t="shared" si="713"/>
        <v>22.026520547945207</v>
      </c>
      <c r="T593" s="148">
        <f t="shared" si="714"/>
        <v>4823.808</v>
      </c>
      <c r="U593" s="199"/>
      <c r="V593" s="150"/>
      <c r="W593" s="249"/>
      <c r="X593" s="249"/>
      <c r="Y593" s="152"/>
      <c r="Z593" s="153"/>
      <c r="AA593" s="153"/>
      <c r="AB593" s="154"/>
      <c r="AC593" s="155">
        <f t="shared" si="715"/>
        <v>2797.8086399999997</v>
      </c>
      <c r="AD593" s="156">
        <f t="shared" si="716"/>
        <v>627.09504000000004</v>
      </c>
      <c r="AE593" s="156">
        <f t="shared" si="717"/>
        <v>423.289152</v>
      </c>
      <c r="AF593" s="156">
        <f t="shared" si="718"/>
        <v>192.95232000000001</v>
      </c>
      <c r="AG593" s="156">
        <f t="shared" si="719"/>
        <v>96.476160000000007</v>
      </c>
      <c r="AH593" s="156">
        <f t="shared" si="720"/>
        <v>96.476160000000007</v>
      </c>
      <c r="AI593" s="156">
        <f t="shared" si="721"/>
        <v>48.238080000000004</v>
      </c>
      <c r="AJ593" s="156">
        <f t="shared" si="722"/>
        <v>96.476160000000007</v>
      </c>
      <c r="AK593" s="156">
        <f t="shared" si="723"/>
        <v>96.476160000000007</v>
      </c>
      <c r="AL593" s="156">
        <f t="shared" si="724"/>
        <v>337.66656</v>
      </c>
      <c r="AM593" s="157">
        <f t="shared" si="725"/>
        <v>1484.526912</v>
      </c>
      <c r="AN593" s="158"/>
      <c r="AO593" s="159"/>
      <c r="AP593" s="160">
        <f t="shared" si="726"/>
        <v>0</v>
      </c>
      <c r="AQ593" s="161"/>
      <c r="AR593" s="162"/>
      <c r="AS593" s="163"/>
      <c r="AT593" s="164"/>
      <c r="AU593" s="165"/>
      <c r="AV593" s="166"/>
      <c r="AW593" s="167"/>
      <c r="AX593" s="146"/>
      <c r="AY593" s="168"/>
    </row>
    <row r="594" spans="1:51" ht="10.9" customHeight="1" x14ac:dyDescent="0.2">
      <c r="B594" s="357">
        <v>8</v>
      </c>
      <c r="C594" s="361" t="s">
        <v>600</v>
      </c>
      <c r="D594" s="300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301">
        <v>43435</v>
      </c>
      <c r="P594" s="237"/>
      <c r="Q594" s="223">
        <f t="shared" si="711"/>
        <v>43435</v>
      </c>
      <c r="R594" s="147">
        <f t="shared" si="712"/>
        <v>4777.8500000000004</v>
      </c>
      <c r="S594" s="147">
        <f t="shared" si="713"/>
        <v>13.090000000000002</v>
      </c>
      <c r="T594" s="148">
        <f t="shared" si="714"/>
        <v>2866.71</v>
      </c>
      <c r="U594" s="199"/>
      <c r="V594" s="150"/>
      <c r="W594" s="249"/>
      <c r="X594" s="249"/>
      <c r="Y594" s="152"/>
      <c r="Z594" s="153"/>
      <c r="AA594" s="153"/>
      <c r="AB594" s="154"/>
      <c r="AC594" s="155">
        <f t="shared" si="715"/>
        <v>1662.6917999999998</v>
      </c>
      <c r="AD594" s="156">
        <f t="shared" si="716"/>
        <v>372.67230000000001</v>
      </c>
      <c r="AE594" s="156">
        <f t="shared" si="717"/>
        <v>251.55380249999999</v>
      </c>
      <c r="AF594" s="156">
        <f t="shared" si="718"/>
        <v>114.66840000000001</v>
      </c>
      <c r="AG594" s="156">
        <f t="shared" si="719"/>
        <v>57.334200000000003</v>
      </c>
      <c r="AH594" s="156">
        <f t="shared" si="720"/>
        <v>57.334200000000003</v>
      </c>
      <c r="AI594" s="156">
        <f t="shared" si="721"/>
        <v>28.667100000000001</v>
      </c>
      <c r="AJ594" s="156">
        <f t="shared" si="722"/>
        <v>57.334200000000003</v>
      </c>
      <c r="AK594" s="156">
        <f t="shared" si="723"/>
        <v>57.334200000000003</v>
      </c>
      <c r="AL594" s="156">
        <f t="shared" si="724"/>
        <v>200.66970000000003</v>
      </c>
      <c r="AM594" s="157">
        <f t="shared" si="725"/>
        <v>882.23000250000007</v>
      </c>
      <c r="AN594" s="158">
        <f t="shared" ref="AN594:AN599" si="727">$AN$5</f>
        <v>2200</v>
      </c>
      <c r="AO594" s="159">
        <v>0.2</v>
      </c>
      <c r="AP594" s="160">
        <f t="shared" si="726"/>
        <v>23441172.9259554</v>
      </c>
      <c r="AQ594" s="161">
        <f t="shared" ref="AQ594:AQ599" si="728">AP594*$AQ$5</f>
        <v>6511.4374447914533</v>
      </c>
      <c r="AR594" s="162">
        <f t="shared" ref="AR594:AR599" si="729">AQ594*$AR$5</f>
        <v>1302.2874889582909</v>
      </c>
      <c r="AS594" s="163">
        <f t="shared" ref="AS594:AS599" si="730">AR594/$AS$5</f>
        <v>0.18582869420066936</v>
      </c>
      <c r="AT594" s="164">
        <f t="shared" ref="AT594:AT599" si="731">AS594</f>
        <v>0.18582869420066936</v>
      </c>
      <c r="AU594" s="165"/>
      <c r="AV594" s="166"/>
      <c r="AW594" s="167"/>
      <c r="AX594" s="146"/>
      <c r="AY594" s="168"/>
    </row>
    <row r="595" spans="1:51" ht="10.9" customHeight="1" x14ac:dyDescent="0.2">
      <c r="B595" s="357">
        <v>9</v>
      </c>
      <c r="C595" s="361" t="s">
        <v>601</v>
      </c>
      <c r="D595" s="300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301">
        <v>199630</v>
      </c>
      <c r="P595" s="237"/>
      <c r="Q595" s="223">
        <f t="shared" si="711"/>
        <v>199630</v>
      </c>
      <c r="R595" s="147">
        <f t="shared" si="712"/>
        <v>21959.3</v>
      </c>
      <c r="S595" s="147">
        <f t="shared" si="713"/>
        <v>60.162465753424655</v>
      </c>
      <c r="T595" s="148">
        <f t="shared" si="714"/>
        <v>13175.58</v>
      </c>
      <c r="U595" s="199"/>
      <c r="V595" s="150"/>
      <c r="W595" s="249"/>
      <c r="X595" s="249"/>
      <c r="Y595" s="152"/>
      <c r="Z595" s="153"/>
      <c r="AA595" s="153"/>
      <c r="AB595" s="154"/>
      <c r="AC595" s="155">
        <f t="shared" si="715"/>
        <v>7641.8363999999992</v>
      </c>
      <c r="AD595" s="156">
        <f t="shared" si="716"/>
        <v>1712.8253999999999</v>
      </c>
      <c r="AE595" s="156">
        <f t="shared" si="717"/>
        <v>1156.1571449999999</v>
      </c>
      <c r="AF595" s="156">
        <f t="shared" si="718"/>
        <v>527.02319999999997</v>
      </c>
      <c r="AG595" s="156">
        <f t="shared" si="719"/>
        <v>263.51159999999999</v>
      </c>
      <c r="AH595" s="156">
        <f t="shared" si="720"/>
        <v>263.51159999999999</v>
      </c>
      <c r="AI595" s="156">
        <f t="shared" si="721"/>
        <v>131.75579999999999</v>
      </c>
      <c r="AJ595" s="156">
        <f t="shared" si="722"/>
        <v>263.51159999999999</v>
      </c>
      <c r="AK595" s="156">
        <f t="shared" si="723"/>
        <v>263.51159999999999</v>
      </c>
      <c r="AL595" s="156">
        <f t="shared" si="724"/>
        <v>922.29060000000004</v>
      </c>
      <c r="AM595" s="157">
        <f t="shared" si="725"/>
        <v>4054.7847449999995</v>
      </c>
      <c r="AN595" s="158">
        <f t="shared" si="727"/>
        <v>2200</v>
      </c>
      <c r="AO595" s="159">
        <v>0.2</v>
      </c>
      <c r="AP595" s="160">
        <f t="shared" si="726"/>
        <v>107737109.50174919</v>
      </c>
      <c r="AQ595" s="161">
        <f t="shared" si="728"/>
        <v>29926.977255754984</v>
      </c>
      <c r="AR595" s="162">
        <f t="shared" si="729"/>
        <v>5985.3954511509974</v>
      </c>
      <c r="AS595" s="163">
        <f t="shared" si="730"/>
        <v>0.85408040113456007</v>
      </c>
      <c r="AT595" s="164">
        <f t="shared" si="731"/>
        <v>0.85408040113456007</v>
      </c>
      <c r="AU595" s="165"/>
      <c r="AV595" s="166"/>
      <c r="AW595" s="167"/>
      <c r="AX595" s="146"/>
      <c r="AY595" s="168"/>
    </row>
    <row r="596" spans="1:51" ht="10.9" customHeight="1" x14ac:dyDescent="0.2">
      <c r="B596" s="357">
        <v>10</v>
      </c>
      <c r="C596" s="363" t="s">
        <v>602</v>
      </c>
      <c r="D596" s="300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301"/>
      <c r="P596" s="237"/>
      <c r="Q596" s="223">
        <f t="shared" si="711"/>
        <v>0</v>
      </c>
      <c r="R596" s="147">
        <f t="shared" si="712"/>
        <v>0</v>
      </c>
      <c r="S596" s="147">
        <f t="shared" si="713"/>
        <v>0</v>
      </c>
      <c r="T596" s="148">
        <f t="shared" si="714"/>
        <v>0</v>
      </c>
      <c r="U596" s="199"/>
      <c r="V596" s="150"/>
      <c r="W596" s="249"/>
      <c r="X596" s="249"/>
      <c r="Y596" s="152"/>
      <c r="Z596" s="153"/>
      <c r="AA596" s="153"/>
      <c r="AB596" s="154"/>
      <c r="AC596" s="155">
        <f t="shared" si="715"/>
        <v>0</v>
      </c>
      <c r="AD596" s="156">
        <f t="shared" si="716"/>
        <v>0</v>
      </c>
      <c r="AE596" s="156">
        <f t="shared" si="717"/>
        <v>0</v>
      </c>
      <c r="AF596" s="156">
        <f t="shared" si="718"/>
        <v>0</v>
      </c>
      <c r="AG596" s="156">
        <f t="shared" si="719"/>
        <v>0</v>
      </c>
      <c r="AH596" s="156">
        <f t="shared" si="720"/>
        <v>0</v>
      </c>
      <c r="AI596" s="156">
        <f t="shared" si="721"/>
        <v>0</v>
      </c>
      <c r="AJ596" s="156">
        <f t="shared" si="722"/>
        <v>0</v>
      </c>
      <c r="AK596" s="156">
        <f t="shared" si="723"/>
        <v>0</v>
      </c>
      <c r="AL596" s="156">
        <f t="shared" si="724"/>
        <v>0</v>
      </c>
      <c r="AM596" s="157">
        <f t="shared" si="725"/>
        <v>0</v>
      </c>
      <c r="AN596" s="158">
        <f t="shared" si="727"/>
        <v>2200</v>
      </c>
      <c r="AO596" s="159">
        <v>0.2</v>
      </c>
      <c r="AP596" s="160">
        <f t="shared" si="726"/>
        <v>0</v>
      </c>
      <c r="AQ596" s="161">
        <f t="shared" si="728"/>
        <v>0</v>
      </c>
      <c r="AR596" s="162">
        <f t="shared" si="729"/>
        <v>0</v>
      </c>
      <c r="AS596" s="163">
        <f t="shared" si="730"/>
        <v>0</v>
      </c>
      <c r="AT596" s="164">
        <f t="shared" si="731"/>
        <v>0</v>
      </c>
      <c r="AU596" s="165"/>
      <c r="AV596" s="166"/>
      <c r="AW596" s="167"/>
      <c r="AX596" s="146"/>
      <c r="AY596" s="168"/>
    </row>
    <row r="597" spans="1:51" ht="10.9" customHeight="1" x14ac:dyDescent="0.2">
      <c r="B597" s="357">
        <v>11</v>
      </c>
      <c r="C597" s="330" t="s">
        <v>603</v>
      </c>
      <c r="D597" s="300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301">
        <v>34287</v>
      </c>
      <c r="P597" s="237"/>
      <c r="Q597" s="223">
        <f t="shared" si="711"/>
        <v>34287</v>
      </c>
      <c r="R597" s="147">
        <f t="shared" si="712"/>
        <v>3771.57</v>
      </c>
      <c r="S597" s="147">
        <f t="shared" si="713"/>
        <v>10.333068493150686</v>
      </c>
      <c r="T597" s="148">
        <f t="shared" si="714"/>
        <v>2262.942</v>
      </c>
      <c r="U597" s="199"/>
      <c r="V597" s="150"/>
      <c r="W597" s="249"/>
      <c r="X597" s="249"/>
      <c r="Y597" s="152"/>
      <c r="Z597" s="153"/>
      <c r="AA597" s="153"/>
      <c r="AB597" s="154"/>
      <c r="AC597" s="155">
        <f t="shared" si="715"/>
        <v>1312.5063599999999</v>
      </c>
      <c r="AD597" s="156">
        <f t="shared" si="716"/>
        <v>294.18245999999999</v>
      </c>
      <c r="AE597" s="156">
        <f t="shared" si="717"/>
        <v>198.5731605</v>
      </c>
      <c r="AF597" s="156">
        <f t="shared" si="718"/>
        <v>90.517679999999999</v>
      </c>
      <c r="AG597" s="156">
        <f t="shared" si="719"/>
        <v>45.258839999999999</v>
      </c>
      <c r="AH597" s="156">
        <f t="shared" si="720"/>
        <v>45.258839999999999</v>
      </c>
      <c r="AI597" s="156">
        <f t="shared" si="721"/>
        <v>22.62942</v>
      </c>
      <c r="AJ597" s="156">
        <f t="shared" si="722"/>
        <v>45.258839999999999</v>
      </c>
      <c r="AK597" s="156">
        <f t="shared" si="723"/>
        <v>45.258839999999999</v>
      </c>
      <c r="AL597" s="156">
        <f t="shared" si="724"/>
        <v>158.40594000000002</v>
      </c>
      <c r="AM597" s="157">
        <f t="shared" si="725"/>
        <v>696.42040049999991</v>
      </c>
      <c r="AN597" s="158">
        <f t="shared" si="727"/>
        <v>2200</v>
      </c>
      <c r="AO597" s="159">
        <v>0.2</v>
      </c>
      <c r="AP597" s="160">
        <f t="shared" si="726"/>
        <v>18504144.033895079</v>
      </c>
      <c r="AQ597" s="161">
        <f t="shared" si="728"/>
        <v>5140.0404206185003</v>
      </c>
      <c r="AR597" s="162">
        <f t="shared" si="729"/>
        <v>1028.0080841237002</v>
      </c>
      <c r="AS597" s="163">
        <f t="shared" si="730"/>
        <v>0.14669065127335904</v>
      </c>
      <c r="AT597" s="164">
        <f t="shared" si="731"/>
        <v>0.14669065127335904</v>
      </c>
      <c r="AU597" s="165"/>
      <c r="AV597" s="166"/>
      <c r="AW597" s="167"/>
      <c r="AX597" s="146"/>
      <c r="AY597" s="168"/>
    </row>
    <row r="598" spans="1:51" ht="10.9" customHeight="1" x14ac:dyDescent="0.2">
      <c r="B598" s="357">
        <v>12</v>
      </c>
      <c r="C598" s="364" t="s">
        <v>604</v>
      </c>
      <c r="D598" s="300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301"/>
      <c r="P598" s="237"/>
      <c r="Q598" s="223">
        <f t="shared" si="711"/>
        <v>0</v>
      </c>
      <c r="R598" s="147">
        <f t="shared" si="712"/>
        <v>0</v>
      </c>
      <c r="S598" s="147">
        <f t="shared" si="713"/>
        <v>0</v>
      </c>
      <c r="T598" s="148">
        <f t="shared" si="714"/>
        <v>0</v>
      </c>
      <c r="U598" s="199"/>
      <c r="V598" s="150"/>
      <c r="W598" s="249"/>
      <c r="X598" s="249"/>
      <c r="Y598" s="152"/>
      <c r="Z598" s="153"/>
      <c r="AA598" s="153"/>
      <c r="AB598" s="154"/>
      <c r="AC598" s="155">
        <f t="shared" si="715"/>
        <v>0</v>
      </c>
      <c r="AD598" s="156">
        <f t="shared" si="716"/>
        <v>0</v>
      </c>
      <c r="AE598" s="156">
        <f t="shared" si="717"/>
        <v>0</v>
      </c>
      <c r="AF598" s="156">
        <f t="shared" si="718"/>
        <v>0</v>
      </c>
      <c r="AG598" s="156">
        <f t="shared" si="719"/>
        <v>0</v>
      </c>
      <c r="AH598" s="156">
        <f t="shared" si="720"/>
        <v>0</v>
      </c>
      <c r="AI598" s="156">
        <f t="shared" si="721"/>
        <v>0</v>
      </c>
      <c r="AJ598" s="156">
        <f t="shared" si="722"/>
        <v>0</v>
      </c>
      <c r="AK598" s="156">
        <f t="shared" si="723"/>
        <v>0</v>
      </c>
      <c r="AL598" s="156">
        <f t="shared" si="724"/>
        <v>0</v>
      </c>
      <c r="AM598" s="157">
        <f t="shared" si="725"/>
        <v>0</v>
      </c>
      <c r="AN598" s="158">
        <f t="shared" si="727"/>
        <v>2200</v>
      </c>
      <c r="AO598" s="159">
        <v>0.2</v>
      </c>
      <c r="AP598" s="160">
        <f t="shared" si="726"/>
        <v>0</v>
      </c>
      <c r="AQ598" s="161">
        <f t="shared" si="728"/>
        <v>0</v>
      </c>
      <c r="AR598" s="162">
        <f t="shared" si="729"/>
        <v>0</v>
      </c>
      <c r="AS598" s="163">
        <f t="shared" si="730"/>
        <v>0</v>
      </c>
      <c r="AT598" s="164">
        <f t="shared" si="731"/>
        <v>0</v>
      </c>
      <c r="AU598" s="165"/>
      <c r="AV598" s="166"/>
      <c r="AW598" s="167"/>
      <c r="AX598" s="146"/>
      <c r="AY598" s="168"/>
    </row>
    <row r="599" spans="1:51" ht="10.9" customHeight="1" x14ac:dyDescent="0.2">
      <c r="B599" s="357">
        <v>13</v>
      </c>
      <c r="C599" s="330" t="s">
        <v>605</v>
      </c>
      <c r="D599" s="300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301">
        <v>6147</v>
      </c>
      <c r="P599" s="237"/>
      <c r="Q599" s="223">
        <f t="shared" si="711"/>
        <v>6147</v>
      </c>
      <c r="R599" s="147">
        <f t="shared" si="712"/>
        <v>676.17</v>
      </c>
      <c r="S599" s="147">
        <f t="shared" si="713"/>
        <v>1.8525205479452054</v>
      </c>
      <c r="T599" s="148">
        <f t="shared" si="714"/>
        <v>405.70199999999994</v>
      </c>
      <c r="U599" s="199"/>
      <c r="V599" s="150"/>
      <c r="W599" s="249"/>
      <c r="X599" s="249"/>
      <c r="Y599" s="152"/>
      <c r="Z599" s="153"/>
      <c r="AA599" s="153"/>
      <c r="AB599" s="154"/>
      <c r="AC599" s="155">
        <f t="shared" si="715"/>
        <v>235.30715999999995</v>
      </c>
      <c r="AD599" s="156">
        <f t="shared" si="716"/>
        <v>52.741259999999997</v>
      </c>
      <c r="AE599" s="156">
        <f t="shared" si="717"/>
        <v>35.60035049999999</v>
      </c>
      <c r="AF599" s="156">
        <f t="shared" si="718"/>
        <v>16.228079999999999</v>
      </c>
      <c r="AG599" s="156">
        <f t="shared" si="719"/>
        <v>8.1140399999999993</v>
      </c>
      <c r="AH599" s="156">
        <f t="shared" si="720"/>
        <v>8.1140399999999993</v>
      </c>
      <c r="AI599" s="156">
        <f t="shared" si="721"/>
        <v>4.0570199999999996</v>
      </c>
      <c r="AJ599" s="156">
        <f t="shared" si="722"/>
        <v>8.1140399999999993</v>
      </c>
      <c r="AK599" s="156">
        <f t="shared" si="723"/>
        <v>8.1140399999999993</v>
      </c>
      <c r="AL599" s="156">
        <f t="shared" si="724"/>
        <v>28.399139999999999</v>
      </c>
      <c r="AM599" s="157">
        <f t="shared" si="725"/>
        <v>124.85479049999998</v>
      </c>
      <c r="AN599" s="158">
        <f t="shared" si="727"/>
        <v>2200</v>
      </c>
      <c r="AO599" s="159">
        <v>0.2</v>
      </c>
      <c r="AP599" s="160">
        <f t="shared" si="726"/>
        <v>3317437.3195774793</v>
      </c>
      <c r="AQ599" s="161">
        <f t="shared" si="728"/>
        <v>921.51044027012915</v>
      </c>
      <c r="AR599" s="162">
        <f t="shared" si="729"/>
        <v>184.30208805402583</v>
      </c>
      <c r="AS599" s="163">
        <f t="shared" si="730"/>
        <v>2.6298813934649806E-2</v>
      </c>
      <c r="AT599" s="164">
        <f t="shared" si="731"/>
        <v>2.6298813934649806E-2</v>
      </c>
      <c r="AU599" s="165"/>
      <c r="AV599" s="166"/>
      <c r="AW599" s="167"/>
      <c r="AX599" s="146"/>
      <c r="AY599" s="168"/>
    </row>
    <row r="600" spans="1:51" s="263" customFormat="1" ht="16.7" customHeight="1" x14ac:dyDescent="0.25">
      <c r="A600" s="173"/>
      <c r="B600" s="225"/>
      <c r="C600" s="352" t="s">
        <v>606</v>
      </c>
      <c r="D600" s="240">
        <f t="shared" ref="D600:U600" si="732">SUM(D587:D599)</f>
        <v>0</v>
      </c>
      <c r="E600" s="240">
        <f t="shared" si="732"/>
        <v>0</v>
      </c>
      <c r="F600" s="240">
        <f t="shared" si="732"/>
        <v>0</v>
      </c>
      <c r="G600" s="240">
        <f t="shared" si="732"/>
        <v>0</v>
      </c>
      <c r="H600" s="240">
        <f t="shared" si="732"/>
        <v>0</v>
      </c>
      <c r="I600" s="240">
        <f t="shared" si="732"/>
        <v>0</v>
      </c>
      <c r="J600" s="240">
        <f t="shared" si="732"/>
        <v>0</v>
      </c>
      <c r="K600" s="240">
        <f t="shared" si="732"/>
        <v>0</v>
      </c>
      <c r="L600" s="240">
        <v>729962</v>
      </c>
      <c r="M600" s="240">
        <v>743860</v>
      </c>
      <c r="N600" s="240">
        <v>760422</v>
      </c>
      <c r="O600" s="240">
        <f t="shared" si="732"/>
        <v>789013</v>
      </c>
      <c r="P600" s="240">
        <f t="shared" si="732"/>
        <v>0</v>
      </c>
      <c r="Q600" s="240">
        <f t="shared" si="732"/>
        <v>789013</v>
      </c>
      <c r="R600" s="240">
        <f t="shared" si="732"/>
        <v>86791.430000000008</v>
      </c>
      <c r="S600" s="240">
        <f t="shared" si="732"/>
        <v>237.78473972602737</v>
      </c>
      <c r="T600" s="240">
        <f t="shared" si="732"/>
        <v>52074.858</v>
      </c>
      <c r="U600" s="199">
        <f t="shared" si="732"/>
        <v>0</v>
      </c>
      <c r="V600" s="241"/>
      <c r="W600" s="242">
        <f>SUM(W587:W599)</f>
        <v>0</v>
      </c>
      <c r="X600" s="242">
        <f>SUM(X587:X599)</f>
        <v>0</v>
      </c>
      <c r="Y600" s="242">
        <f>SUM(Y587:Y599)</f>
        <v>0</v>
      </c>
      <c r="Z600" s="199"/>
      <c r="AA600" s="199"/>
      <c r="AB600" s="243"/>
      <c r="AC600" s="240">
        <f t="shared" ref="AC600:AM600" si="733">SUM(AC587:AC599)</f>
        <v>30203.41764</v>
      </c>
      <c r="AD600" s="244">
        <f t="shared" si="733"/>
        <v>6769.7315399999989</v>
      </c>
      <c r="AE600" s="244">
        <f t="shared" si="733"/>
        <v>4569.5687894999992</v>
      </c>
      <c r="AF600" s="244">
        <f t="shared" si="733"/>
        <v>2082.9943199999998</v>
      </c>
      <c r="AG600" s="244">
        <f t="shared" si="733"/>
        <v>1041.4971599999999</v>
      </c>
      <c r="AH600" s="244">
        <f t="shared" si="733"/>
        <v>1041.4971599999999</v>
      </c>
      <c r="AI600" s="244">
        <f t="shared" si="733"/>
        <v>520.74857999999995</v>
      </c>
      <c r="AJ600" s="244">
        <f t="shared" si="733"/>
        <v>1041.4971599999999</v>
      </c>
      <c r="AK600" s="244">
        <f t="shared" si="733"/>
        <v>1041.4971599999999</v>
      </c>
      <c r="AL600" s="244">
        <f t="shared" si="733"/>
        <v>3645.2400600000001</v>
      </c>
      <c r="AM600" s="245">
        <f t="shared" si="733"/>
        <v>16026.037549499997</v>
      </c>
      <c r="AN600" s="158"/>
      <c r="AO600" s="183"/>
      <c r="AP600" s="160">
        <f>SUM(AP587:AP599)</f>
        <v>259954971.22077116</v>
      </c>
      <c r="AQ600" s="160">
        <f>SUM(AQ587:AQ599)</f>
        <v>72209.720004769129</v>
      </c>
      <c r="AR600" s="160">
        <f>SUM(AR587:AR599)</f>
        <v>14441.944000953825</v>
      </c>
      <c r="AS600" s="185">
        <f>SUM(AS587:AS599)</f>
        <v>2.060779680501402</v>
      </c>
      <c r="AT600" s="186">
        <f>SUM(AT587:AT599)</f>
        <v>2.060779680501402</v>
      </c>
      <c r="AU600" s="187"/>
      <c r="AV600" s="246">
        <f>SUM(AV587:AV599)</f>
        <v>0</v>
      </c>
      <c r="AW600" s="246"/>
      <c r="AX600" s="185">
        <f>SUM(AX587:AX599)</f>
        <v>0</v>
      </c>
      <c r="AY600" s="189"/>
    </row>
    <row r="601" spans="1:51" s="139" customFormat="1" ht="10.9" customHeight="1" x14ac:dyDescent="0.25">
      <c r="B601" s="247"/>
      <c r="C601" s="152"/>
      <c r="D601" s="247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248"/>
      <c r="Q601" s="249"/>
      <c r="R601" s="250"/>
      <c r="S601" s="250"/>
      <c r="T601" s="251"/>
      <c r="U601" s="199"/>
      <c r="V601" s="179"/>
      <c r="W601" s="249"/>
      <c r="X601" s="249"/>
      <c r="Y601" s="152"/>
      <c r="Z601" s="153"/>
      <c r="AA601" s="153"/>
      <c r="AB601" s="154"/>
      <c r="AC601" s="247"/>
      <c r="AD601" s="252"/>
      <c r="AE601" s="252"/>
      <c r="AF601" s="252"/>
      <c r="AG601" s="252"/>
      <c r="AH601" s="252"/>
      <c r="AI601" s="252"/>
      <c r="AJ601" s="252"/>
      <c r="AK601" s="252"/>
      <c r="AL601" s="252"/>
      <c r="AM601" s="214"/>
      <c r="AN601" s="203"/>
      <c r="AO601" s="204"/>
      <c r="AP601" s="203"/>
      <c r="AQ601" s="205"/>
      <c r="AR601" s="206"/>
      <c r="AS601" s="253"/>
      <c r="AT601" s="254"/>
      <c r="AU601" s="255"/>
      <c r="AV601" s="256"/>
      <c r="AW601" s="257"/>
      <c r="AX601" s="214"/>
      <c r="AY601" s="212"/>
    </row>
    <row r="602" spans="1:51" s="139" customFormat="1" ht="15" customHeight="1" x14ac:dyDescent="0.25">
      <c r="A602" s="1"/>
      <c r="B602" s="126"/>
      <c r="C602" s="352" t="s">
        <v>607</v>
      </c>
      <c r="D602" s="122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213"/>
      <c r="Q602" s="76"/>
      <c r="R602" s="108"/>
      <c r="S602" s="108"/>
      <c r="T602" s="94"/>
      <c r="U602" s="199"/>
      <c r="V602" s="179"/>
      <c r="W602" s="180"/>
      <c r="X602" s="180"/>
      <c r="Y602" s="214"/>
      <c r="Z602" s="181"/>
      <c r="AA602" s="181"/>
      <c r="AB602" s="182"/>
      <c r="AC602" s="62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125"/>
      <c r="AN602" s="75"/>
      <c r="AO602" s="216"/>
      <c r="AP602" s="75"/>
      <c r="AQ602" s="51"/>
      <c r="AR602" s="259"/>
      <c r="AS602" s="218"/>
      <c r="AT602" s="219"/>
      <c r="AU602" s="220"/>
      <c r="AV602" s="135"/>
      <c r="AW602" s="136"/>
      <c r="AX602" s="137"/>
      <c r="AY602" s="138"/>
    </row>
    <row r="603" spans="1:51" ht="10.9" customHeight="1" x14ac:dyDescent="0.25">
      <c r="B603" s="140">
        <v>1</v>
      </c>
      <c r="C603" s="345" t="s">
        <v>608</v>
      </c>
      <c r="D603" s="235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>
        <v>75577</v>
      </c>
      <c r="O603" s="236"/>
      <c r="P603" s="237"/>
      <c r="Q603" s="223">
        <f t="shared" ref="Q603:Q628" si="734">MAX(D603:P603)</f>
        <v>75577</v>
      </c>
      <c r="R603" s="147">
        <f t="shared" ref="R603:R631" si="735">Q603*$R$10</f>
        <v>8313.4699999999993</v>
      </c>
      <c r="S603" s="147">
        <f t="shared" ref="S603:S631" si="736">R603/$S$5</f>
        <v>22.776630136986299</v>
      </c>
      <c r="T603" s="148">
        <f t="shared" ref="T603:T631" si="737">S603*$T$5*$T$10</f>
        <v>4988.0819999999994</v>
      </c>
      <c r="U603" s="199"/>
      <c r="V603" s="150"/>
      <c r="W603" s="249"/>
      <c r="X603" s="249"/>
      <c r="Y603" s="152"/>
      <c r="Z603" s="153"/>
      <c r="AA603" s="153"/>
      <c r="AB603" s="154"/>
      <c r="AC603" s="155">
        <f t="shared" ref="AC603:AC631" si="738">T603*$AC$5</f>
        <v>2893.0875599999995</v>
      </c>
      <c r="AD603" s="156">
        <f t="shared" ref="AD603:AD631" si="739">T603*$AD$5</f>
        <v>648.45065999999997</v>
      </c>
      <c r="AE603" s="156">
        <f t="shared" ref="AE603:AE631" si="740">T603*$AE$5</f>
        <v>437.70419549999991</v>
      </c>
      <c r="AF603" s="156">
        <f t="shared" ref="AF603:AF631" si="741">T603*$AF$5</f>
        <v>199.52327999999997</v>
      </c>
      <c r="AG603" s="156">
        <f t="shared" ref="AG603:AG631" si="742">T603*$AG$5</f>
        <v>99.761639999999986</v>
      </c>
      <c r="AH603" s="156">
        <f t="shared" ref="AH603:AH631" si="743">T603*$AH$5</f>
        <v>99.761639999999986</v>
      </c>
      <c r="AI603" s="156">
        <f t="shared" ref="AI603:AI631" si="744">T603*$AI$5</f>
        <v>49.880819999999993</v>
      </c>
      <c r="AJ603" s="156">
        <f t="shared" ref="AJ603:AJ631" si="745">T603*$AJ$5</f>
        <v>99.761639999999986</v>
      </c>
      <c r="AK603" s="156">
        <f t="shared" ref="AK603:AK631" si="746">T603*$AK$5</f>
        <v>99.761639999999986</v>
      </c>
      <c r="AL603" s="156">
        <f t="shared" ref="AL603:AL631" si="747">T603*$AL$5</f>
        <v>349.16573999999997</v>
      </c>
      <c r="AM603" s="157">
        <f t="shared" ref="AM603:AM631" si="748">SUM(AD603:AI603)</f>
        <v>1535.0822354999998</v>
      </c>
      <c r="AN603" s="158">
        <f t="shared" ref="AN603:AN631" si="749">$AN$5</f>
        <v>2200</v>
      </c>
      <c r="AO603" s="159">
        <v>0.2</v>
      </c>
      <c r="AP603" s="160">
        <f t="shared" ref="AP603:AP631" si="750">(AC603+AM603)*AN603*$AP$5</f>
        <v>40787694.859558672</v>
      </c>
      <c r="AQ603" s="161">
        <f t="shared" ref="AQ603:AQ631" si="751">AP603*$AQ$5</f>
        <v>11329.916145159517</v>
      </c>
      <c r="AR603" s="162">
        <f t="shared" ref="AR603:AR631" si="752">AQ603*$AR$5</f>
        <v>2265.9832290319036</v>
      </c>
      <c r="AS603" s="163">
        <f t="shared" ref="AS603:AS631" si="753">AR603/$AS$5</f>
        <v>0.32334235574085385</v>
      </c>
      <c r="AT603" s="164">
        <f>AS603</f>
        <v>0.32334235574085385</v>
      </c>
      <c r="AU603" s="165"/>
      <c r="AV603" s="166"/>
      <c r="AW603" s="167"/>
      <c r="AX603" s="146"/>
      <c r="AY603" s="168"/>
    </row>
    <row r="604" spans="1:51" ht="10.9" customHeight="1" x14ac:dyDescent="0.25">
      <c r="B604" s="140">
        <v>2</v>
      </c>
      <c r="C604" s="345" t="s">
        <v>609</v>
      </c>
      <c r="D604" s="235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>
        <v>126798</v>
      </c>
      <c r="O604" s="236"/>
      <c r="P604" s="237"/>
      <c r="Q604" s="223">
        <f t="shared" si="734"/>
        <v>126798</v>
      </c>
      <c r="R604" s="147">
        <f t="shared" si="735"/>
        <v>13947.78</v>
      </c>
      <c r="S604" s="147">
        <f t="shared" si="736"/>
        <v>38.213095890410962</v>
      </c>
      <c r="T604" s="148">
        <f t="shared" si="737"/>
        <v>8368.6679999999997</v>
      </c>
      <c r="U604" s="199"/>
      <c r="V604" s="150"/>
      <c r="W604" s="249"/>
      <c r="X604" s="249"/>
      <c r="Y604" s="152"/>
      <c r="Z604" s="153"/>
      <c r="AA604" s="153"/>
      <c r="AB604" s="154"/>
      <c r="AC604" s="155">
        <f t="shared" si="738"/>
        <v>4853.8274399999991</v>
      </c>
      <c r="AD604" s="156">
        <f t="shared" si="739"/>
        <v>1087.9268400000001</v>
      </c>
      <c r="AE604" s="156">
        <f t="shared" si="740"/>
        <v>734.35061699999994</v>
      </c>
      <c r="AF604" s="156">
        <f t="shared" si="741"/>
        <v>334.74671999999998</v>
      </c>
      <c r="AG604" s="156">
        <f t="shared" si="742"/>
        <v>167.37335999999999</v>
      </c>
      <c r="AH604" s="156">
        <f t="shared" si="743"/>
        <v>167.37335999999999</v>
      </c>
      <c r="AI604" s="156">
        <f t="shared" si="744"/>
        <v>83.686679999999996</v>
      </c>
      <c r="AJ604" s="156">
        <f t="shared" si="745"/>
        <v>167.37335999999999</v>
      </c>
      <c r="AK604" s="156">
        <f t="shared" si="746"/>
        <v>167.37335999999999</v>
      </c>
      <c r="AL604" s="156">
        <f t="shared" si="747"/>
        <v>585.80676000000005</v>
      </c>
      <c r="AM604" s="157">
        <f t="shared" si="748"/>
        <v>2575.4575770000001</v>
      </c>
      <c r="AN604" s="158">
        <f t="shared" si="749"/>
        <v>2200</v>
      </c>
      <c r="AO604" s="159">
        <v>0.2</v>
      </c>
      <c r="AP604" s="160">
        <f t="shared" si="750"/>
        <v>68430847.120186314</v>
      </c>
      <c r="AQ604" s="161">
        <f t="shared" si="751"/>
        <v>19008.570165181689</v>
      </c>
      <c r="AR604" s="162">
        <f t="shared" si="752"/>
        <v>3801.7140330363382</v>
      </c>
      <c r="AS604" s="163">
        <f t="shared" si="753"/>
        <v>0.5424820252620346</v>
      </c>
      <c r="AT604" s="164">
        <f>AS604</f>
        <v>0.5424820252620346</v>
      </c>
      <c r="AU604" s="165"/>
      <c r="AV604" s="166"/>
      <c r="AW604" s="167"/>
      <c r="AX604" s="146"/>
      <c r="AY604" s="168"/>
    </row>
    <row r="605" spans="1:51" ht="10.9" customHeight="1" x14ac:dyDescent="0.25">
      <c r="B605" s="140">
        <v>3</v>
      </c>
      <c r="C605" s="345" t="s">
        <v>610</v>
      </c>
      <c r="D605" s="235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>
        <v>55784</v>
      </c>
      <c r="O605" s="236"/>
      <c r="P605" s="237"/>
      <c r="Q605" s="223">
        <f t="shared" si="734"/>
        <v>55784</v>
      </c>
      <c r="R605" s="147">
        <f t="shared" si="735"/>
        <v>6136.24</v>
      </c>
      <c r="S605" s="147">
        <f t="shared" si="736"/>
        <v>16.811616438356165</v>
      </c>
      <c r="T605" s="148">
        <f t="shared" si="737"/>
        <v>3681.7439999999997</v>
      </c>
      <c r="U605" s="199"/>
      <c r="V605" s="150"/>
      <c r="W605" s="249"/>
      <c r="X605" s="249"/>
      <c r="Y605" s="152"/>
      <c r="Z605" s="153"/>
      <c r="AA605" s="153"/>
      <c r="AB605" s="154"/>
      <c r="AC605" s="155">
        <f t="shared" si="738"/>
        <v>2135.4115199999997</v>
      </c>
      <c r="AD605" s="156">
        <f t="shared" si="739"/>
        <v>478.62671999999998</v>
      </c>
      <c r="AE605" s="156">
        <f t="shared" si="740"/>
        <v>323.07303599999995</v>
      </c>
      <c r="AF605" s="156">
        <f t="shared" si="741"/>
        <v>147.26975999999999</v>
      </c>
      <c r="AG605" s="156">
        <f t="shared" si="742"/>
        <v>73.634879999999995</v>
      </c>
      <c r="AH605" s="156">
        <f t="shared" si="743"/>
        <v>73.634879999999995</v>
      </c>
      <c r="AI605" s="156">
        <f t="shared" si="744"/>
        <v>36.817439999999998</v>
      </c>
      <c r="AJ605" s="156">
        <f t="shared" si="745"/>
        <v>73.634879999999995</v>
      </c>
      <c r="AK605" s="156">
        <f t="shared" si="746"/>
        <v>73.634879999999995</v>
      </c>
      <c r="AL605" s="156">
        <f t="shared" si="747"/>
        <v>257.72208000000001</v>
      </c>
      <c r="AM605" s="157">
        <f t="shared" si="748"/>
        <v>1133.0567160000001</v>
      </c>
      <c r="AN605" s="158">
        <f t="shared" si="749"/>
        <v>2200</v>
      </c>
      <c r="AO605" s="159">
        <v>0.2</v>
      </c>
      <c r="AP605" s="160">
        <f t="shared" si="750"/>
        <v>30105730.183066558</v>
      </c>
      <c r="AQ605" s="161">
        <f t="shared" si="751"/>
        <v>8362.7034976458253</v>
      </c>
      <c r="AR605" s="162">
        <f t="shared" si="752"/>
        <v>1672.5406995291651</v>
      </c>
      <c r="AS605" s="163">
        <f t="shared" si="753"/>
        <v>0.2386616294990247</v>
      </c>
      <c r="AT605" s="164">
        <f>AS605</f>
        <v>0.2386616294990247</v>
      </c>
      <c r="AU605" s="165"/>
      <c r="AV605" s="166"/>
      <c r="AW605" s="167"/>
      <c r="AX605" s="146"/>
      <c r="AY605" s="168"/>
    </row>
    <row r="606" spans="1:51" ht="10.9" customHeight="1" x14ac:dyDescent="0.25">
      <c r="B606" s="140">
        <v>4</v>
      </c>
      <c r="C606" s="345" t="s">
        <v>611</v>
      </c>
      <c r="D606" s="235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>
        <v>62119</v>
      </c>
      <c r="O606" s="236"/>
      <c r="P606" s="237"/>
      <c r="Q606" s="223">
        <f t="shared" si="734"/>
        <v>62119</v>
      </c>
      <c r="R606" s="147">
        <f t="shared" si="735"/>
        <v>6833.09</v>
      </c>
      <c r="S606" s="147">
        <f t="shared" si="736"/>
        <v>18.720794520547944</v>
      </c>
      <c r="T606" s="148">
        <f t="shared" si="737"/>
        <v>4099.8539999999994</v>
      </c>
      <c r="U606" s="199"/>
      <c r="V606" s="150"/>
      <c r="W606" s="249"/>
      <c r="X606" s="249"/>
      <c r="Y606" s="152"/>
      <c r="Z606" s="153"/>
      <c r="AA606" s="153"/>
      <c r="AB606" s="154"/>
      <c r="AC606" s="155">
        <f t="shared" si="738"/>
        <v>2377.9153199999996</v>
      </c>
      <c r="AD606" s="156">
        <f t="shared" si="739"/>
        <v>532.98101999999994</v>
      </c>
      <c r="AE606" s="156">
        <f t="shared" si="740"/>
        <v>359.76218849999992</v>
      </c>
      <c r="AF606" s="156">
        <f t="shared" si="741"/>
        <v>163.99415999999997</v>
      </c>
      <c r="AG606" s="156">
        <f t="shared" si="742"/>
        <v>81.997079999999983</v>
      </c>
      <c r="AH606" s="156">
        <f t="shared" si="743"/>
        <v>81.997079999999983</v>
      </c>
      <c r="AI606" s="156">
        <f t="shared" si="744"/>
        <v>40.998539999999991</v>
      </c>
      <c r="AJ606" s="156">
        <f t="shared" si="745"/>
        <v>81.997079999999983</v>
      </c>
      <c r="AK606" s="156">
        <f t="shared" si="746"/>
        <v>81.997079999999983</v>
      </c>
      <c r="AL606" s="156">
        <f t="shared" si="747"/>
        <v>286.98978</v>
      </c>
      <c r="AM606" s="157">
        <f t="shared" si="748"/>
        <v>1261.7300685</v>
      </c>
      <c r="AN606" s="158">
        <f t="shared" si="749"/>
        <v>2200</v>
      </c>
      <c r="AO606" s="159">
        <v>0.2</v>
      </c>
      <c r="AP606" s="160">
        <f t="shared" si="750"/>
        <v>33524628.087657955</v>
      </c>
      <c r="AQ606" s="161">
        <f t="shared" si="751"/>
        <v>9312.3974360078337</v>
      </c>
      <c r="AR606" s="162">
        <f t="shared" si="752"/>
        <v>1862.4794872015668</v>
      </c>
      <c r="AS606" s="163">
        <f t="shared" si="753"/>
        <v>0.26576476700935597</v>
      </c>
      <c r="AT606" s="164">
        <f>AS606</f>
        <v>0.26576476700935597</v>
      </c>
      <c r="AU606" s="165"/>
      <c r="AV606" s="166"/>
      <c r="AW606" s="167"/>
      <c r="AX606" s="146"/>
      <c r="AY606" s="168"/>
    </row>
    <row r="607" spans="1:51" ht="10.9" customHeight="1" x14ac:dyDescent="0.25">
      <c r="B607" s="140">
        <v>5</v>
      </c>
      <c r="C607" s="342" t="s">
        <v>612</v>
      </c>
      <c r="D607" s="235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>
        <v>84230</v>
      </c>
      <c r="O607" s="236"/>
      <c r="P607" s="237"/>
      <c r="Q607" s="223">
        <f t="shared" si="734"/>
        <v>84230</v>
      </c>
      <c r="R607" s="147">
        <f t="shared" si="735"/>
        <v>9265.2999999999993</v>
      </c>
      <c r="S607" s="147">
        <f t="shared" si="736"/>
        <v>25.384383561643833</v>
      </c>
      <c r="T607" s="148">
        <f t="shared" si="737"/>
        <v>5559.1799999999994</v>
      </c>
      <c r="U607" s="199"/>
      <c r="V607" s="150"/>
      <c r="W607" s="249"/>
      <c r="X607" s="249"/>
      <c r="Y607" s="152"/>
      <c r="Z607" s="153"/>
      <c r="AA607" s="153"/>
      <c r="AB607" s="154"/>
      <c r="AC607" s="155">
        <f t="shared" si="738"/>
        <v>3224.3243999999995</v>
      </c>
      <c r="AD607" s="156">
        <f t="shared" si="739"/>
        <v>722.6934</v>
      </c>
      <c r="AE607" s="156">
        <f t="shared" si="740"/>
        <v>487.81804499999993</v>
      </c>
      <c r="AF607" s="156">
        <f t="shared" si="741"/>
        <v>222.36719999999997</v>
      </c>
      <c r="AG607" s="156">
        <f t="shared" si="742"/>
        <v>111.18359999999998</v>
      </c>
      <c r="AH607" s="156">
        <f t="shared" si="743"/>
        <v>111.18359999999998</v>
      </c>
      <c r="AI607" s="156">
        <f t="shared" si="744"/>
        <v>55.591799999999992</v>
      </c>
      <c r="AJ607" s="156">
        <f t="shared" si="745"/>
        <v>111.18359999999998</v>
      </c>
      <c r="AK607" s="156">
        <f t="shared" si="746"/>
        <v>111.18359999999998</v>
      </c>
      <c r="AL607" s="156">
        <f t="shared" si="747"/>
        <v>389.14260000000002</v>
      </c>
      <c r="AM607" s="157">
        <f t="shared" si="748"/>
        <v>1710.8376449999998</v>
      </c>
      <c r="AN607" s="158">
        <f t="shared" si="749"/>
        <v>2200</v>
      </c>
      <c r="AO607" s="159">
        <v>0.2</v>
      </c>
      <c r="AP607" s="160">
        <f t="shared" si="750"/>
        <v>45457580.190013193</v>
      </c>
      <c r="AQ607" s="161">
        <f t="shared" si="751"/>
        <v>12627.106618505446</v>
      </c>
      <c r="AR607" s="162">
        <f t="shared" si="752"/>
        <v>2525.4213237010895</v>
      </c>
      <c r="AS607" s="163">
        <f t="shared" si="753"/>
        <v>0.36036263180666234</v>
      </c>
      <c r="AT607" s="164">
        <f>AS607</f>
        <v>0.36036263180666234</v>
      </c>
      <c r="AU607" s="165"/>
      <c r="AV607" s="166"/>
      <c r="AW607" s="167"/>
      <c r="AX607" s="146"/>
      <c r="AY607" s="168"/>
    </row>
    <row r="608" spans="1:51" ht="10.9" customHeight="1" x14ac:dyDescent="0.25">
      <c r="B608" s="140">
        <v>6</v>
      </c>
      <c r="C608" s="342" t="s">
        <v>613</v>
      </c>
      <c r="D608" s="235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>
        <v>40490</v>
      </c>
      <c r="O608" s="236"/>
      <c r="P608" s="237"/>
      <c r="Q608" s="223">
        <f t="shared" si="734"/>
        <v>40490</v>
      </c>
      <c r="R608" s="147">
        <f t="shared" si="735"/>
        <v>4453.8999999999996</v>
      </c>
      <c r="S608" s="147">
        <f t="shared" si="736"/>
        <v>12.202465753424656</v>
      </c>
      <c r="T608" s="148">
        <f t="shared" si="737"/>
        <v>2672.3399999999997</v>
      </c>
      <c r="U608" s="199"/>
      <c r="V608" s="150"/>
      <c r="W608" s="249"/>
      <c r="X608" s="249"/>
      <c r="Y608" s="152"/>
      <c r="Z608" s="153"/>
      <c r="AA608" s="153"/>
      <c r="AB608" s="154"/>
      <c r="AC608" s="155">
        <f t="shared" si="738"/>
        <v>1549.9571999999996</v>
      </c>
      <c r="AD608" s="156">
        <f t="shared" si="739"/>
        <v>347.40419999999995</v>
      </c>
      <c r="AE608" s="156">
        <f t="shared" si="740"/>
        <v>234.49783499999995</v>
      </c>
      <c r="AF608" s="156">
        <f t="shared" si="741"/>
        <v>106.89359999999999</v>
      </c>
      <c r="AG608" s="156">
        <f t="shared" si="742"/>
        <v>53.446799999999996</v>
      </c>
      <c r="AH608" s="156">
        <f t="shared" si="743"/>
        <v>53.446799999999996</v>
      </c>
      <c r="AI608" s="156">
        <f t="shared" si="744"/>
        <v>26.723399999999998</v>
      </c>
      <c r="AJ608" s="156">
        <f t="shared" si="745"/>
        <v>53.446799999999996</v>
      </c>
      <c r="AK608" s="156">
        <f t="shared" si="746"/>
        <v>53.446799999999996</v>
      </c>
      <c r="AL608" s="156">
        <f t="shared" si="747"/>
        <v>187.06379999999999</v>
      </c>
      <c r="AM608" s="157">
        <f t="shared" si="748"/>
        <v>822.4126349999998</v>
      </c>
      <c r="AN608" s="158">
        <f t="shared" si="749"/>
        <v>2200</v>
      </c>
      <c r="AO608" s="159">
        <v>0.2</v>
      </c>
      <c r="AP608" s="160">
        <f t="shared" si="750"/>
        <v>21851803.655391596</v>
      </c>
      <c r="AQ608" s="161">
        <f t="shared" si="751"/>
        <v>6069.9459454266353</v>
      </c>
      <c r="AR608" s="162">
        <f t="shared" si="752"/>
        <v>1213.9891890853271</v>
      </c>
      <c r="AS608" s="163">
        <f t="shared" si="753"/>
        <v>0.17322905095395649</v>
      </c>
      <c r="AT608" s="164">
        <f t="shared" ref="AT608:AT631" si="754">AS608</f>
        <v>0.17322905095395649</v>
      </c>
      <c r="AU608" s="165"/>
      <c r="AV608" s="166"/>
      <c r="AW608" s="167"/>
      <c r="AX608" s="146"/>
      <c r="AY608" s="168"/>
    </row>
    <row r="609" spans="2:51" ht="10.9" customHeight="1" x14ac:dyDescent="0.25">
      <c r="B609" s="140">
        <v>7</v>
      </c>
      <c r="C609" s="342" t="s">
        <v>614</v>
      </c>
      <c r="D609" s="235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>
        <v>111943</v>
      </c>
      <c r="O609" s="236"/>
      <c r="P609" s="237"/>
      <c r="Q609" s="223">
        <f t="shared" si="734"/>
        <v>111943</v>
      </c>
      <c r="R609" s="147">
        <f t="shared" si="735"/>
        <v>12313.73</v>
      </c>
      <c r="S609" s="147">
        <f t="shared" si="736"/>
        <v>33.736246575342463</v>
      </c>
      <c r="T609" s="148">
        <f t="shared" si="737"/>
        <v>7388.2379999999994</v>
      </c>
      <c r="U609" s="199"/>
      <c r="V609" s="150"/>
      <c r="W609" s="249"/>
      <c r="X609" s="249"/>
      <c r="Y609" s="152"/>
      <c r="Z609" s="153"/>
      <c r="AA609" s="153"/>
      <c r="AB609" s="154"/>
      <c r="AC609" s="155">
        <f t="shared" si="738"/>
        <v>4285.1780399999998</v>
      </c>
      <c r="AD609" s="156">
        <f t="shared" si="739"/>
        <v>960.47093999999993</v>
      </c>
      <c r="AE609" s="156">
        <f t="shared" si="740"/>
        <v>648.31788449999988</v>
      </c>
      <c r="AF609" s="156">
        <f t="shared" si="741"/>
        <v>295.52951999999999</v>
      </c>
      <c r="AG609" s="156">
        <f t="shared" si="742"/>
        <v>147.76476</v>
      </c>
      <c r="AH609" s="156">
        <f t="shared" si="743"/>
        <v>147.76476</v>
      </c>
      <c r="AI609" s="156">
        <f t="shared" si="744"/>
        <v>73.882379999999998</v>
      </c>
      <c r="AJ609" s="156">
        <f t="shared" si="745"/>
        <v>147.76476</v>
      </c>
      <c r="AK609" s="156">
        <f t="shared" si="746"/>
        <v>147.76476</v>
      </c>
      <c r="AL609" s="156">
        <f t="shared" si="747"/>
        <v>517.17665999999997</v>
      </c>
      <c r="AM609" s="157">
        <f t="shared" si="748"/>
        <v>2273.7302445</v>
      </c>
      <c r="AN609" s="158">
        <f t="shared" si="749"/>
        <v>2200</v>
      </c>
      <c r="AO609" s="159">
        <v>0.2</v>
      </c>
      <c r="AP609" s="160">
        <f t="shared" si="750"/>
        <v>60413841.852198109</v>
      </c>
      <c r="AQ609" s="161">
        <f t="shared" si="751"/>
        <v>16781.624079251516</v>
      </c>
      <c r="AR609" s="162">
        <f t="shared" si="752"/>
        <v>3356.3248158503034</v>
      </c>
      <c r="AS609" s="163">
        <f t="shared" si="753"/>
        <v>0.47892762783252046</v>
      </c>
      <c r="AT609" s="164">
        <f t="shared" si="754"/>
        <v>0.47892762783252046</v>
      </c>
      <c r="AU609" s="165"/>
      <c r="AV609" s="166"/>
      <c r="AW609" s="167"/>
      <c r="AX609" s="146"/>
      <c r="AY609" s="168"/>
    </row>
    <row r="610" spans="2:51" ht="10.9" customHeight="1" x14ac:dyDescent="0.25">
      <c r="B610" s="140">
        <v>8</v>
      </c>
      <c r="C610" s="342" t="s">
        <v>615</v>
      </c>
      <c r="D610" s="235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>
        <v>196085</v>
      </c>
      <c r="O610" s="236"/>
      <c r="P610" s="237"/>
      <c r="Q610" s="223">
        <f t="shared" si="734"/>
        <v>196085</v>
      </c>
      <c r="R610" s="147">
        <f t="shared" si="735"/>
        <v>21569.35</v>
      </c>
      <c r="S610" s="147">
        <f t="shared" si="736"/>
        <v>59.094109589041089</v>
      </c>
      <c r="T610" s="148">
        <f t="shared" si="737"/>
        <v>12941.609999999999</v>
      </c>
      <c r="U610" s="199"/>
      <c r="V610" s="150"/>
      <c r="W610" s="249"/>
      <c r="X610" s="249"/>
      <c r="Y610" s="152"/>
      <c r="Z610" s="153"/>
      <c r="AA610" s="153"/>
      <c r="AB610" s="154"/>
      <c r="AC610" s="155">
        <f t="shared" si="738"/>
        <v>7506.1337999999987</v>
      </c>
      <c r="AD610" s="156">
        <f t="shared" si="739"/>
        <v>1682.4092999999998</v>
      </c>
      <c r="AE610" s="156">
        <f t="shared" si="740"/>
        <v>1135.6262774999998</v>
      </c>
      <c r="AF610" s="156">
        <f t="shared" si="741"/>
        <v>517.6644</v>
      </c>
      <c r="AG610" s="156">
        <f t="shared" si="742"/>
        <v>258.8322</v>
      </c>
      <c r="AH610" s="156">
        <f t="shared" si="743"/>
        <v>258.8322</v>
      </c>
      <c r="AI610" s="156">
        <f t="shared" si="744"/>
        <v>129.4161</v>
      </c>
      <c r="AJ610" s="156">
        <f t="shared" si="745"/>
        <v>258.8322</v>
      </c>
      <c r="AK610" s="156">
        <f t="shared" si="746"/>
        <v>258.8322</v>
      </c>
      <c r="AL610" s="156">
        <f t="shared" si="747"/>
        <v>905.91269999999997</v>
      </c>
      <c r="AM610" s="157">
        <f t="shared" si="748"/>
        <v>3982.7804774999995</v>
      </c>
      <c r="AN610" s="158">
        <f t="shared" si="749"/>
        <v>2200</v>
      </c>
      <c r="AO610" s="159">
        <v>0.2</v>
      </c>
      <c r="AP610" s="160">
        <f t="shared" si="750"/>
        <v>105823929.85348138</v>
      </c>
      <c r="AQ610" s="161">
        <f t="shared" si="751"/>
        <v>29395.538422054382</v>
      </c>
      <c r="AR610" s="162">
        <f t="shared" si="752"/>
        <v>5879.1076844108766</v>
      </c>
      <c r="AS610" s="163">
        <f t="shared" si="753"/>
        <v>0.83891376775269355</v>
      </c>
      <c r="AT610" s="164">
        <f t="shared" si="754"/>
        <v>0.83891376775269355</v>
      </c>
      <c r="AU610" s="165"/>
      <c r="AV610" s="166"/>
      <c r="AW610" s="167"/>
      <c r="AX610" s="146"/>
      <c r="AY610" s="168"/>
    </row>
    <row r="611" spans="2:51" ht="10.9" customHeight="1" x14ac:dyDescent="0.25">
      <c r="B611" s="140">
        <v>9</v>
      </c>
      <c r="C611" s="342" t="s">
        <v>616</v>
      </c>
      <c r="D611" s="235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>
        <v>48536</v>
      </c>
      <c r="O611" s="236"/>
      <c r="P611" s="237"/>
      <c r="Q611" s="223">
        <f t="shared" si="734"/>
        <v>48536</v>
      </c>
      <c r="R611" s="147">
        <f t="shared" si="735"/>
        <v>5338.96</v>
      </c>
      <c r="S611" s="147">
        <f t="shared" si="736"/>
        <v>14.627287671232876</v>
      </c>
      <c r="T611" s="148">
        <f t="shared" si="737"/>
        <v>3203.3759999999997</v>
      </c>
      <c r="U611" s="199"/>
      <c r="V611" s="150"/>
      <c r="W611" s="249"/>
      <c r="X611" s="249"/>
      <c r="Y611" s="152"/>
      <c r="Z611" s="153"/>
      <c r="AA611" s="153"/>
      <c r="AB611" s="154"/>
      <c r="AC611" s="155">
        <f t="shared" si="738"/>
        <v>1857.9580799999997</v>
      </c>
      <c r="AD611" s="156">
        <f t="shared" si="739"/>
        <v>416.43887999999998</v>
      </c>
      <c r="AE611" s="156">
        <f t="shared" si="740"/>
        <v>281.09624399999996</v>
      </c>
      <c r="AF611" s="156">
        <f t="shared" si="741"/>
        <v>128.13504</v>
      </c>
      <c r="AG611" s="156">
        <f t="shared" si="742"/>
        <v>64.067520000000002</v>
      </c>
      <c r="AH611" s="156">
        <f t="shared" si="743"/>
        <v>64.067520000000002</v>
      </c>
      <c r="AI611" s="156">
        <f t="shared" si="744"/>
        <v>32.033760000000001</v>
      </c>
      <c r="AJ611" s="156">
        <f t="shared" si="745"/>
        <v>64.067520000000002</v>
      </c>
      <c r="AK611" s="156">
        <f t="shared" si="746"/>
        <v>64.067520000000002</v>
      </c>
      <c r="AL611" s="156">
        <f t="shared" si="747"/>
        <v>224.23632000000001</v>
      </c>
      <c r="AM611" s="157">
        <f t="shared" si="748"/>
        <v>985.83896400000003</v>
      </c>
      <c r="AN611" s="158">
        <f t="shared" si="749"/>
        <v>2200</v>
      </c>
      <c r="AO611" s="159">
        <v>0.2</v>
      </c>
      <c r="AP611" s="160">
        <f t="shared" si="750"/>
        <v>26194100.820402239</v>
      </c>
      <c r="AQ611" s="161">
        <f t="shared" si="751"/>
        <v>7276.1396988695287</v>
      </c>
      <c r="AR611" s="162">
        <f t="shared" si="752"/>
        <v>1455.2279397739057</v>
      </c>
      <c r="AS611" s="163">
        <f t="shared" si="753"/>
        <v>0.20765238866636782</v>
      </c>
      <c r="AT611" s="164">
        <f t="shared" si="754"/>
        <v>0.20765238866636782</v>
      </c>
      <c r="AU611" s="165"/>
      <c r="AV611" s="166"/>
      <c r="AW611" s="167"/>
      <c r="AX611" s="146"/>
      <c r="AY611" s="168"/>
    </row>
    <row r="612" spans="2:51" ht="10.9" customHeight="1" x14ac:dyDescent="0.25">
      <c r="B612" s="140">
        <v>10</v>
      </c>
      <c r="C612" s="342" t="s">
        <v>617</v>
      </c>
      <c r="D612" s="235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>
        <v>82951</v>
      </c>
      <c r="O612" s="236"/>
      <c r="P612" s="237"/>
      <c r="Q612" s="223">
        <f t="shared" si="734"/>
        <v>82951</v>
      </c>
      <c r="R612" s="147">
        <f t="shared" si="735"/>
        <v>9124.61</v>
      </c>
      <c r="S612" s="147">
        <f t="shared" si="736"/>
        <v>24.998931506849317</v>
      </c>
      <c r="T612" s="148">
        <f t="shared" si="737"/>
        <v>5474.7660000000005</v>
      </c>
      <c r="U612" s="199"/>
      <c r="V612" s="150"/>
      <c r="W612" s="249"/>
      <c r="X612" s="249"/>
      <c r="Y612" s="152"/>
      <c r="Z612" s="153"/>
      <c r="AA612" s="153"/>
      <c r="AB612" s="154"/>
      <c r="AC612" s="155">
        <f t="shared" si="738"/>
        <v>3175.3642800000002</v>
      </c>
      <c r="AD612" s="156">
        <f t="shared" si="739"/>
        <v>711.71958000000006</v>
      </c>
      <c r="AE612" s="156">
        <f t="shared" si="740"/>
        <v>480.41071650000004</v>
      </c>
      <c r="AF612" s="156">
        <f t="shared" si="741"/>
        <v>218.99064000000001</v>
      </c>
      <c r="AG612" s="156">
        <f t="shared" si="742"/>
        <v>109.49532000000001</v>
      </c>
      <c r="AH612" s="156">
        <f t="shared" si="743"/>
        <v>109.49532000000001</v>
      </c>
      <c r="AI612" s="156">
        <f t="shared" si="744"/>
        <v>54.747660000000003</v>
      </c>
      <c r="AJ612" s="156">
        <f t="shared" si="745"/>
        <v>109.49532000000001</v>
      </c>
      <c r="AK612" s="156">
        <f t="shared" si="746"/>
        <v>109.49532000000001</v>
      </c>
      <c r="AL612" s="156">
        <f t="shared" si="747"/>
        <v>383.23362000000009</v>
      </c>
      <c r="AM612" s="157">
        <f t="shared" si="748"/>
        <v>1684.8592365</v>
      </c>
      <c r="AN612" s="158">
        <f t="shared" si="749"/>
        <v>2200</v>
      </c>
      <c r="AO612" s="159">
        <v>0.2</v>
      </c>
      <c r="AP612" s="160">
        <f t="shared" si="750"/>
        <v>44767324.401540846</v>
      </c>
      <c r="AQ612" s="161">
        <f t="shared" si="751"/>
        <v>12435.368884146332</v>
      </c>
      <c r="AR612" s="162">
        <f t="shared" si="752"/>
        <v>2487.0737768292665</v>
      </c>
      <c r="AS612" s="163">
        <f t="shared" si="753"/>
        <v>0.35489066450189305</v>
      </c>
      <c r="AT612" s="164">
        <f t="shared" si="754"/>
        <v>0.35489066450189305</v>
      </c>
      <c r="AU612" s="165"/>
      <c r="AV612" s="166"/>
      <c r="AW612" s="167"/>
      <c r="AX612" s="146"/>
      <c r="AY612" s="168"/>
    </row>
    <row r="613" spans="2:51" ht="10.9" customHeight="1" x14ac:dyDescent="0.25">
      <c r="B613" s="140">
        <v>11</v>
      </c>
      <c r="C613" s="342" t="s">
        <v>618</v>
      </c>
      <c r="D613" s="235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>
        <v>148522</v>
      </c>
      <c r="O613" s="236"/>
      <c r="P613" s="237"/>
      <c r="Q613" s="223">
        <f t="shared" si="734"/>
        <v>148522</v>
      </c>
      <c r="R613" s="147">
        <f t="shared" si="735"/>
        <v>16337.42</v>
      </c>
      <c r="S613" s="147">
        <f t="shared" si="736"/>
        <v>44.760054794520549</v>
      </c>
      <c r="T613" s="148">
        <f t="shared" si="737"/>
        <v>9802.4519999999993</v>
      </c>
      <c r="U613" s="199"/>
      <c r="V613" s="150"/>
      <c r="W613" s="249"/>
      <c r="X613" s="249"/>
      <c r="Y613" s="152"/>
      <c r="Z613" s="153"/>
      <c r="AA613" s="153"/>
      <c r="AB613" s="154"/>
      <c r="AC613" s="155">
        <f t="shared" si="738"/>
        <v>5685.4221599999992</v>
      </c>
      <c r="AD613" s="156">
        <f t="shared" si="739"/>
        <v>1274.3187599999999</v>
      </c>
      <c r="AE613" s="156">
        <f t="shared" si="740"/>
        <v>860.16516299999989</v>
      </c>
      <c r="AF613" s="156">
        <f t="shared" si="741"/>
        <v>392.09807999999998</v>
      </c>
      <c r="AG613" s="156">
        <f t="shared" si="742"/>
        <v>196.04903999999999</v>
      </c>
      <c r="AH613" s="156">
        <f t="shared" si="743"/>
        <v>196.04903999999999</v>
      </c>
      <c r="AI613" s="156">
        <f t="shared" si="744"/>
        <v>98.024519999999995</v>
      </c>
      <c r="AJ613" s="156">
        <f t="shared" si="745"/>
        <v>196.04903999999999</v>
      </c>
      <c r="AK613" s="156">
        <f t="shared" si="746"/>
        <v>196.04903999999999</v>
      </c>
      <c r="AL613" s="156">
        <f t="shared" si="747"/>
        <v>686.17164000000002</v>
      </c>
      <c r="AM613" s="157">
        <f t="shared" si="748"/>
        <v>3016.7046029999992</v>
      </c>
      <c r="AN613" s="158">
        <f t="shared" si="749"/>
        <v>2200</v>
      </c>
      <c r="AO613" s="159">
        <v>0.2</v>
      </c>
      <c r="AP613" s="160">
        <f t="shared" si="750"/>
        <v>80154941.528922468</v>
      </c>
      <c r="AQ613" s="161">
        <f t="shared" si="751"/>
        <v>22265.263317032721</v>
      </c>
      <c r="AR613" s="162">
        <f t="shared" si="752"/>
        <v>4453.0526634065445</v>
      </c>
      <c r="AS613" s="163">
        <f t="shared" si="753"/>
        <v>0.63542418142216672</v>
      </c>
      <c r="AT613" s="164">
        <f t="shared" si="754"/>
        <v>0.63542418142216672</v>
      </c>
      <c r="AU613" s="165"/>
      <c r="AV613" s="166"/>
      <c r="AW613" s="167"/>
      <c r="AX613" s="146"/>
      <c r="AY613" s="168"/>
    </row>
    <row r="614" spans="2:51" ht="10.9" customHeight="1" x14ac:dyDescent="0.25">
      <c r="B614" s="140">
        <v>12</v>
      </c>
      <c r="C614" s="345" t="s">
        <v>619</v>
      </c>
      <c r="D614" s="235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>
        <v>18365</v>
      </c>
      <c r="O614" s="236"/>
      <c r="P614" s="237"/>
      <c r="Q614" s="223">
        <f t="shared" si="734"/>
        <v>18365</v>
      </c>
      <c r="R614" s="147">
        <f t="shared" si="735"/>
        <v>2020.15</v>
      </c>
      <c r="S614" s="147">
        <f t="shared" si="736"/>
        <v>5.534657534246576</v>
      </c>
      <c r="T614" s="148">
        <f t="shared" si="737"/>
        <v>1212.0900000000001</v>
      </c>
      <c r="U614" s="199"/>
      <c r="V614" s="150"/>
      <c r="W614" s="249"/>
      <c r="X614" s="249"/>
      <c r="Y614" s="152"/>
      <c r="Z614" s="153"/>
      <c r="AA614" s="153"/>
      <c r="AB614" s="154"/>
      <c r="AC614" s="155">
        <f t="shared" si="738"/>
        <v>703.01220000000001</v>
      </c>
      <c r="AD614" s="156">
        <f t="shared" si="739"/>
        <v>157.57170000000002</v>
      </c>
      <c r="AE614" s="156">
        <f t="shared" si="740"/>
        <v>106.36089750000001</v>
      </c>
      <c r="AF614" s="156">
        <f t="shared" si="741"/>
        <v>48.48360000000001</v>
      </c>
      <c r="AG614" s="156">
        <f t="shared" si="742"/>
        <v>24.241800000000005</v>
      </c>
      <c r="AH614" s="156">
        <f t="shared" si="743"/>
        <v>24.241800000000005</v>
      </c>
      <c r="AI614" s="156">
        <f t="shared" si="744"/>
        <v>12.120900000000002</v>
      </c>
      <c r="AJ614" s="156">
        <f t="shared" si="745"/>
        <v>24.241800000000005</v>
      </c>
      <c r="AK614" s="156">
        <f t="shared" si="746"/>
        <v>24.241800000000005</v>
      </c>
      <c r="AL614" s="156">
        <f t="shared" si="747"/>
        <v>84.846300000000014</v>
      </c>
      <c r="AM614" s="157">
        <f t="shared" si="748"/>
        <v>373.0206975000001</v>
      </c>
      <c r="AN614" s="158">
        <f t="shared" si="749"/>
        <v>2200</v>
      </c>
      <c r="AO614" s="159">
        <v>0.2</v>
      </c>
      <c r="AP614" s="160">
        <f t="shared" si="750"/>
        <v>9911295.9775566012</v>
      </c>
      <c r="AQ614" s="161">
        <f t="shared" si="751"/>
        <v>2753.1379917945219</v>
      </c>
      <c r="AR614" s="162">
        <f t="shared" si="752"/>
        <v>550.62759835890438</v>
      </c>
      <c r="AS614" s="163">
        <f t="shared" si="753"/>
        <v>7.8571289720163293E-2</v>
      </c>
      <c r="AT614" s="164">
        <f t="shared" si="754"/>
        <v>7.8571289720163293E-2</v>
      </c>
      <c r="AU614" s="165"/>
      <c r="AV614" s="166"/>
      <c r="AW614" s="167"/>
      <c r="AX614" s="146"/>
      <c r="AY614" s="168"/>
    </row>
    <row r="615" spans="2:51" ht="10.9" customHeight="1" x14ac:dyDescent="0.25">
      <c r="B615" s="140">
        <v>13</v>
      </c>
      <c r="C615" s="345" t="s">
        <v>620</v>
      </c>
      <c r="D615" s="235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>
        <v>39537</v>
      </c>
      <c r="O615" s="236"/>
      <c r="P615" s="237"/>
      <c r="Q615" s="223">
        <f t="shared" si="734"/>
        <v>39537</v>
      </c>
      <c r="R615" s="147">
        <f t="shared" si="735"/>
        <v>4349.07</v>
      </c>
      <c r="S615" s="147">
        <f t="shared" si="736"/>
        <v>11.915260273972603</v>
      </c>
      <c r="T615" s="148">
        <f t="shared" si="737"/>
        <v>2609.4419999999996</v>
      </c>
      <c r="U615" s="199"/>
      <c r="V615" s="150"/>
      <c r="W615" s="249"/>
      <c r="X615" s="249"/>
      <c r="Y615" s="152"/>
      <c r="Z615" s="153"/>
      <c r="AA615" s="153"/>
      <c r="AB615" s="154"/>
      <c r="AC615" s="155">
        <f t="shared" si="738"/>
        <v>1513.4763599999997</v>
      </c>
      <c r="AD615" s="156">
        <f t="shared" si="739"/>
        <v>339.22745999999995</v>
      </c>
      <c r="AE615" s="156">
        <f t="shared" si="740"/>
        <v>228.97853549999994</v>
      </c>
      <c r="AF615" s="156">
        <f t="shared" si="741"/>
        <v>104.37767999999998</v>
      </c>
      <c r="AG615" s="156">
        <f t="shared" si="742"/>
        <v>52.188839999999992</v>
      </c>
      <c r="AH615" s="156">
        <f t="shared" si="743"/>
        <v>52.188839999999992</v>
      </c>
      <c r="AI615" s="156">
        <f t="shared" si="744"/>
        <v>26.094419999999996</v>
      </c>
      <c r="AJ615" s="156">
        <f t="shared" si="745"/>
        <v>52.188839999999992</v>
      </c>
      <c r="AK615" s="156">
        <f t="shared" si="746"/>
        <v>52.188839999999992</v>
      </c>
      <c r="AL615" s="156">
        <f t="shared" si="747"/>
        <v>182.66093999999998</v>
      </c>
      <c r="AM615" s="157">
        <f t="shared" si="748"/>
        <v>803.05577549999987</v>
      </c>
      <c r="AN615" s="158">
        <f t="shared" si="749"/>
        <v>2200</v>
      </c>
      <c r="AO615" s="159">
        <v>0.2</v>
      </c>
      <c r="AP615" s="160">
        <f t="shared" si="750"/>
        <v>21337484.838805076</v>
      </c>
      <c r="AQ615" s="161">
        <f t="shared" si="751"/>
        <v>5927.0795960566284</v>
      </c>
      <c r="AR615" s="162">
        <f t="shared" si="752"/>
        <v>1185.4159192113257</v>
      </c>
      <c r="AS615" s="163">
        <f t="shared" si="753"/>
        <v>0.16915181495595399</v>
      </c>
      <c r="AT615" s="164">
        <f t="shared" si="754"/>
        <v>0.16915181495595399</v>
      </c>
      <c r="AU615" s="165"/>
      <c r="AV615" s="166"/>
      <c r="AW615" s="167"/>
      <c r="AX615" s="146"/>
      <c r="AY615" s="168"/>
    </row>
    <row r="616" spans="2:51" ht="10.9" customHeight="1" x14ac:dyDescent="0.25">
      <c r="B616" s="140">
        <v>14</v>
      </c>
      <c r="C616" s="345" t="s">
        <v>621</v>
      </c>
      <c r="D616" s="235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>
        <v>81658</v>
      </c>
      <c r="O616" s="236"/>
      <c r="P616" s="237"/>
      <c r="Q616" s="223">
        <f t="shared" si="734"/>
        <v>81658</v>
      </c>
      <c r="R616" s="147">
        <f t="shared" si="735"/>
        <v>8982.3799999999992</v>
      </c>
      <c r="S616" s="147">
        <f t="shared" si="736"/>
        <v>24.609260273972602</v>
      </c>
      <c r="T616" s="148">
        <f t="shared" si="737"/>
        <v>5389.427999999999</v>
      </c>
      <c r="U616" s="199"/>
      <c r="V616" s="150"/>
      <c r="W616" s="249"/>
      <c r="X616" s="249"/>
      <c r="Y616" s="152"/>
      <c r="Z616" s="153"/>
      <c r="AA616" s="153"/>
      <c r="AB616" s="154"/>
      <c r="AC616" s="155">
        <f t="shared" si="738"/>
        <v>3125.8682399999993</v>
      </c>
      <c r="AD616" s="156">
        <f t="shared" si="739"/>
        <v>700.62563999999986</v>
      </c>
      <c r="AE616" s="156">
        <f t="shared" si="740"/>
        <v>472.92230699999988</v>
      </c>
      <c r="AF616" s="156">
        <f t="shared" si="741"/>
        <v>215.57711999999995</v>
      </c>
      <c r="AG616" s="156">
        <f t="shared" si="742"/>
        <v>107.78855999999998</v>
      </c>
      <c r="AH616" s="156">
        <f t="shared" si="743"/>
        <v>107.78855999999998</v>
      </c>
      <c r="AI616" s="156">
        <f t="shared" si="744"/>
        <v>53.894279999999988</v>
      </c>
      <c r="AJ616" s="156">
        <f t="shared" si="745"/>
        <v>107.78855999999998</v>
      </c>
      <c r="AK616" s="156">
        <f t="shared" si="746"/>
        <v>107.78855999999998</v>
      </c>
      <c r="AL616" s="156">
        <f t="shared" si="747"/>
        <v>377.25995999999998</v>
      </c>
      <c r="AM616" s="157">
        <f t="shared" si="748"/>
        <v>1658.5964669999996</v>
      </c>
      <c r="AN616" s="158">
        <f t="shared" si="749"/>
        <v>2200</v>
      </c>
      <c r="AO616" s="159">
        <v>0.2</v>
      </c>
      <c r="AP616" s="160">
        <f t="shared" si="750"/>
        <v>44069513.037588708</v>
      </c>
      <c r="AQ616" s="161">
        <f t="shared" si="751"/>
        <v>12241.532378652708</v>
      </c>
      <c r="AR616" s="162">
        <f t="shared" si="752"/>
        <v>2448.3064757305415</v>
      </c>
      <c r="AS616" s="163">
        <f t="shared" si="753"/>
        <v>0.34935880076063663</v>
      </c>
      <c r="AT616" s="164">
        <f t="shared" si="754"/>
        <v>0.34935880076063663</v>
      </c>
      <c r="AU616" s="165"/>
      <c r="AV616" s="166"/>
      <c r="AW616" s="167"/>
      <c r="AX616" s="146"/>
      <c r="AY616" s="168"/>
    </row>
    <row r="617" spans="2:51" ht="10.9" customHeight="1" x14ac:dyDescent="0.25">
      <c r="B617" s="140">
        <v>15</v>
      </c>
      <c r="C617" s="342" t="s">
        <v>622</v>
      </c>
      <c r="D617" s="235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>
        <v>195716</v>
      </c>
      <c r="O617" s="236"/>
      <c r="P617" s="237"/>
      <c r="Q617" s="223">
        <f t="shared" si="734"/>
        <v>195716</v>
      </c>
      <c r="R617" s="147">
        <f t="shared" si="735"/>
        <v>21528.76</v>
      </c>
      <c r="S617" s="147">
        <f t="shared" si="736"/>
        <v>58.982904109589036</v>
      </c>
      <c r="T617" s="148">
        <f t="shared" si="737"/>
        <v>12917.255999999999</v>
      </c>
      <c r="U617" s="199"/>
      <c r="V617" s="150"/>
      <c r="W617" s="249"/>
      <c r="X617" s="249"/>
      <c r="Y617" s="152"/>
      <c r="Z617" s="153"/>
      <c r="AA617" s="153"/>
      <c r="AB617" s="154"/>
      <c r="AC617" s="155">
        <f t="shared" si="738"/>
        <v>7492.0084799999995</v>
      </c>
      <c r="AD617" s="156">
        <f t="shared" si="739"/>
        <v>1679.2432799999999</v>
      </c>
      <c r="AE617" s="156">
        <f t="shared" si="740"/>
        <v>1133.4892139999999</v>
      </c>
      <c r="AF617" s="156">
        <f t="shared" si="741"/>
        <v>516.69024000000002</v>
      </c>
      <c r="AG617" s="156">
        <f t="shared" si="742"/>
        <v>258.34512000000001</v>
      </c>
      <c r="AH617" s="156">
        <f t="shared" si="743"/>
        <v>258.34512000000001</v>
      </c>
      <c r="AI617" s="156">
        <f t="shared" si="744"/>
        <v>129.17256</v>
      </c>
      <c r="AJ617" s="156">
        <f t="shared" si="745"/>
        <v>258.34512000000001</v>
      </c>
      <c r="AK617" s="156">
        <f t="shared" si="746"/>
        <v>258.34512000000001</v>
      </c>
      <c r="AL617" s="156">
        <f t="shared" si="747"/>
        <v>904.20792000000006</v>
      </c>
      <c r="AM617" s="157">
        <f t="shared" si="748"/>
        <v>3975.2855339999996</v>
      </c>
      <c r="AN617" s="158">
        <f t="shared" si="749"/>
        <v>2200</v>
      </c>
      <c r="AO617" s="159">
        <v>0.2</v>
      </c>
      <c r="AP617" s="160">
        <f t="shared" si="750"/>
        <v>105624786.47119342</v>
      </c>
      <c r="AQ617" s="161">
        <f t="shared" si="751"/>
        <v>29340.22081143787</v>
      </c>
      <c r="AR617" s="162">
        <f t="shared" si="752"/>
        <v>5868.0441622875742</v>
      </c>
      <c r="AS617" s="163">
        <f t="shared" si="753"/>
        <v>0.83733506881957398</v>
      </c>
      <c r="AT617" s="164">
        <f t="shared" si="754"/>
        <v>0.83733506881957398</v>
      </c>
      <c r="AU617" s="165"/>
      <c r="AV617" s="166"/>
      <c r="AW617" s="167"/>
      <c r="AX617" s="146"/>
      <c r="AY617" s="168"/>
    </row>
    <row r="618" spans="2:51" ht="10.9" customHeight="1" x14ac:dyDescent="0.25">
      <c r="B618" s="140">
        <v>16</v>
      </c>
      <c r="C618" s="342" t="s">
        <v>623</v>
      </c>
      <c r="D618" s="235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>
        <v>182001</v>
      </c>
      <c r="O618" s="236"/>
      <c r="P618" s="237"/>
      <c r="Q618" s="223">
        <f t="shared" si="734"/>
        <v>182001</v>
      </c>
      <c r="R618" s="147">
        <f t="shared" si="735"/>
        <v>20020.11</v>
      </c>
      <c r="S618" s="147">
        <f t="shared" si="736"/>
        <v>54.849616438356165</v>
      </c>
      <c r="T618" s="148">
        <f t="shared" si="737"/>
        <v>12012.066000000001</v>
      </c>
      <c r="U618" s="199"/>
      <c r="V618" s="150"/>
      <c r="W618" s="249"/>
      <c r="X618" s="249"/>
      <c r="Y618" s="152"/>
      <c r="Z618" s="153"/>
      <c r="AA618" s="153"/>
      <c r="AB618" s="154"/>
      <c r="AC618" s="155">
        <f t="shared" si="738"/>
        <v>6966.9982799999998</v>
      </c>
      <c r="AD618" s="156">
        <f t="shared" si="739"/>
        <v>1561.5685800000001</v>
      </c>
      <c r="AE618" s="156">
        <f t="shared" si="740"/>
        <v>1054.0587915000001</v>
      </c>
      <c r="AF618" s="156">
        <f t="shared" si="741"/>
        <v>480.48264000000006</v>
      </c>
      <c r="AG618" s="156">
        <f t="shared" si="742"/>
        <v>240.24132000000003</v>
      </c>
      <c r="AH618" s="156">
        <f t="shared" si="743"/>
        <v>240.24132000000003</v>
      </c>
      <c r="AI618" s="156">
        <f t="shared" si="744"/>
        <v>120.12066000000002</v>
      </c>
      <c r="AJ618" s="156">
        <f t="shared" si="745"/>
        <v>240.24132000000003</v>
      </c>
      <c r="AK618" s="156">
        <f t="shared" si="746"/>
        <v>240.24132000000003</v>
      </c>
      <c r="AL618" s="156">
        <f t="shared" si="747"/>
        <v>840.84462000000008</v>
      </c>
      <c r="AM618" s="157">
        <f t="shared" si="748"/>
        <v>3696.7133115000006</v>
      </c>
      <c r="AN618" s="158">
        <f t="shared" si="749"/>
        <v>2200</v>
      </c>
      <c r="AO618" s="159">
        <v>0.2</v>
      </c>
      <c r="AP618" s="160">
        <f t="shared" si="750"/>
        <v>98223020.920842841</v>
      </c>
      <c r="AQ618" s="161">
        <f t="shared" si="751"/>
        <v>27284.174660745699</v>
      </c>
      <c r="AR618" s="162">
        <f t="shared" si="752"/>
        <v>5456.8349321491405</v>
      </c>
      <c r="AS618" s="163">
        <f t="shared" si="753"/>
        <v>0.77865795264685222</v>
      </c>
      <c r="AT618" s="164">
        <f t="shared" si="754"/>
        <v>0.77865795264685222</v>
      </c>
      <c r="AU618" s="165"/>
      <c r="AV618" s="166"/>
      <c r="AW618" s="167"/>
      <c r="AX618" s="146"/>
      <c r="AY618" s="168"/>
    </row>
    <row r="619" spans="2:51" ht="10.9" customHeight="1" x14ac:dyDescent="0.25">
      <c r="B619" s="140">
        <v>17</v>
      </c>
      <c r="C619" s="342" t="s">
        <v>624</v>
      </c>
      <c r="D619" s="235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>
        <v>129893</v>
      </c>
      <c r="O619" s="236"/>
      <c r="P619" s="237"/>
      <c r="Q619" s="223">
        <f t="shared" si="734"/>
        <v>129893</v>
      </c>
      <c r="R619" s="147">
        <f t="shared" si="735"/>
        <v>14288.23</v>
      </c>
      <c r="S619" s="147">
        <f t="shared" si="736"/>
        <v>39.145835616438355</v>
      </c>
      <c r="T619" s="148">
        <f t="shared" si="737"/>
        <v>8572.9380000000001</v>
      </c>
      <c r="U619" s="199"/>
      <c r="V619" s="150"/>
      <c r="W619" s="249"/>
      <c r="X619" s="249"/>
      <c r="Y619" s="152"/>
      <c r="Z619" s="153"/>
      <c r="AA619" s="153"/>
      <c r="AB619" s="154"/>
      <c r="AC619" s="155">
        <f t="shared" si="738"/>
        <v>4972.30404</v>
      </c>
      <c r="AD619" s="156">
        <f t="shared" si="739"/>
        <v>1114.4819400000001</v>
      </c>
      <c r="AE619" s="156">
        <f t="shared" si="740"/>
        <v>752.27530949999993</v>
      </c>
      <c r="AF619" s="156">
        <f t="shared" si="741"/>
        <v>342.91752000000002</v>
      </c>
      <c r="AG619" s="156">
        <f t="shared" si="742"/>
        <v>171.45876000000001</v>
      </c>
      <c r="AH619" s="156">
        <f t="shared" si="743"/>
        <v>171.45876000000001</v>
      </c>
      <c r="AI619" s="156">
        <f t="shared" si="744"/>
        <v>85.729380000000006</v>
      </c>
      <c r="AJ619" s="156">
        <f t="shared" si="745"/>
        <v>171.45876000000001</v>
      </c>
      <c r="AK619" s="156">
        <f t="shared" si="746"/>
        <v>171.45876000000001</v>
      </c>
      <c r="AL619" s="156">
        <f t="shared" si="747"/>
        <v>600.10566000000006</v>
      </c>
      <c r="AM619" s="157">
        <f t="shared" si="748"/>
        <v>2638.3216695000001</v>
      </c>
      <c r="AN619" s="158">
        <f t="shared" si="749"/>
        <v>2200</v>
      </c>
      <c r="AO619" s="159">
        <v>0.2</v>
      </c>
      <c r="AP619" s="160">
        <f t="shared" si="750"/>
        <v>70101168.985176116</v>
      </c>
      <c r="AQ619" s="161">
        <f t="shared" si="751"/>
        <v>19472.548498130454</v>
      </c>
      <c r="AR619" s="162">
        <f t="shared" si="752"/>
        <v>3894.5096996260909</v>
      </c>
      <c r="AS619" s="163">
        <f t="shared" si="753"/>
        <v>0.55572341604253583</v>
      </c>
      <c r="AT619" s="164">
        <f t="shared" si="754"/>
        <v>0.55572341604253583</v>
      </c>
      <c r="AU619" s="165"/>
      <c r="AV619" s="166"/>
      <c r="AW619" s="167"/>
      <c r="AX619" s="146"/>
      <c r="AY619" s="168"/>
    </row>
    <row r="620" spans="2:51" ht="10.9" customHeight="1" x14ac:dyDescent="0.25">
      <c r="B620" s="140">
        <v>18</v>
      </c>
      <c r="C620" s="342" t="s">
        <v>625</v>
      </c>
      <c r="D620" s="235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>
        <v>79053</v>
      </c>
      <c r="O620" s="236"/>
      <c r="P620" s="237"/>
      <c r="Q620" s="223">
        <f t="shared" si="734"/>
        <v>79053</v>
      </c>
      <c r="R620" s="147">
        <f t="shared" si="735"/>
        <v>8695.83</v>
      </c>
      <c r="S620" s="147">
        <f t="shared" si="736"/>
        <v>23.824191780821916</v>
      </c>
      <c r="T620" s="148">
        <f t="shared" si="737"/>
        <v>5217.4979999999996</v>
      </c>
      <c r="U620" s="199"/>
      <c r="V620" s="150"/>
      <c r="W620" s="249"/>
      <c r="X620" s="249"/>
      <c r="Y620" s="152"/>
      <c r="Z620" s="153"/>
      <c r="AA620" s="153"/>
      <c r="AB620" s="154"/>
      <c r="AC620" s="155">
        <f t="shared" si="738"/>
        <v>3026.1488399999994</v>
      </c>
      <c r="AD620" s="156">
        <f t="shared" si="739"/>
        <v>678.27473999999995</v>
      </c>
      <c r="AE620" s="156">
        <f t="shared" si="740"/>
        <v>457.83544949999992</v>
      </c>
      <c r="AF620" s="156">
        <f t="shared" si="741"/>
        <v>208.69991999999999</v>
      </c>
      <c r="AG620" s="156">
        <f t="shared" si="742"/>
        <v>104.34996</v>
      </c>
      <c r="AH620" s="156">
        <f t="shared" si="743"/>
        <v>104.34996</v>
      </c>
      <c r="AI620" s="156">
        <f t="shared" si="744"/>
        <v>52.174979999999998</v>
      </c>
      <c r="AJ620" s="156">
        <f t="shared" si="745"/>
        <v>104.34996</v>
      </c>
      <c r="AK620" s="156">
        <f t="shared" si="746"/>
        <v>104.34996</v>
      </c>
      <c r="AL620" s="156">
        <f t="shared" si="747"/>
        <v>365.22485999999998</v>
      </c>
      <c r="AM620" s="157">
        <f t="shared" si="748"/>
        <v>1605.6850095</v>
      </c>
      <c r="AN620" s="158">
        <f t="shared" si="749"/>
        <v>2200</v>
      </c>
      <c r="AO620" s="159">
        <v>0.2</v>
      </c>
      <c r="AP620" s="160">
        <f t="shared" si="750"/>
        <v>42663636.314390503</v>
      </c>
      <c r="AQ620" s="161">
        <f t="shared" si="751"/>
        <v>11851.011035411502</v>
      </c>
      <c r="AR620" s="162">
        <f t="shared" si="752"/>
        <v>2370.2022070823004</v>
      </c>
      <c r="AS620" s="163">
        <f t="shared" si="753"/>
        <v>0.3382137852571776</v>
      </c>
      <c r="AT620" s="164">
        <f t="shared" si="754"/>
        <v>0.3382137852571776</v>
      </c>
      <c r="AU620" s="165"/>
      <c r="AV620" s="166"/>
      <c r="AW620" s="167"/>
      <c r="AX620" s="146"/>
      <c r="AY620" s="168"/>
    </row>
    <row r="621" spans="2:51" ht="10.9" customHeight="1" x14ac:dyDescent="0.25">
      <c r="B621" s="140">
        <v>19</v>
      </c>
      <c r="C621" s="342" t="s">
        <v>626</v>
      </c>
      <c r="D621" s="235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>
        <v>153432</v>
      </c>
      <c r="O621" s="236"/>
      <c r="P621" s="237"/>
      <c r="Q621" s="223">
        <f t="shared" si="734"/>
        <v>153432</v>
      </c>
      <c r="R621" s="147">
        <f t="shared" si="735"/>
        <v>16877.52</v>
      </c>
      <c r="S621" s="147">
        <f t="shared" si="736"/>
        <v>46.239780821917812</v>
      </c>
      <c r="T621" s="148">
        <f t="shared" si="737"/>
        <v>10126.512000000001</v>
      </c>
      <c r="U621" s="199"/>
      <c r="V621" s="150"/>
      <c r="W621" s="249"/>
      <c r="X621" s="249"/>
      <c r="Y621" s="152"/>
      <c r="Z621" s="153"/>
      <c r="AA621" s="153"/>
      <c r="AB621" s="154"/>
      <c r="AC621" s="155">
        <f t="shared" si="738"/>
        <v>5873.3769599999996</v>
      </c>
      <c r="AD621" s="156">
        <f t="shared" si="739"/>
        <v>1316.4465600000001</v>
      </c>
      <c r="AE621" s="156">
        <f t="shared" si="740"/>
        <v>888.60142800000006</v>
      </c>
      <c r="AF621" s="156">
        <f t="shared" si="741"/>
        <v>405.06048000000004</v>
      </c>
      <c r="AG621" s="156">
        <f t="shared" si="742"/>
        <v>202.53024000000002</v>
      </c>
      <c r="AH621" s="156">
        <f t="shared" si="743"/>
        <v>202.53024000000002</v>
      </c>
      <c r="AI621" s="156">
        <f t="shared" si="744"/>
        <v>101.26512000000001</v>
      </c>
      <c r="AJ621" s="156">
        <f t="shared" si="745"/>
        <v>202.53024000000002</v>
      </c>
      <c r="AK621" s="156">
        <f t="shared" si="746"/>
        <v>202.53024000000002</v>
      </c>
      <c r="AL621" s="156">
        <f t="shared" si="747"/>
        <v>708.85584000000006</v>
      </c>
      <c r="AM621" s="157">
        <f t="shared" si="748"/>
        <v>3116.4340680000005</v>
      </c>
      <c r="AN621" s="158">
        <f t="shared" si="749"/>
        <v>2200</v>
      </c>
      <c r="AO621" s="159">
        <v>0.2</v>
      </c>
      <c r="AP621" s="160">
        <f t="shared" si="750"/>
        <v>82804789.786466867</v>
      </c>
      <c r="AQ621" s="161">
        <f t="shared" si="751"/>
        <v>23001.332336347237</v>
      </c>
      <c r="AR621" s="162">
        <f t="shared" si="752"/>
        <v>4600.2664672694473</v>
      </c>
      <c r="AS621" s="163">
        <f t="shared" si="753"/>
        <v>0.65643071736150793</v>
      </c>
      <c r="AT621" s="164">
        <f t="shared" si="754"/>
        <v>0.65643071736150793</v>
      </c>
      <c r="AU621" s="165"/>
      <c r="AV621" s="166"/>
      <c r="AW621" s="167"/>
      <c r="AX621" s="146"/>
      <c r="AY621" s="168"/>
    </row>
    <row r="622" spans="2:51" ht="10.9" customHeight="1" x14ac:dyDescent="0.25">
      <c r="B622" s="140">
        <v>20</v>
      </c>
      <c r="C622" s="342" t="s">
        <v>627</v>
      </c>
      <c r="D622" s="235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>
        <v>65434</v>
      </c>
      <c r="O622" s="236"/>
      <c r="P622" s="237"/>
      <c r="Q622" s="223">
        <f t="shared" si="734"/>
        <v>65434</v>
      </c>
      <c r="R622" s="147">
        <f t="shared" si="735"/>
        <v>7197.74</v>
      </c>
      <c r="S622" s="147">
        <f t="shared" si="736"/>
        <v>19.719835616438356</v>
      </c>
      <c r="T622" s="148">
        <f t="shared" si="737"/>
        <v>4318.6439999999993</v>
      </c>
      <c r="U622" s="199"/>
      <c r="V622" s="150"/>
      <c r="W622" s="249"/>
      <c r="X622" s="249"/>
      <c r="Y622" s="152"/>
      <c r="Z622" s="153"/>
      <c r="AA622" s="153"/>
      <c r="AB622" s="154"/>
      <c r="AC622" s="155">
        <f t="shared" si="738"/>
        <v>2504.8135199999992</v>
      </c>
      <c r="AD622" s="156">
        <f t="shared" si="739"/>
        <v>561.42371999999989</v>
      </c>
      <c r="AE622" s="156">
        <f t="shared" si="740"/>
        <v>378.96101099999993</v>
      </c>
      <c r="AF622" s="156">
        <f t="shared" si="741"/>
        <v>172.74575999999999</v>
      </c>
      <c r="AG622" s="156">
        <f t="shared" si="742"/>
        <v>86.372879999999995</v>
      </c>
      <c r="AH622" s="156">
        <f t="shared" si="743"/>
        <v>86.372879999999995</v>
      </c>
      <c r="AI622" s="156">
        <f t="shared" si="744"/>
        <v>43.186439999999997</v>
      </c>
      <c r="AJ622" s="156">
        <f t="shared" si="745"/>
        <v>86.372879999999995</v>
      </c>
      <c r="AK622" s="156">
        <f t="shared" si="746"/>
        <v>86.372879999999995</v>
      </c>
      <c r="AL622" s="156">
        <f t="shared" si="747"/>
        <v>302.30507999999998</v>
      </c>
      <c r="AM622" s="157">
        <f t="shared" si="748"/>
        <v>1329.0626909999996</v>
      </c>
      <c r="AN622" s="158">
        <f t="shared" si="749"/>
        <v>2200</v>
      </c>
      <c r="AO622" s="159">
        <v>0.2</v>
      </c>
      <c r="AP622" s="160">
        <f t="shared" si="750"/>
        <v>35313680.424472548</v>
      </c>
      <c r="AQ622" s="161">
        <f t="shared" si="751"/>
        <v>9809.3564582130512</v>
      </c>
      <c r="AR622" s="162">
        <f t="shared" si="752"/>
        <v>1961.8712916426102</v>
      </c>
      <c r="AS622" s="163">
        <f t="shared" si="753"/>
        <v>0.27994738750608023</v>
      </c>
      <c r="AT622" s="164">
        <f t="shared" si="754"/>
        <v>0.27994738750608023</v>
      </c>
      <c r="AU622" s="165"/>
      <c r="AV622" s="166"/>
      <c r="AW622" s="167"/>
      <c r="AX622" s="146"/>
      <c r="AY622" s="168"/>
    </row>
    <row r="623" spans="2:51" ht="10.9" customHeight="1" x14ac:dyDescent="0.25">
      <c r="B623" s="140">
        <v>21</v>
      </c>
      <c r="C623" s="342" t="s">
        <v>628</v>
      </c>
      <c r="D623" s="235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>
        <v>93218</v>
      </c>
      <c r="O623" s="236"/>
      <c r="P623" s="237"/>
      <c r="Q623" s="223">
        <f t="shared" si="734"/>
        <v>93218</v>
      </c>
      <c r="R623" s="147">
        <f t="shared" si="735"/>
        <v>10253.98</v>
      </c>
      <c r="S623" s="147">
        <f t="shared" si="736"/>
        <v>28.093095890410957</v>
      </c>
      <c r="T623" s="148">
        <f t="shared" si="737"/>
        <v>6152.3879999999999</v>
      </c>
      <c r="U623" s="199"/>
      <c r="V623" s="150"/>
      <c r="W623" s="249"/>
      <c r="X623" s="249"/>
      <c r="Y623" s="152"/>
      <c r="Z623" s="153"/>
      <c r="AA623" s="153"/>
      <c r="AB623" s="154"/>
      <c r="AC623" s="155">
        <f t="shared" si="738"/>
        <v>3568.3850399999997</v>
      </c>
      <c r="AD623" s="156">
        <f t="shared" si="739"/>
        <v>799.81043999999997</v>
      </c>
      <c r="AE623" s="156">
        <f t="shared" si="740"/>
        <v>539.87204699999995</v>
      </c>
      <c r="AF623" s="156">
        <f t="shared" si="741"/>
        <v>246.09551999999999</v>
      </c>
      <c r="AG623" s="156">
        <f t="shared" si="742"/>
        <v>123.04776</v>
      </c>
      <c r="AH623" s="156">
        <f t="shared" si="743"/>
        <v>123.04776</v>
      </c>
      <c r="AI623" s="156">
        <f t="shared" si="744"/>
        <v>61.523879999999998</v>
      </c>
      <c r="AJ623" s="156">
        <f t="shared" si="745"/>
        <v>123.04776</v>
      </c>
      <c r="AK623" s="156">
        <f t="shared" si="746"/>
        <v>123.04776</v>
      </c>
      <c r="AL623" s="156">
        <f t="shared" si="747"/>
        <v>430.66716000000002</v>
      </c>
      <c r="AM623" s="157">
        <f t="shared" si="748"/>
        <v>1893.3974069999999</v>
      </c>
      <c r="AN623" s="158">
        <f t="shared" si="749"/>
        <v>2200</v>
      </c>
      <c r="AO623" s="159">
        <v>0.2</v>
      </c>
      <c r="AP623" s="160">
        <f t="shared" si="750"/>
        <v>50308259.648019113</v>
      </c>
      <c r="AQ623" s="161">
        <f t="shared" si="751"/>
        <v>13974.517686855523</v>
      </c>
      <c r="AR623" s="162">
        <f t="shared" si="752"/>
        <v>2794.9035373711049</v>
      </c>
      <c r="AS623" s="163">
        <f t="shared" si="753"/>
        <v>0.39881614403126497</v>
      </c>
      <c r="AT623" s="164">
        <f t="shared" si="754"/>
        <v>0.39881614403126497</v>
      </c>
      <c r="AU623" s="165"/>
      <c r="AV623" s="166"/>
      <c r="AW623" s="167"/>
      <c r="AX623" s="146"/>
      <c r="AY623" s="168"/>
    </row>
    <row r="624" spans="2:51" ht="10.9" customHeight="1" x14ac:dyDescent="0.25">
      <c r="B624" s="140">
        <v>22</v>
      </c>
      <c r="C624" s="342" t="s">
        <v>629</v>
      </c>
      <c r="D624" s="235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>
        <v>101148</v>
      </c>
      <c r="O624" s="236"/>
      <c r="P624" s="237"/>
      <c r="Q624" s="223">
        <f t="shared" si="734"/>
        <v>101148</v>
      </c>
      <c r="R624" s="147">
        <f t="shared" si="735"/>
        <v>11126.28</v>
      </c>
      <c r="S624" s="147">
        <f t="shared" si="736"/>
        <v>30.482958904109591</v>
      </c>
      <c r="T624" s="148">
        <f t="shared" si="737"/>
        <v>6675.768</v>
      </c>
      <c r="U624" s="199"/>
      <c r="V624" s="150"/>
      <c r="W624" s="249"/>
      <c r="X624" s="249"/>
      <c r="Y624" s="152"/>
      <c r="Z624" s="153"/>
      <c r="AA624" s="153"/>
      <c r="AB624" s="154"/>
      <c r="AC624" s="155">
        <f t="shared" si="738"/>
        <v>3871.94544</v>
      </c>
      <c r="AD624" s="156">
        <f t="shared" si="739"/>
        <v>867.84984000000009</v>
      </c>
      <c r="AE624" s="156">
        <f t="shared" si="740"/>
        <v>585.79864199999997</v>
      </c>
      <c r="AF624" s="156">
        <f t="shared" si="741"/>
        <v>267.03072000000003</v>
      </c>
      <c r="AG624" s="156">
        <f t="shared" si="742"/>
        <v>133.51536000000002</v>
      </c>
      <c r="AH624" s="156">
        <f t="shared" si="743"/>
        <v>133.51536000000002</v>
      </c>
      <c r="AI624" s="156">
        <f t="shared" si="744"/>
        <v>66.757680000000008</v>
      </c>
      <c r="AJ624" s="156">
        <f t="shared" si="745"/>
        <v>133.51536000000002</v>
      </c>
      <c r="AK624" s="156">
        <f t="shared" si="746"/>
        <v>133.51536000000002</v>
      </c>
      <c r="AL624" s="156">
        <f t="shared" si="747"/>
        <v>467.30376000000007</v>
      </c>
      <c r="AM624" s="157">
        <f t="shared" si="748"/>
        <v>2054.4676020000002</v>
      </c>
      <c r="AN624" s="158">
        <f t="shared" si="749"/>
        <v>2200</v>
      </c>
      <c r="AO624" s="159">
        <v>0.2</v>
      </c>
      <c r="AP624" s="160">
        <f t="shared" si="750"/>
        <v>54587953.473340325</v>
      </c>
      <c r="AQ624" s="161">
        <f t="shared" si="751"/>
        <v>15163.321622326834</v>
      </c>
      <c r="AR624" s="162">
        <f t="shared" si="752"/>
        <v>3032.6643244653669</v>
      </c>
      <c r="AS624" s="163">
        <f t="shared" si="753"/>
        <v>0.43274319698421332</v>
      </c>
      <c r="AT624" s="164">
        <f t="shared" si="754"/>
        <v>0.43274319698421332</v>
      </c>
      <c r="AU624" s="165"/>
      <c r="AV624" s="166"/>
      <c r="AW624" s="167"/>
      <c r="AX624" s="146"/>
      <c r="AY624" s="168"/>
    </row>
    <row r="625" spans="1:52" ht="10.9" customHeight="1" x14ac:dyDescent="0.25">
      <c r="B625" s="140">
        <v>23</v>
      </c>
      <c r="C625" s="342" t="s">
        <v>630</v>
      </c>
      <c r="D625" s="235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>
        <v>32971</v>
      </c>
      <c r="O625" s="236"/>
      <c r="P625" s="237"/>
      <c r="Q625" s="223">
        <f t="shared" si="734"/>
        <v>32971</v>
      </c>
      <c r="R625" s="147">
        <f t="shared" si="735"/>
        <v>3626.81</v>
      </c>
      <c r="S625" s="147">
        <f t="shared" si="736"/>
        <v>9.9364657534246579</v>
      </c>
      <c r="T625" s="148">
        <f t="shared" si="737"/>
        <v>2176.0859999999998</v>
      </c>
      <c r="U625" s="199"/>
      <c r="V625" s="150"/>
      <c r="W625" s="249"/>
      <c r="X625" s="249"/>
      <c r="Y625" s="152"/>
      <c r="Z625" s="153"/>
      <c r="AA625" s="153"/>
      <c r="AB625" s="154"/>
      <c r="AC625" s="155">
        <f t="shared" si="738"/>
        <v>1262.1298799999997</v>
      </c>
      <c r="AD625" s="156">
        <f t="shared" si="739"/>
        <v>282.89117999999996</v>
      </c>
      <c r="AE625" s="156">
        <f t="shared" si="740"/>
        <v>190.95154649999998</v>
      </c>
      <c r="AF625" s="156">
        <f t="shared" si="741"/>
        <v>87.04343999999999</v>
      </c>
      <c r="AG625" s="156">
        <f t="shared" si="742"/>
        <v>43.521719999999995</v>
      </c>
      <c r="AH625" s="156">
        <f t="shared" si="743"/>
        <v>43.521719999999995</v>
      </c>
      <c r="AI625" s="156">
        <f t="shared" si="744"/>
        <v>21.760859999999997</v>
      </c>
      <c r="AJ625" s="156">
        <f t="shared" si="745"/>
        <v>43.521719999999995</v>
      </c>
      <c r="AK625" s="156">
        <f t="shared" si="746"/>
        <v>43.521719999999995</v>
      </c>
      <c r="AL625" s="156">
        <f t="shared" si="747"/>
        <v>152.32602</v>
      </c>
      <c r="AM625" s="157">
        <f t="shared" si="748"/>
        <v>669.69046649999984</v>
      </c>
      <c r="AN625" s="158">
        <f t="shared" si="749"/>
        <v>2200</v>
      </c>
      <c r="AO625" s="159">
        <v>0.2</v>
      </c>
      <c r="AP625" s="160">
        <f t="shared" si="750"/>
        <v>17793919.938797638</v>
      </c>
      <c r="AQ625" s="161">
        <f t="shared" si="751"/>
        <v>4942.7559339753425</v>
      </c>
      <c r="AR625" s="162">
        <f t="shared" si="752"/>
        <v>988.55118679506859</v>
      </c>
      <c r="AS625" s="163">
        <f t="shared" si="753"/>
        <v>0.14106038624358855</v>
      </c>
      <c r="AT625" s="164">
        <f t="shared" si="754"/>
        <v>0.14106038624358855</v>
      </c>
      <c r="AU625" s="165"/>
      <c r="AV625" s="166"/>
      <c r="AW625" s="167"/>
      <c r="AX625" s="146"/>
      <c r="AY625" s="168"/>
    </row>
    <row r="626" spans="1:52" ht="10.9" customHeight="1" x14ac:dyDescent="0.25">
      <c r="B626" s="140">
        <v>24</v>
      </c>
      <c r="C626" s="342" t="s">
        <v>631</v>
      </c>
      <c r="D626" s="235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>
        <v>15874</v>
      </c>
      <c r="O626" s="236"/>
      <c r="P626" s="237"/>
      <c r="Q626" s="223">
        <f t="shared" si="734"/>
        <v>15874</v>
      </c>
      <c r="R626" s="147">
        <f t="shared" si="735"/>
        <v>1746.14</v>
      </c>
      <c r="S626" s="147">
        <f t="shared" si="736"/>
        <v>4.7839452054794522</v>
      </c>
      <c r="T626" s="148">
        <f t="shared" si="737"/>
        <v>1047.684</v>
      </c>
      <c r="U626" s="199"/>
      <c r="V626" s="150"/>
      <c r="W626" s="249"/>
      <c r="X626" s="249"/>
      <c r="Y626" s="152"/>
      <c r="Z626" s="153"/>
      <c r="AA626" s="153"/>
      <c r="AB626" s="154"/>
      <c r="AC626" s="155">
        <f t="shared" si="738"/>
        <v>607.65671999999995</v>
      </c>
      <c r="AD626" s="156">
        <f t="shared" si="739"/>
        <v>136.19891999999999</v>
      </c>
      <c r="AE626" s="156">
        <f t="shared" si="740"/>
        <v>91.934270999999995</v>
      </c>
      <c r="AF626" s="156">
        <f t="shared" si="741"/>
        <v>41.907359999999997</v>
      </c>
      <c r="AG626" s="156">
        <f t="shared" si="742"/>
        <v>20.953679999999999</v>
      </c>
      <c r="AH626" s="156">
        <f t="shared" si="743"/>
        <v>20.953679999999999</v>
      </c>
      <c r="AI626" s="156">
        <f t="shared" si="744"/>
        <v>10.476839999999999</v>
      </c>
      <c r="AJ626" s="156">
        <f t="shared" si="745"/>
        <v>20.953679999999999</v>
      </c>
      <c r="AK626" s="156">
        <f t="shared" si="746"/>
        <v>20.953679999999999</v>
      </c>
      <c r="AL626" s="156">
        <f t="shared" si="747"/>
        <v>73.337879999999998</v>
      </c>
      <c r="AM626" s="157">
        <f t="shared" si="748"/>
        <v>322.42475100000001</v>
      </c>
      <c r="AN626" s="158">
        <f t="shared" si="749"/>
        <v>2200</v>
      </c>
      <c r="AO626" s="159">
        <v>0.2</v>
      </c>
      <c r="AP626" s="160">
        <f t="shared" si="750"/>
        <v>8566943.2261221595</v>
      </c>
      <c r="AQ626" s="161">
        <f t="shared" si="751"/>
        <v>2379.7066420771162</v>
      </c>
      <c r="AR626" s="162">
        <f t="shared" si="752"/>
        <v>475.94132841542324</v>
      </c>
      <c r="AS626" s="163">
        <f t="shared" si="753"/>
        <v>6.7914002342383456E-2</v>
      </c>
      <c r="AT626" s="164">
        <f t="shared" si="754"/>
        <v>6.7914002342383456E-2</v>
      </c>
      <c r="AU626" s="165"/>
      <c r="AV626" s="166"/>
      <c r="AW626" s="167"/>
      <c r="AX626" s="146"/>
      <c r="AY626" s="168"/>
    </row>
    <row r="627" spans="1:52" ht="10.9" customHeight="1" x14ac:dyDescent="0.25">
      <c r="B627" s="140">
        <v>25</v>
      </c>
      <c r="C627" s="342" t="s">
        <v>632</v>
      </c>
      <c r="D627" s="235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>
        <v>114427</v>
      </c>
      <c r="O627" s="236"/>
      <c r="P627" s="237"/>
      <c r="Q627" s="223">
        <f t="shared" si="734"/>
        <v>114427</v>
      </c>
      <c r="R627" s="147">
        <f t="shared" si="735"/>
        <v>12586.97</v>
      </c>
      <c r="S627" s="147">
        <f t="shared" si="736"/>
        <v>34.484849315068494</v>
      </c>
      <c r="T627" s="148">
        <f t="shared" si="737"/>
        <v>7552.1820000000007</v>
      </c>
      <c r="U627" s="199"/>
      <c r="V627" s="150"/>
      <c r="W627" s="249"/>
      <c r="X627" s="249"/>
      <c r="Y627" s="152"/>
      <c r="Z627" s="153"/>
      <c r="AA627" s="153"/>
      <c r="AB627" s="154"/>
      <c r="AC627" s="155">
        <f t="shared" si="738"/>
        <v>4380.2655599999998</v>
      </c>
      <c r="AD627" s="156">
        <f t="shared" si="739"/>
        <v>981.78366000000017</v>
      </c>
      <c r="AE627" s="156">
        <f t="shared" si="740"/>
        <v>662.70397049999997</v>
      </c>
      <c r="AF627" s="156">
        <f t="shared" si="741"/>
        <v>302.08728000000002</v>
      </c>
      <c r="AG627" s="156">
        <f t="shared" si="742"/>
        <v>151.04364000000001</v>
      </c>
      <c r="AH627" s="156">
        <f t="shared" si="743"/>
        <v>151.04364000000001</v>
      </c>
      <c r="AI627" s="156">
        <f t="shared" si="744"/>
        <v>75.521820000000005</v>
      </c>
      <c r="AJ627" s="156">
        <f t="shared" si="745"/>
        <v>151.04364000000001</v>
      </c>
      <c r="AK627" s="156">
        <f t="shared" si="746"/>
        <v>151.04364000000001</v>
      </c>
      <c r="AL627" s="156">
        <f t="shared" si="747"/>
        <v>528.65274000000011</v>
      </c>
      <c r="AM627" s="157">
        <f t="shared" si="748"/>
        <v>2324.1840105000001</v>
      </c>
      <c r="AN627" s="158">
        <f t="shared" si="749"/>
        <v>2200</v>
      </c>
      <c r="AO627" s="159">
        <v>0.2</v>
      </c>
      <c r="AP627" s="160">
        <f t="shared" si="750"/>
        <v>61754416.815892674</v>
      </c>
      <c r="AQ627" s="161">
        <f t="shared" si="751"/>
        <v>17154.00604340167</v>
      </c>
      <c r="AR627" s="162">
        <f t="shared" si="752"/>
        <v>3430.8012086803342</v>
      </c>
      <c r="AS627" s="163">
        <f t="shared" si="753"/>
        <v>0.48955496699205681</v>
      </c>
      <c r="AT627" s="164">
        <f t="shared" si="754"/>
        <v>0.48955496699205681</v>
      </c>
      <c r="AU627" s="165"/>
      <c r="AV627" s="166"/>
      <c r="AW627" s="167"/>
      <c r="AX627" s="146"/>
      <c r="AY627" s="168"/>
    </row>
    <row r="628" spans="1:52" ht="10.9" customHeight="1" x14ac:dyDescent="0.25">
      <c r="B628" s="140">
        <v>26</v>
      </c>
      <c r="C628" s="342" t="s">
        <v>633</v>
      </c>
      <c r="D628" s="235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>
        <v>24639</v>
      </c>
      <c r="O628" s="236"/>
      <c r="P628" s="237"/>
      <c r="Q628" s="223">
        <f t="shared" si="734"/>
        <v>24639</v>
      </c>
      <c r="R628" s="147">
        <f t="shared" si="735"/>
        <v>2710.29</v>
      </c>
      <c r="S628" s="147">
        <f t="shared" si="736"/>
        <v>7.4254520547945209</v>
      </c>
      <c r="T628" s="148">
        <f t="shared" si="737"/>
        <v>1626.174</v>
      </c>
      <c r="U628" s="199"/>
      <c r="V628" s="150"/>
      <c r="W628" s="249"/>
      <c r="X628" s="249"/>
      <c r="Y628" s="152"/>
      <c r="Z628" s="153"/>
      <c r="AA628" s="153"/>
      <c r="AB628" s="154"/>
      <c r="AC628" s="155">
        <f t="shared" si="738"/>
        <v>943.1809199999999</v>
      </c>
      <c r="AD628" s="156">
        <f t="shared" si="739"/>
        <v>211.40262000000001</v>
      </c>
      <c r="AE628" s="156">
        <f t="shared" si="740"/>
        <v>142.69676849999999</v>
      </c>
      <c r="AF628" s="156">
        <f t="shared" si="741"/>
        <v>65.046959999999999</v>
      </c>
      <c r="AG628" s="156">
        <f t="shared" si="742"/>
        <v>32.523479999999999</v>
      </c>
      <c r="AH628" s="156">
        <f t="shared" si="743"/>
        <v>32.523479999999999</v>
      </c>
      <c r="AI628" s="156">
        <f t="shared" si="744"/>
        <v>16.26174</v>
      </c>
      <c r="AJ628" s="156">
        <f t="shared" si="745"/>
        <v>32.523479999999999</v>
      </c>
      <c r="AK628" s="156">
        <f t="shared" si="746"/>
        <v>32.523479999999999</v>
      </c>
      <c r="AL628" s="156">
        <f t="shared" si="747"/>
        <v>113.83218000000001</v>
      </c>
      <c r="AM628" s="157">
        <f t="shared" si="748"/>
        <v>500.45504850000003</v>
      </c>
      <c r="AN628" s="158">
        <f t="shared" si="749"/>
        <v>2200</v>
      </c>
      <c r="AO628" s="159">
        <v>0.2</v>
      </c>
      <c r="AP628" s="160">
        <f t="shared" si="750"/>
        <v>13297273.160414759</v>
      </c>
      <c r="AQ628" s="161">
        <f t="shared" si="751"/>
        <v>3693.6872844990589</v>
      </c>
      <c r="AR628" s="162">
        <f t="shared" si="752"/>
        <v>738.73745689981183</v>
      </c>
      <c r="AS628" s="163">
        <f t="shared" si="753"/>
        <v>0.1054134499000873</v>
      </c>
      <c r="AT628" s="164">
        <f t="shared" si="754"/>
        <v>0.1054134499000873</v>
      </c>
      <c r="AU628" s="165"/>
      <c r="AV628" s="166"/>
      <c r="AW628" s="167"/>
      <c r="AX628" s="146"/>
      <c r="AY628" s="168"/>
    </row>
    <row r="629" spans="1:52" ht="10.9" customHeight="1" x14ac:dyDescent="0.25">
      <c r="B629" s="140">
        <v>27</v>
      </c>
      <c r="C629" s="342" t="s">
        <v>634</v>
      </c>
      <c r="D629" s="235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>
        <v>164512</v>
      </c>
      <c r="O629" s="236"/>
      <c r="P629" s="237"/>
      <c r="Q629" s="223">
        <f>MAX(D629:P629)</f>
        <v>164512</v>
      </c>
      <c r="R629" s="147">
        <f t="shared" si="735"/>
        <v>18096.32</v>
      </c>
      <c r="S629" s="147">
        <f t="shared" si="736"/>
        <v>49.578958904109591</v>
      </c>
      <c r="T629" s="148">
        <f t="shared" si="737"/>
        <v>10857.791999999999</v>
      </c>
      <c r="U629" s="199"/>
      <c r="V629" s="150"/>
      <c r="W629" s="249"/>
      <c r="X629" s="249"/>
      <c r="Y629" s="152"/>
      <c r="Z629" s="153"/>
      <c r="AA629" s="153"/>
      <c r="AB629" s="154"/>
      <c r="AC629" s="155">
        <f t="shared" si="738"/>
        <v>6297.5193599999993</v>
      </c>
      <c r="AD629" s="156">
        <f t="shared" si="739"/>
        <v>1411.51296</v>
      </c>
      <c r="AE629" s="156">
        <f t="shared" si="740"/>
        <v>952.7712479999999</v>
      </c>
      <c r="AF629" s="156">
        <f t="shared" si="741"/>
        <v>434.31167999999997</v>
      </c>
      <c r="AG629" s="156">
        <f t="shared" si="742"/>
        <v>217.15583999999998</v>
      </c>
      <c r="AH629" s="156">
        <f t="shared" si="743"/>
        <v>217.15583999999998</v>
      </c>
      <c r="AI629" s="156">
        <f t="shared" si="744"/>
        <v>108.57791999999999</v>
      </c>
      <c r="AJ629" s="156">
        <f t="shared" si="745"/>
        <v>217.15583999999998</v>
      </c>
      <c r="AK629" s="156">
        <f t="shared" si="746"/>
        <v>217.15583999999998</v>
      </c>
      <c r="AL629" s="156">
        <f t="shared" si="747"/>
        <v>760.04543999999999</v>
      </c>
      <c r="AM629" s="157">
        <f t="shared" si="748"/>
        <v>3341.4854879999998</v>
      </c>
      <c r="AN629" s="158">
        <f t="shared" si="749"/>
        <v>2200</v>
      </c>
      <c r="AO629" s="159">
        <v>0.2</v>
      </c>
      <c r="AP629" s="160">
        <f t="shared" si="750"/>
        <v>88784488.094734073</v>
      </c>
      <c r="AQ629" s="161">
        <f t="shared" si="751"/>
        <v>24662.359777081423</v>
      </c>
      <c r="AR629" s="162">
        <f t="shared" si="752"/>
        <v>4932.4719554162848</v>
      </c>
      <c r="AS629" s="163">
        <f t="shared" si="753"/>
        <v>0.70383446852401321</v>
      </c>
      <c r="AT629" s="164">
        <f t="shared" si="754"/>
        <v>0.70383446852401321</v>
      </c>
      <c r="AU629" s="165"/>
      <c r="AV629" s="166"/>
      <c r="AW629" s="167"/>
      <c r="AX629" s="146"/>
      <c r="AY629" s="168"/>
    </row>
    <row r="630" spans="1:52" ht="10.9" customHeight="1" x14ac:dyDescent="0.25">
      <c r="B630" s="140">
        <v>28</v>
      </c>
      <c r="C630" s="342" t="s">
        <v>635</v>
      </c>
      <c r="D630" s="235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>
        <v>50763</v>
      </c>
      <c r="O630" s="236"/>
      <c r="P630" s="237"/>
      <c r="Q630" s="223">
        <f>MAX(D630:P630)</f>
        <v>50763</v>
      </c>
      <c r="R630" s="147">
        <f t="shared" si="735"/>
        <v>5583.93</v>
      </c>
      <c r="S630" s="147">
        <f t="shared" si="736"/>
        <v>15.298438356164384</v>
      </c>
      <c r="T630" s="148">
        <f t="shared" si="737"/>
        <v>3350.3580000000002</v>
      </c>
      <c r="U630" s="199"/>
      <c r="V630" s="150"/>
      <c r="W630" s="249"/>
      <c r="X630" s="249"/>
      <c r="Y630" s="152"/>
      <c r="Z630" s="153"/>
      <c r="AA630" s="153"/>
      <c r="AB630" s="154"/>
      <c r="AC630" s="155">
        <f t="shared" si="738"/>
        <v>1943.2076399999999</v>
      </c>
      <c r="AD630" s="156">
        <f t="shared" si="739"/>
        <v>435.54654000000005</v>
      </c>
      <c r="AE630" s="156">
        <f t="shared" si="740"/>
        <v>293.99391450000002</v>
      </c>
      <c r="AF630" s="156">
        <f t="shared" si="741"/>
        <v>134.01432</v>
      </c>
      <c r="AG630" s="156">
        <f t="shared" si="742"/>
        <v>67.007159999999999</v>
      </c>
      <c r="AH630" s="156">
        <f t="shared" si="743"/>
        <v>67.007159999999999</v>
      </c>
      <c r="AI630" s="156">
        <f t="shared" si="744"/>
        <v>33.503579999999999</v>
      </c>
      <c r="AJ630" s="156">
        <f t="shared" si="745"/>
        <v>67.007159999999999</v>
      </c>
      <c r="AK630" s="156">
        <f t="shared" si="746"/>
        <v>67.007159999999999</v>
      </c>
      <c r="AL630" s="156">
        <f t="shared" si="747"/>
        <v>234.52506000000002</v>
      </c>
      <c r="AM630" s="157">
        <f t="shared" si="748"/>
        <v>1031.0726745000002</v>
      </c>
      <c r="AN630" s="158">
        <f t="shared" si="749"/>
        <v>2200</v>
      </c>
      <c r="AO630" s="159">
        <v>0.2</v>
      </c>
      <c r="AP630" s="160">
        <f t="shared" si="750"/>
        <v>27395977.005646918</v>
      </c>
      <c r="AQ630" s="161">
        <f t="shared" si="751"/>
        <v>7609.9942214791881</v>
      </c>
      <c r="AR630" s="162">
        <f t="shared" si="752"/>
        <v>1521.9988442958377</v>
      </c>
      <c r="AS630" s="163">
        <f t="shared" si="753"/>
        <v>0.21718020038468003</v>
      </c>
      <c r="AT630" s="164">
        <f t="shared" si="754"/>
        <v>0.21718020038468003</v>
      </c>
      <c r="AU630" s="165"/>
      <c r="AV630" s="166"/>
      <c r="AW630" s="167"/>
      <c r="AX630" s="146"/>
      <c r="AY630" s="168"/>
    </row>
    <row r="631" spans="1:52" ht="10.9" customHeight="1" x14ac:dyDescent="0.25">
      <c r="B631" s="140">
        <v>29</v>
      </c>
      <c r="C631" s="342" t="s">
        <v>636</v>
      </c>
      <c r="D631" s="235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>
        <v>256705</v>
      </c>
      <c r="O631" s="236"/>
      <c r="P631" s="237"/>
      <c r="Q631" s="223">
        <f>MAX(D631:P631)</f>
        <v>256705</v>
      </c>
      <c r="R631" s="147">
        <f t="shared" si="735"/>
        <v>28237.55</v>
      </c>
      <c r="S631" s="147">
        <f t="shared" si="736"/>
        <v>77.363150684931512</v>
      </c>
      <c r="T631" s="148">
        <f t="shared" si="737"/>
        <v>16942.530000000002</v>
      </c>
      <c r="U631" s="199"/>
      <c r="V631" s="150"/>
      <c r="W631" s="249"/>
      <c r="X631" s="249"/>
      <c r="Y631" s="152"/>
      <c r="Z631" s="153"/>
      <c r="AA631" s="153"/>
      <c r="AB631" s="154"/>
      <c r="AC631" s="155">
        <f t="shared" si="738"/>
        <v>9826.6674000000003</v>
      </c>
      <c r="AD631" s="156">
        <f t="shared" si="739"/>
        <v>2202.5289000000002</v>
      </c>
      <c r="AE631" s="156">
        <f t="shared" si="740"/>
        <v>1486.7070075000001</v>
      </c>
      <c r="AF631" s="156">
        <f t="shared" si="741"/>
        <v>677.70120000000009</v>
      </c>
      <c r="AG631" s="156">
        <f t="shared" si="742"/>
        <v>338.85060000000004</v>
      </c>
      <c r="AH631" s="156">
        <f t="shared" si="743"/>
        <v>338.85060000000004</v>
      </c>
      <c r="AI631" s="156">
        <f t="shared" si="744"/>
        <v>169.42530000000002</v>
      </c>
      <c r="AJ631" s="156">
        <f t="shared" si="745"/>
        <v>338.85060000000004</v>
      </c>
      <c r="AK631" s="156">
        <f t="shared" si="746"/>
        <v>338.85060000000004</v>
      </c>
      <c r="AL631" s="156">
        <f t="shared" si="747"/>
        <v>1185.9771000000003</v>
      </c>
      <c r="AM631" s="157">
        <f t="shared" si="748"/>
        <v>5214.0636075000002</v>
      </c>
      <c r="AN631" s="158">
        <f t="shared" si="749"/>
        <v>2200</v>
      </c>
      <c r="AO631" s="159">
        <v>0.2</v>
      </c>
      <c r="AP631" s="160">
        <f t="shared" si="750"/>
        <v>138539571.68084222</v>
      </c>
      <c r="AQ631" s="161">
        <f t="shared" si="751"/>
        <v>38483.217434446655</v>
      </c>
      <c r="AR631" s="162">
        <f t="shared" si="752"/>
        <v>7696.6434868893311</v>
      </c>
      <c r="AS631" s="163">
        <f t="shared" si="753"/>
        <v>1.0982653377410576</v>
      </c>
      <c r="AT631" s="164">
        <f t="shared" si="754"/>
        <v>1.0982653377410576</v>
      </c>
      <c r="AU631" s="165"/>
      <c r="AV631" s="166"/>
      <c r="AW631" s="167"/>
      <c r="AX631" s="146"/>
      <c r="AY631" s="168"/>
    </row>
    <row r="632" spans="1:52" s="263" customFormat="1" ht="17.25" customHeight="1" x14ac:dyDescent="0.25">
      <c r="A632" s="173"/>
      <c r="B632" s="365"/>
      <c r="C632" s="352" t="s">
        <v>637</v>
      </c>
      <c r="D632" s="240">
        <f>SUM(D603:D631)</f>
        <v>0</v>
      </c>
      <c r="E632" s="240">
        <f t="shared" ref="E632:P632" si="755">SUM(E603:E631)</f>
        <v>0</v>
      </c>
      <c r="F632" s="240">
        <f t="shared" si="755"/>
        <v>0</v>
      </c>
      <c r="G632" s="240">
        <f t="shared" si="755"/>
        <v>0</v>
      </c>
      <c r="H632" s="240">
        <f t="shared" si="755"/>
        <v>0</v>
      </c>
      <c r="I632" s="240">
        <f t="shared" si="755"/>
        <v>0</v>
      </c>
      <c r="J632" s="240">
        <f t="shared" si="755"/>
        <v>0</v>
      </c>
      <c r="K632" s="240">
        <f t="shared" si="755"/>
        <v>0</v>
      </c>
      <c r="L632" s="240">
        <f t="shared" si="755"/>
        <v>0</v>
      </c>
      <c r="M632" s="240">
        <f t="shared" si="755"/>
        <v>0</v>
      </c>
      <c r="N632" s="240">
        <f t="shared" si="755"/>
        <v>2832381</v>
      </c>
      <c r="O632" s="240">
        <f t="shared" si="755"/>
        <v>0</v>
      </c>
      <c r="P632" s="240">
        <f t="shared" si="755"/>
        <v>0</v>
      </c>
      <c r="Q632" s="304">
        <f>MAX(D632:P632)</f>
        <v>2832381</v>
      </c>
      <c r="R632" s="304">
        <f>MAX(E632:Q632)</f>
        <v>2832381</v>
      </c>
      <c r="S632" s="304">
        <f>MAX(F632:R632)</f>
        <v>2832381</v>
      </c>
      <c r="T632" s="304">
        <f>MAX(G632:S632)</f>
        <v>2832381</v>
      </c>
      <c r="U632" s="199"/>
      <c r="V632" s="179"/>
      <c r="W632" s="180"/>
      <c r="X632" s="180"/>
      <c r="Y632" s="227"/>
      <c r="Z632" s="181"/>
      <c r="AA632" s="181"/>
      <c r="AB632" s="182"/>
      <c r="AC632" s="240">
        <f t="shared" ref="AC632:AM632" si="756">SUM(AC603:AC631)</f>
        <v>108423.54467999996</v>
      </c>
      <c r="AD632" s="244">
        <f t="shared" si="756"/>
        <v>24301.828979999998</v>
      </c>
      <c r="AE632" s="244">
        <f t="shared" si="756"/>
        <v>16403.734561500001</v>
      </c>
      <c r="AF632" s="244">
        <f t="shared" si="756"/>
        <v>7477.4858400000003</v>
      </c>
      <c r="AG632" s="244">
        <f t="shared" si="756"/>
        <v>3738.7429200000001</v>
      </c>
      <c r="AH632" s="244">
        <f t="shared" si="756"/>
        <v>3738.7429200000001</v>
      </c>
      <c r="AI632" s="244">
        <f t="shared" si="756"/>
        <v>1869.3714600000001</v>
      </c>
      <c r="AJ632" s="244">
        <f t="shared" si="756"/>
        <v>3738.7429200000001</v>
      </c>
      <c r="AK632" s="244">
        <f t="shared" si="756"/>
        <v>3738.7429200000001</v>
      </c>
      <c r="AL632" s="244">
        <f t="shared" si="756"/>
        <v>13085.60022</v>
      </c>
      <c r="AM632" s="245">
        <f t="shared" si="756"/>
        <v>57529.906681499982</v>
      </c>
      <c r="AN632" s="261"/>
      <c r="AO632" s="262"/>
      <c r="AP632" s="184">
        <f>SUM(AP603:AP631)</f>
        <v>1528590602.3527222</v>
      </c>
      <c r="AQ632" s="184">
        <f>SUM(AQ603:AQ631)</f>
        <v>424608.53462221392</v>
      </c>
      <c r="AR632" s="184">
        <f>SUM(AR603:AR631)</f>
        <v>84921.706924442784</v>
      </c>
      <c r="AS632" s="185">
        <f>SUM(AS603:AS631)</f>
        <v>12.117823476661357</v>
      </c>
      <c r="AT632" s="186">
        <f>SUM(AT603:AT631)</f>
        <v>12.117823476661357</v>
      </c>
      <c r="AU632" s="187"/>
      <c r="AV632" s="246">
        <f>SUM(AV603:AV631)</f>
        <v>0</v>
      </c>
      <c r="AW632" s="246"/>
      <c r="AX632" s="185">
        <f>SUM(AX603:AX631)</f>
        <v>0</v>
      </c>
      <c r="AY632" s="189"/>
    </row>
    <row r="633" spans="1:52" s="139" customFormat="1" ht="10.9" customHeight="1" x14ac:dyDescent="0.25">
      <c r="B633" s="247"/>
      <c r="C633" s="152"/>
      <c r="D633" s="247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248"/>
      <c r="Q633" s="249"/>
      <c r="R633" s="250"/>
      <c r="S633" s="250"/>
      <c r="T633" s="251"/>
      <c r="U633" s="199"/>
      <c r="V633" s="179"/>
      <c r="W633" s="249"/>
      <c r="X633" s="249"/>
      <c r="Y633" s="152"/>
      <c r="Z633" s="153"/>
      <c r="AA633" s="153"/>
      <c r="AB633" s="154"/>
      <c r="AC633" s="247"/>
      <c r="AD633" s="252"/>
      <c r="AE633" s="252"/>
      <c r="AF633" s="252"/>
      <c r="AG633" s="252"/>
      <c r="AH633" s="252"/>
      <c r="AI633" s="252"/>
      <c r="AJ633" s="252"/>
      <c r="AK633" s="252"/>
      <c r="AL633" s="252"/>
      <c r="AM633" s="214"/>
      <c r="AN633" s="203"/>
      <c r="AO633" s="204"/>
      <c r="AP633" s="203"/>
      <c r="AQ633" s="205"/>
      <c r="AR633" s="206"/>
      <c r="AS633" s="253"/>
      <c r="AT633" s="254"/>
      <c r="AU633" s="255"/>
      <c r="AV633" s="256"/>
      <c r="AW633" s="257"/>
      <c r="AX633" s="214"/>
      <c r="AY633" s="212"/>
    </row>
    <row r="634" spans="1:52" s="289" customFormat="1" ht="20.85" customHeight="1" x14ac:dyDescent="0.25">
      <c r="A634" s="269"/>
      <c r="B634" s="272"/>
      <c r="C634" s="356" t="s">
        <v>637</v>
      </c>
      <c r="D634" s="272">
        <f>D600+D632</f>
        <v>0</v>
      </c>
      <c r="E634" s="272">
        <f t="shared" ref="E634:T634" si="757">E600+E632</f>
        <v>0</v>
      </c>
      <c r="F634" s="272">
        <f t="shared" si="757"/>
        <v>0</v>
      </c>
      <c r="G634" s="272">
        <f t="shared" si="757"/>
        <v>0</v>
      </c>
      <c r="H634" s="272">
        <f t="shared" si="757"/>
        <v>0</v>
      </c>
      <c r="I634" s="272">
        <f t="shared" si="757"/>
        <v>0</v>
      </c>
      <c r="J634" s="272">
        <f t="shared" si="757"/>
        <v>0</v>
      </c>
      <c r="K634" s="272">
        <f t="shared" si="757"/>
        <v>0</v>
      </c>
      <c r="L634" s="272">
        <f t="shared" si="757"/>
        <v>729962</v>
      </c>
      <c r="M634" s="272">
        <f t="shared" si="757"/>
        <v>743860</v>
      </c>
      <c r="N634" s="272">
        <f t="shared" si="757"/>
        <v>3592803</v>
      </c>
      <c r="O634" s="272">
        <f t="shared" si="757"/>
        <v>789013</v>
      </c>
      <c r="P634" s="272">
        <f t="shared" si="757"/>
        <v>0</v>
      </c>
      <c r="Q634" s="272">
        <f t="shared" si="757"/>
        <v>3621394</v>
      </c>
      <c r="R634" s="272">
        <f t="shared" si="757"/>
        <v>2919172.43</v>
      </c>
      <c r="S634" s="272">
        <f t="shared" si="757"/>
        <v>2832618.7847397262</v>
      </c>
      <c r="T634" s="272">
        <f t="shared" si="757"/>
        <v>2884455.858</v>
      </c>
      <c r="U634" s="276"/>
      <c r="V634" s="277"/>
      <c r="W634" s="278"/>
      <c r="X634" s="278"/>
      <c r="Y634" s="279"/>
      <c r="Z634" s="280"/>
      <c r="AA634" s="280"/>
      <c r="AB634" s="281"/>
      <c r="AC634" s="272">
        <f t="shared" ref="AC634:AM634" si="758">AC600+AC632</f>
        <v>138626.96231999996</v>
      </c>
      <c r="AD634" s="272">
        <f t="shared" si="758"/>
        <v>31071.560519999999</v>
      </c>
      <c r="AE634" s="272">
        <f t="shared" si="758"/>
        <v>20973.303351000002</v>
      </c>
      <c r="AF634" s="272">
        <f t="shared" si="758"/>
        <v>9560.4801599999992</v>
      </c>
      <c r="AG634" s="272">
        <f t="shared" si="758"/>
        <v>4780.2400799999996</v>
      </c>
      <c r="AH634" s="272">
        <f t="shared" si="758"/>
        <v>4780.2400799999996</v>
      </c>
      <c r="AI634" s="272">
        <f t="shared" si="758"/>
        <v>2390.1200399999998</v>
      </c>
      <c r="AJ634" s="272">
        <f t="shared" si="758"/>
        <v>4780.2400799999996</v>
      </c>
      <c r="AK634" s="272">
        <f t="shared" si="758"/>
        <v>4780.2400799999996</v>
      </c>
      <c r="AL634" s="272">
        <f t="shared" si="758"/>
        <v>16730.84028</v>
      </c>
      <c r="AM634" s="272">
        <f t="shared" si="758"/>
        <v>73555.944230999972</v>
      </c>
      <c r="AN634" s="284"/>
      <c r="AO634" s="285"/>
      <c r="AP634" s="272">
        <f t="shared" ref="AP634:AX634" si="759">AP600+AP632</f>
        <v>1788545573.5734932</v>
      </c>
      <c r="AQ634" s="272">
        <f t="shared" si="759"/>
        <v>496818.25462698308</v>
      </c>
      <c r="AR634" s="272">
        <f t="shared" si="759"/>
        <v>99363.650925396607</v>
      </c>
      <c r="AS634" s="272">
        <f t="shared" si="759"/>
        <v>14.178603157162758</v>
      </c>
      <c r="AT634" s="272">
        <f t="shared" si="759"/>
        <v>14.178603157162758</v>
      </c>
      <c r="AU634" s="272">
        <f t="shared" si="759"/>
        <v>0</v>
      </c>
      <c r="AV634" s="272">
        <f t="shared" si="759"/>
        <v>0</v>
      </c>
      <c r="AW634" s="272"/>
      <c r="AX634" s="272">
        <f t="shared" si="759"/>
        <v>0</v>
      </c>
      <c r="AY634" s="288"/>
    </row>
    <row r="635" spans="1:52" s="139" customFormat="1" ht="10.9" customHeight="1" x14ac:dyDescent="0.25">
      <c r="Q635" s="310"/>
      <c r="R635" s="310"/>
      <c r="S635" s="310"/>
      <c r="T635" s="310"/>
      <c r="U635" s="311"/>
      <c r="V635" s="312"/>
      <c r="W635" s="310"/>
      <c r="X635" s="310"/>
      <c r="Z635" s="86"/>
      <c r="AA635" s="86"/>
      <c r="AB635" s="313"/>
      <c r="AD635" s="314"/>
      <c r="AE635" s="314"/>
      <c r="AF635" s="314"/>
      <c r="AG635" s="314"/>
      <c r="AH635" s="314"/>
      <c r="AI635" s="314"/>
      <c r="AJ635" s="314"/>
      <c r="AK635" s="314"/>
      <c r="AL635" s="314"/>
      <c r="AM635" s="315"/>
      <c r="AN635" s="310"/>
      <c r="AO635" s="316"/>
      <c r="AP635" s="310"/>
      <c r="AQ635" s="317"/>
      <c r="AR635" s="317"/>
      <c r="AS635" s="318"/>
      <c r="AT635" s="318"/>
      <c r="AU635" s="319"/>
      <c r="AV635" s="310"/>
      <c r="AW635" s="310"/>
      <c r="AX635" s="310"/>
      <c r="AY635" s="310"/>
    </row>
    <row r="636" spans="1:52" s="289" customFormat="1" ht="32.25" customHeight="1" thickBot="1" x14ac:dyDescent="0.3">
      <c r="A636" s="269"/>
      <c r="B636" s="272"/>
      <c r="C636" s="366" t="s">
        <v>638</v>
      </c>
      <c r="D636" s="367">
        <f t="shared" ref="D636:T636" si="760">D193+D261+D416+D456+D552+D582+D634</f>
        <v>830184</v>
      </c>
      <c r="E636" s="367">
        <f t="shared" si="760"/>
        <v>0</v>
      </c>
      <c r="F636" s="367">
        <f t="shared" si="760"/>
        <v>0</v>
      </c>
      <c r="G636" s="367">
        <f t="shared" si="760"/>
        <v>0</v>
      </c>
      <c r="H636" s="367">
        <f t="shared" si="760"/>
        <v>0</v>
      </c>
      <c r="I636" s="367">
        <f t="shared" si="760"/>
        <v>71670408</v>
      </c>
      <c r="J636" s="367">
        <f t="shared" si="760"/>
        <v>73829090</v>
      </c>
      <c r="K636" s="367">
        <f t="shared" si="760"/>
        <v>78874695</v>
      </c>
      <c r="L636" s="367">
        <f t="shared" si="760"/>
        <v>81918814</v>
      </c>
      <c r="M636" s="367">
        <f t="shared" si="760"/>
        <v>84585034</v>
      </c>
      <c r="N636" s="367">
        <f t="shared" si="760"/>
        <v>118334425</v>
      </c>
      <c r="O636" s="367">
        <f t="shared" si="760"/>
        <v>164124842</v>
      </c>
      <c r="P636" s="367">
        <f t="shared" si="760"/>
        <v>2671903</v>
      </c>
      <c r="Q636" s="368">
        <f t="shared" si="760"/>
        <v>244617234</v>
      </c>
      <c r="R636" s="368">
        <f t="shared" si="760"/>
        <v>44835588.644000001</v>
      </c>
      <c r="S636" s="368">
        <f t="shared" si="760"/>
        <v>5186499.1175452061</v>
      </c>
      <c r="T636" s="368">
        <f t="shared" si="760"/>
        <v>36628342.927000001</v>
      </c>
      <c r="U636" s="276"/>
      <c r="V636" s="277"/>
      <c r="W636" s="278"/>
      <c r="X636" s="278"/>
      <c r="Y636" s="279"/>
      <c r="Z636" s="280"/>
      <c r="AA636" s="280"/>
      <c r="AB636" s="281"/>
      <c r="AC636" s="369">
        <f t="shared" ref="AC636:AM636" si="761">AC193+AC261+AC416+AC456+AC552+AC582+AC634</f>
        <v>18499755.342968352</v>
      </c>
      <c r="AD636" s="369">
        <f t="shared" si="761"/>
        <v>4146496.8872170458</v>
      </c>
      <c r="AE636" s="369">
        <f t="shared" si="761"/>
        <v>2798885.3988715052</v>
      </c>
      <c r="AF636" s="369">
        <f t="shared" si="761"/>
        <v>1275845.196066783</v>
      </c>
      <c r="AG636" s="369">
        <f t="shared" si="761"/>
        <v>637922.59803339152</v>
      </c>
      <c r="AH636" s="369">
        <f t="shared" si="761"/>
        <v>637922.59803339152</v>
      </c>
      <c r="AI636" s="369">
        <f t="shared" si="761"/>
        <v>318961.29901669576</v>
      </c>
      <c r="AJ636" s="369">
        <f t="shared" si="761"/>
        <v>637922.59803339152</v>
      </c>
      <c r="AK636" s="369">
        <f t="shared" si="761"/>
        <v>637922.59803339152</v>
      </c>
      <c r="AL636" s="369">
        <f t="shared" si="761"/>
        <v>2232729.0931168711</v>
      </c>
      <c r="AM636" s="369">
        <f t="shared" si="761"/>
        <v>9816033.9772388134</v>
      </c>
      <c r="AN636" s="284"/>
      <c r="AO636" s="285"/>
      <c r="AP636" s="370">
        <f>AP193+AP261+AP416+AP456+AP552+AP582+AP634</f>
        <v>260649740105.50385</v>
      </c>
      <c r="AQ636" s="370">
        <f t="shared" ref="AQ636:AV636" si="762">AQ193+AQ261+AQ416+AQ456+AQ552+AQ582+AQ634</f>
        <v>72402711.377078652</v>
      </c>
      <c r="AR636" s="370">
        <f t="shared" si="762"/>
        <v>14480542.275415726</v>
      </c>
      <c r="AS636" s="368">
        <f t="shared" si="762"/>
        <v>2066.2874251449389</v>
      </c>
      <c r="AT636" s="368">
        <f t="shared" si="762"/>
        <v>2066.2874251449389</v>
      </c>
      <c r="AU636" s="368">
        <f t="shared" si="762"/>
        <v>0</v>
      </c>
      <c r="AV636" s="368">
        <f t="shared" si="762"/>
        <v>0</v>
      </c>
      <c r="AW636" s="368"/>
      <c r="AX636" s="368">
        <f>AX193+AX261+AX416+AX456+AX552+AX582+AX634</f>
        <v>0</v>
      </c>
      <c r="AY636" s="288"/>
    </row>
    <row r="637" spans="1:52" s="139" customFormat="1" ht="10.9" customHeight="1" x14ac:dyDescent="0.25">
      <c r="Q637" s="310"/>
      <c r="R637" s="310"/>
      <c r="S637" s="310"/>
      <c r="T637" s="310"/>
      <c r="U637" s="311"/>
      <c r="V637" s="312"/>
      <c r="W637" s="310"/>
      <c r="X637" s="310"/>
      <c r="Z637" s="86"/>
      <c r="AA637" s="86"/>
      <c r="AB637" s="313"/>
      <c r="AD637" s="314"/>
      <c r="AE637" s="314"/>
      <c r="AF637" s="314"/>
      <c r="AG637" s="314"/>
      <c r="AH637" s="314"/>
      <c r="AI637" s="314"/>
      <c r="AJ637" s="314"/>
      <c r="AK637" s="314"/>
      <c r="AL637" s="314"/>
      <c r="AM637" s="315"/>
      <c r="AN637" s="310"/>
      <c r="AO637" s="316"/>
      <c r="AP637" s="310"/>
      <c r="AQ637" s="317"/>
      <c r="AR637" s="317"/>
      <c r="AS637" s="318"/>
      <c r="AT637" s="318"/>
      <c r="AU637" s="319"/>
      <c r="AV637" s="310"/>
      <c r="AW637" s="310"/>
      <c r="AX637" s="310"/>
      <c r="AY637" s="310"/>
    </row>
    <row r="638" spans="1:52" s="139" customFormat="1" ht="10.9" hidden="1" customHeight="1" thickBot="1" x14ac:dyDescent="0.3">
      <c r="Q638" s="310"/>
      <c r="R638" s="310"/>
      <c r="S638" s="310"/>
      <c r="T638" s="310"/>
      <c r="U638" s="311"/>
      <c r="V638" s="312"/>
      <c r="W638" s="310"/>
      <c r="X638" s="310"/>
      <c r="Z638" s="86"/>
      <c r="AA638" s="86"/>
      <c r="AB638" s="313"/>
      <c r="AD638" s="314"/>
      <c r="AE638" s="314"/>
      <c r="AF638" s="314"/>
      <c r="AG638" s="314"/>
      <c r="AH638" s="314"/>
      <c r="AI638" s="314"/>
      <c r="AJ638" s="314"/>
      <c r="AK638" s="314"/>
      <c r="AL638" s="314"/>
      <c r="AM638" s="315"/>
      <c r="AN638" s="310"/>
      <c r="AO638" s="316"/>
      <c r="AP638" s="310"/>
      <c r="AQ638" s="317"/>
      <c r="AR638" s="317"/>
      <c r="AS638" s="318"/>
      <c r="AT638" s="318"/>
      <c r="AU638" s="319"/>
      <c r="AV638" s="310"/>
      <c r="AW638" s="310"/>
      <c r="AX638" s="310"/>
      <c r="AY638" s="310"/>
    </row>
    <row r="639" spans="1:52" s="86" customFormat="1" ht="26.45" hidden="1" customHeight="1" thickBot="1" x14ac:dyDescent="0.3">
      <c r="A639" s="61"/>
      <c r="B639" s="12" t="s">
        <v>639</v>
      </c>
      <c r="C639" s="13"/>
      <c r="D639" s="371"/>
      <c r="E639" s="372"/>
      <c r="F639" s="372"/>
      <c r="G639" s="372"/>
      <c r="H639" s="372"/>
      <c r="I639" s="372"/>
      <c r="J639" s="372"/>
      <c r="K639" s="372"/>
      <c r="L639" s="372"/>
      <c r="M639" s="372"/>
      <c r="N639" s="372"/>
      <c r="O639" s="372"/>
      <c r="P639" s="372"/>
      <c r="Q639" s="373"/>
      <c r="R639" s="373"/>
      <c r="S639" s="373"/>
      <c r="T639" s="374"/>
      <c r="U639" s="375"/>
      <c r="V639" s="376"/>
      <c r="W639" s="377"/>
      <c r="X639" s="377"/>
      <c r="Y639" s="378"/>
      <c r="Z639" s="379"/>
      <c r="AA639" s="379"/>
      <c r="AB639" s="380"/>
      <c r="AC639" s="371"/>
      <c r="AD639" s="372"/>
      <c r="AE639" s="372"/>
      <c r="AF639" s="372"/>
      <c r="AG639" s="372"/>
      <c r="AH639" s="372"/>
      <c r="AI639" s="372"/>
      <c r="AJ639" s="372"/>
      <c r="AK639" s="372"/>
      <c r="AL639" s="372"/>
      <c r="AM639" s="378"/>
      <c r="AN639" s="381"/>
      <c r="AO639" s="382"/>
      <c r="AP639" s="383"/>
      <c r="AQ639" s="384"/>
      <c r="AR639" s="385"/>
      <c r="AS639" s="386"/>
      <c r="AT639" s="387"/>
      <c r="AU639" s="388"/>
      <c r="AV639" s="389"/>
      <c r="AW639" s="390"/>
      <c r="AX639" s="391"/>
      <c r="AY639" s="392"/>
    </row>
    <row r="640" spans="1:52" s="109" customFormat="1" ht="22.5" hidden="1" customHeight="1" x14ac:dyDescent="0.25">
      <c r="B640" s="110" t="s">
        <v>61</v>
      </c>
      <c r="C640" s="111"/>
      <c r="D640" s="393"/>
      <c r="E640" s="394"/>
      <c r="F640" s="394"/>
      <c r="G640" s="394"/>
      <c r="H640" s="394"/>
      <c r="I640" s="394"/>
      <c r="J640" s="394"/>
      <c r="K640" s="394"/>
      <c r="L640" s="394"/>
      <c r="M640" s="394"/>
      <c r="N640" s="394"/>
      <c r="O640" s="394"/>
      <c r="P640" s="394"/>
      <c r="Q640" s="394"/>
      <c r="R640" s="394"/>
      <c r="S640" s="395"/>
      <c r="T640" s="394"/>
      <c r="U640" s="394"/>
      <c r="V640" s="394"/>
      <c r="W640" s="394"/>
      <c r="X640" s="394"/>
      <c r="Y640" s="394"/>
      <c r="Z640" s="394"/>
      <c r="AA640" s="396"/>
      <c r="AB640" s="397"/>
      <c r="AC640" s="398"/>
      <c r="AD640" s="398"/>
      <c r="AE640" s="398"/>
      <c r="AF640" s="398"/>
      <c r="AG640" s="398"/>
      <c r="AH640" s="398"/>
      <c r="AI640" s="398"/>
      <c r="AJ640" s="398"/>
      <c r="AK640" s="398"/>
      <c r="AL640" s="398"/>
      <c r="AM640" s="398"/>
      <c r="AN640" s="399"/>
      <c r="AO640" s="394"/>
      <c r="AP640" s="394"/>
      <c r="AQ640" s="394"/>
      <c r="AR640" s="394"/>
      <c r="AS640" s="394"/>
      <c r="AT640" s="394"/>
      <c r="AU640" s="394"/>
      <c r="AV640" s="394"/>
      <c r="AW640" s="394"/>
      <c r="AX640" s="394"/>
      <c r="AY640" s="394"/>
      <c r="AZ640" s="119"/>
    </row>
    <row r="641" spans="1:51" s="139" customFormat="1" ht="15" hidden="1" customHeight="1" x14ac:dyDescent="0.25">
      <c r="A641" s="1"/>
      <c r="B641" s="120"/>
      <c r="C641" s="121" t="s">
        <v>62</v>
      </c>
      <c r="D641" s="122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4"/>
      <c r="R641" s="124"/>
      <c r="S641" s="124"/>
      <c r="T641" s="47"/>
      <c r="U641" s="66"/>
      <c r="V641" s="67"/>
      <c r="W641" s="123"/>
      <c r="X641" s="123"/>
      <c r="Y641" s="125"/>
      <c r="Z641" s="126"/>
      <c r="AA641" s="126"/>
      <c r="AB641" s="127"/>
      <c r="AC641" s="62"/>
      <c r="AD641" s="128"/>
      <c r="AE641" s="128"/>
      <c r="AF641" s="128"/>
      <c r="AG641" s="128"/>
      <c r="AH641" s="128"/>
      <c r="AI641" s="128"/>
      <c r="AJ641" s="128"/>
      <c r="AK641" s="128"/>
      <c r="AL641" s="128"/>
      <c r="AM641" s="63"/>
      <c r="AN641" s="75">
        <v>4000</v>
      </c>
      <c r="AO641" s="76"/>
      <c r="AP641" s="129"/>
      <c r="AQ641" s="130"/>
      <c r="AR641" s="131"/>
      <c r="AS641" s="400"/>
      <c r="AT641" s="401"/>
      <c r="AU641" s="402"/>
      <c r="AV641" s="403"/>
      <c r="AW641" s="404"/>
      <c r="AX641" s="405"/>
      <c r="AY641" s="138"/>
    </row>
    <row r="642" spans="1:51" s="139" customFormat="1" ht="11.25" hidden="1" x14ac:dyDescent="0.25">
      <c r="A642" s="1"/>
      <c r="B642" s="140">
        <v>1</v>
      </c>
      <c r="C642" s="141" t="s">
        <v>63</v>
      </c>
      <c r="D642" s="142"/>
      <c r="E642" s="143"/>
      <c r="F642" s="143"/>
      <c r="G642" s="143"/>
      <c r="H642" s="143"/>
      <c r="I642" s="143"/>
      <c r="J642" s="144">
        <v>80380</v>
      </c>
      <c r="K642" s="144">
        <v>81127</v>
      </c>
      <c r="L642" s="144">
        <v>81790</v>
      </c>
      <c r="M642" s="144">
        <v>82344</v>
      </c>
      <c r="N642" s="144">
        <v>80674</v>
      </c>
      <c r="O642" s="143"/>
      <c r="P642" s="145"/>
      <c r="Q642" s="146">
        <f>MAX(D642:P642)</f>
        <v>82344</v>
      </c>
      <c r="R642" s="147">
        <f>Q642*$R$10</f>
        <v>9057.84</v>
      </c>
      <c r="S642" s="147">
        <f t="shared" ref="S642:S660" si="763">R642/$S$5</f>
        <v>24.815999999999999</v>
      </c>
      <c r="T642" s="148">
        <f t="shared" ref="T642:T651" si="764">S642*$T$5*$T$10</f>
        <v>5434.7039999999997</v>
      </c>
      <c r="U642" s="406"/>
      <c r="V642" s="407"/>
      <c r="W642" s="236"/>
      <c r="X642" s="236"/>
      <c r="Y642" s="408"/>
      <c r="Z642" s="409"/>
      <c r="AA642" s="409"/>
      <c r="AB642" s="410"/>
      <c r="AC642" s="155"/>
      <c r="AD642" s="156"/>
      <c r="AE642" s="156"/>
      <c r="AF642" s="156"/>
      <c r="AG642" s="156"/>
      <c r="AH642" s="156"/>
      <c r="AI642" s="156"/>
      <c r="AJ642" s="156"/>
      <c r="AK642" s="156"/>
      <c r="AL642" s="156"/>
      <c r="AM642" s="157">
        <f>SUM(AD642:AI642)</f>
        <v>0</v>
      </c>
      <c r="AN642" s="158">
        <f>$AN$641</f>
        <v>4000</v>
      </c>
      <c r="AO642" s="159">
        <v>0.2</v>
      </c>
      <c r="AP642" s="160">
        <f t="shared" ref="AP642:AP665" si="765">AM642*AN642*$AP$5</f>
        <v>0</v>
      </c>
      <c r="AQ642" s="161">
        <f t="shared" ref="AQ642:AQ665" si="766">AP642*$AQ$5</f>
        <v>0</v>
      </c>
      <c r="AR642" s="162">
        <f t="shared" ref="AR642:AR665" si="767">AQ642*$AR$5</f>
        <v>0</v>
      </c>
      <c r="AS642" s="163"/>
      <c r="AT642" s="164"/>
      <c r="AU642" s="165"/>
      <c r="AV642" s="166"/>
      <c r="AW642" s="167"/>
      <c r="AX642" s="146">
        <f>SUM(AU642:AV642)</f>
        <v>0</v>
      </c>
      <c r="AY642" s="168"/>
    </row>
    <row r="643" spans="1:51" s="139" customFormat="1" ht="11.25" hidden="1" x14ac:dyDescent="0.25">
      <c r="A643" s="1"/>
      <c r="B643" s="140">
        <v>2</v>
      </c>
      <c r="C643" s="169" t="s">
        <v>64</v>
      </c>
      <c r="D643" s="142"/>
      <c r="E643" s="143"/>
      <c r="F643" s="143"/>
      <c r="G643" s="143"/>
      <c r="H643" s="143"/>
      <c r="I643" s="143"/>
      <c r="J643" s="144">
        <v>92605</v>
      </c>
      <c r="K643" s="144">
        <v>94961</v>
      </c>
      <c r="L643" s="144">
        <v>100265</v>
      </c>
      <c r="M643" s="144">
        <v>102505</v>
      </c>
      <c r="N643" s="144">
        <v>102509</v>
      </c>
      <c r="O643" s="143"/>
      <c r="P643" s="145"/>
      <c r="Q643" s="146">
        <f t="shared" ref="Q643:Q665" si="768">MAX(D643:P643)</f>
        <v>102509</v>
      </c>
      <c r="R643" s="147">
        <f t="shared" ref="R643:R665" si="769">Q643*$R$10</f>
        <v>11275.99</v>
      </c>
      <c r="S643" s="147">
        <f t="shared" si="763"/>
        <v>30.893123287671234</v>
      </c>
      <c r="T643" s="148">
        <f t="shared" si="764"/>
        <v>6765.5940000000001</v>
      </c>
      <c r="U643" s="406"/>
      <c r="V643" s="407"/>
      <c r="W643" s="236"/>
      <c r="X643" s="236"/>
      <c r="Y643" s="408"/>
      <c r="Z643" s="409"/>
      <c r="AA643" s="409"/>
      <c r="AB643" s="410"/>
      <c r="AC643" s="155"/>
      <c r="AD643" s="156"/>
      <c r="AE643" s="156"/>
      <c r="AF643" s="156"/>
      <c r="AG643" s="156"/>
      <c r="AH643" s="156"/>
      <c r="AI643" s="156"/>
      <c r="AJ643" s="156"/>
      <c r="AK643" s="156"/>
      <c r="AL643" s="156"/>
      <c r="AM643" s="157">
        <f t="shared" ref="AM643:AM665" si="770">SUM(AD643:AI643)</f>
        <v>0</v>
      </c>
      <c r="AN643" s="158">
        <f t="shared" ref="AN643:AN665" si="771">$AN$641</f>
        <v>4000</v>
      </c>
      <c r="AO643" s="159">
        <v>0.2</v>
      </c>
      <c r="AP643" s="160">
        <f t="shared" si="765"/>
        <v>0</v>
      </c>
      <c r="AQ643" s="161">
        <f t="shared" si="766"/>
        <v>0</v>
      </c>
      <c r="AR643" s="162">
        <f t="shared" si="767"/>
        <v>0</v>
      </c>
      <c r="AS643" s="163"/>
      <c r="AT643" s="164"/>
      <c r="AU643" s="165"/>
      <c r="AV643" s="166"/>
      <c r="AW643" s="167"/>
      <c r="AX643" s="146">
        <f t="shared" ref="AX643:AX665" si="772">SUM(AU643:AV643)</f>
        <v>0</v>
      </c>
      <c r="AY643" s="168"/>
    </row>
    <row r="644" spans="1:51" s="139" customFormat="1" ht="11.25" hidden="1" x14ac:dyDescent="0.25">
      <c r="A644" s="1"/>
      <c r="B644" s="140">
        <v>3</v>
      </c>
      <c r="C644" s="169" t="s">
        <v>65</v>
      </c>
      <c r="D644" s="142"/>
      <c r="E644" s="143"/>
      <c r="F644" s="143"/>
      <c r="G644" s="143"/>
      <c r="H644" s="143"/>
      <c r="I644" s="143"/>
      <c r="J644" s="144">
        <v>202080</v>
      </c>
      <c r="K644" s="144">
        <v>209853</v>
      </c>
      <c r="L644" s="144">
        <v>210111</v>
      </c>
      <c r="M644" s="144">
        <v>215315</v>
      </c>
      <c r="N644" s="144">
        <v>202251</v>
      </c>
      <c r="O644" s="143"/>
      <c r="P644" s="145"/>
      <c r="Q644" s="146">
        <f t="shared" si="768"/>
        <v>215315</v>
      </c>
      <c r="R644" s="147">
        <f t="shared" si="769"/>
        <v>23684.65</v>
      </c>
      <c r="S644" s="147">
        <f t="shared" si="763"/>
        <v>64.889452054794518</v>
      </c>
      <c r="T644" s="148">
        <f t="shared" si="764"/>
        <v>14210.789999999999</v>
      </c>
      <c r="U644" s="406"/>
      <c r="V644" s="407"/>
      <c r="W644" s="236"/>
      <c r="X644" s="236"/>
      <c r="Y644" s="408"/>
      <c r="Z644" s="409"/>
      <c r="AA644" s="409"/>
      <c r="AB644" s="410"/>
      <c r="AC644" s="155"/>
      <c r="AD644" s="156"/>
      <c r="AE644" s="156"/>
      <c r="AF644" s="156"/>
      <c r="AG644" s="156"/>
      <c r="AH644" s="156"/>
      <c r="AI644" s="156"/>
      <c r="AJ644" s="156"/>
      <c r="AK644" s="156"/>
      <c r="AL644" s="156"/>
      <c r="AM644" s="157">
        <f t="shared" si="770"/>
        <v>0</v>
      </c>
      <c r="AN644" s="158">
        <f t="shared" si="771"/>
        <v>4000</v>
      </c>
      <c r="AO644" s="159">
        <v>0.2</v>
      </c>
      <c r="AP644" s="160">
        <f t="shared" si="765"/>
        <v>0</v>
      </c>
      <c r="AQ644" s="161">
        <f t="shared" si="766"/>
        <v>0</v>
      </c>
      <c r="AR644" s="162">
        <f t="shared" si="767"/>
        <v>0</v>
      </c>
      <c r="AS644" s="163"/>
      <c r="AT644" s="164"/>
      <c r="AU644" s="165"/>
      <c r="AV644" s="166"/>
      <c r="AW644" s="167"/>
      <c r="AX644" s="146">
        <f t="shared" si="772"/>
        <v>0</v>
      </c>
      <c r="AY644" s="168"/>
    </row>
    <row r="645" spans="1:51" s="139" customFormat="1" ht="11.25" hidden="1" x14ac:dyDescent="0.25">
      <c r="A645" s="1"/>
      <c r="B645" s="140">
        <v>4</v>
      </c>
      <c r="C645" s="169" t="s">
        <v>66</v>
      </c>
      <c r="D645" s="142"/>
      <c r="E645" s="143"/>
      <c r="F645" s="143"/>
      <c r="G645" s="143"/>
      <c r="H645" s="143"/>
      <c r="I645" s="143"/>
      <c r="J645" s="144">
        <v>173056</v>
      </c>
      <c r="K645" s="144">
        <v>174371</v>
      </c>
      <c r="L645" s="144">
        <v>175501</v>
      </c>
      <c r="M645" s="144">
        <v>177024</v>
      </c>
      <c r="N645" s="144">
        <v>179010</v>
      </c>
      <c r="O645" s="143"/>
      <c r="P645" s="145"/>
      <c r="Q645" s="146">
        <f t="shared" si="768"/>
        <v>179010</v>
      </c>
      <c r="R645" s="147">
        <f t="shared" si="769"/>
        <v>19691.099999999999</v>
      </c>
      <c r="S645" s="147">
        <f t="shared" si="763"/>
        <v>53.948219178082191</v>
      </c>
      <c r="T645" s="148">
        <f t="shared" si="764"/>
        <v>11814.659999999998</v>
      </c>
      <c r="U645" s="406"/>
      <c r="V645" s="407"/>
      <c r="W645" s="236"/>
      <c r="X645" s="236"/>
      <c r="Y645" s="408"/>
      <c r="Z645" s="409"/>
      <c r="AA645" s="409"/>
      <c r="AB645" s="410"/>
      <c r="AC645" s="155"/>
      <c r="AD645" s="156"/>
      <c r="AE645" s="156"/>
      <c r="AF645" s="156"/>
      <c r="AG645" s="156"/>
      <c r="AH645" s="156"/>
      <c r="AI645" s="156"/>
      <c r="AJ645" s="156"/>
      <c r="AK645" s="156"/>
      <c r="AL645" s="156"/>
      <c r="AM645" s="157">
        <f t="shared" si="770"/>
        <v>0</v>
      </c>
      <c r="AN645" s="158">
        <f t="shared" si="771"/>
        <v>4000</v>
      </c>
      <c r="AO645" s="159">
        <v>0.2</v>
      </c>
      <c r="AP645" s="160">
        <f t="shared" si="765"/>
        <v>0</v>
      </c>
      <c r="AQ645" s="161">
        <f t="shared" si="766"/>
        <v>0</v>
      </c>
      <c r="AR645" s="162">
        <f t="shared" si="767"/>
        <v>0</v>
      </c>
      <c r="AS645" s="163"/>
      <c r="AT645" s="164"/>
      <c r="AU645" s="165"/>
      <c r="AV645" s="166"/>
      <c r="AW645" s="167"/>
      <c r="AX645" s="146">
        <f t="shared" si="772"/>
        <v>0</v>
      </c>
      <c r="AY645" s="168"/>
    </row>
    <row r="646" spans="1:51" s="139" customFormat="1" ht="11.25" hidden="1" x14ac:dyDescent="0.25">
      <c r="A646" s="1"/>
      <c r="B646" s="140">
        <v>5</v>
      </c>
      <c r="C646" s="170" t="s">
        <v>67</v>
      </c>
      <c r="D646" s="142"/>
      <c r="E646" s="143"/>
      <c r="F646" s="143"/>
      <c r="G646" s="143"/>
      <c r="H646" s="143"/>
      <c r="I646" s="143"/>
      <c r="J646" s="144">
        <v>311413</v>
      </c>
      <c r="K646" s="144">
        <v>313333</v>
      </c>
      <c r="L646" s="144">
        <v>332915</v>
      </c>
      <c r="M646" s="144">
        <v>340728</v>
      </c>
      <c r="N646" s="144">
        <v>360475</v>
      </c>
      <c r="O646" s="143"/>
      <c r="P646" s="145"/>
      <c r="Q646" s="146">
        <f t="shared" si="768"/>
        <v>360475</v>
      </c>
      <c r="R646" s="147">
        <f t="shared" si="769"/>
        <v>39652.25</v>
      </c>
      <c r="S646" s="147">
        <f t="shared" si="763"/>
        <v>108.63630136986302</v>
      </c>
      <c r="T646" s="148">
        <f t="shared" si="764"/>
        <v>23791.35</v>
      </c>
      <c r="U646" s="406"/>
      <c r="V646" s="407"/>
      <c r="W646" s="236"/>
      <c r="X646" s="236"/>
      <c r="Y646" s="408"/>
      <c r="Z646" s="409"/>
      <c r="AA646" s="409"/>
      <c r="AB646" s="410"/>
      <c r="AC646" s="155"/>
      <c r="AD646" s="156"/>
      <c r="AE646" s="156"/>
      <c r="AF646" s="156"/>
      <c r="AG646" s="156"/>
      <c r="AH646" s="156"/>
      <c r="AI646" s="156"/>
      <c r="AJ646" s="156"/>
      <c r="AK646" s="156"/>
      <c r="AL646" s="156"/>
      <c r="AM646" s="157">
        <f t="shared" si="770"/>
        <v>0</v>
      </c>
      <c r="AN646" s="158">
        <f t="shared" si="771"/>
        <v>4000</v>
      </c>
      <c r="AO646" s="159">
        <v>0.2</v>
      </c>
      <c r="AP646" s="160">
        <f t="shared" si="765"/>
        <v>0</v>
      </c>
      <c r="AQ646" s="161">
        <f t="shared" si="766"/>
        <v>0</v>
      </c>
      <c r="AR646" s="162">
        <f t="shared" si="767"/>
        <v>0</v>
      </c>
      <c r="AS646" s="163"/>
      <c r="AT646" s="164"/>
      <c r="AU646" s="165"/>
      <c r="AV646" s="166"/>
      <c r="AW646" s="167"/>
      <c r="AX646" s="146">
        <f t="shared" si="772"/>
        <v>0</v>
      </c>
      <c r="AY646" s="168"/>
    </row>
    <row r="647" spans="1:51" s="139" customFormat="1" ht="11.25" hidden="1" x14ac:dyDescent="0.25">
      <c r="A647" s="1"/>
      <c r="B647" s="140">
        <v>6</v>
      </c>
      <c r="C647" s="170" t="s">
        <v>68</v>
      </c>
      <c r="D647" s="142"/>
      <c r="E647" s="143"/>
      <c r="F647" s="143"/>
      <c r="G647" s="143"/>
      <c r="H647" s="143"/>
      <c r="I647" s="143"/>
      <c r="J647" s="144">
        <v>166895</v>
      </c>
      <c r="K647" s="144">
        <v>170766</v>
      </c>
      <c r="L647" s="144">
        <v>182533</v>
      </c>
      <c r="M647" s="144">
        <v>189298</v>
      </c>
      <c r="N647" s="144">
        <v>175527</v>
      </c>
      <c r="O647" s="143"/>
      <c r="P647" s="145"/>
      <c r="Q647" s="146">
        <f t="shared" si="768"/>
        <v>189298</v>
      </c>
      <c r="R647" s="147">
        <f t="shared" si="769"/>
        <v>20822.78</v>
      </c>
      <c r="S647" s="147">
        <f t="shared" si="763"/>
        <v>57.048712328767117</v>
      </c>
      <c r="T647" s="148">
        <f t="shared" si="764"/>
        <v>12493.668</v>
      </c>
      <c r="U647" s="406"/>
      <c r="V647" s="407"/>
      <c r="W647" s="236"/>
      <c r="X647" s="236"/>
      <c r="Y647" s="408"/>
      <c r="Z647" s="409"/>
      <c r="AA647" s="409"/>
      <c r="AB647" s="410"/>
      <c r="AC647" s="155"/>
      <c r="AD647" s="156"/>
      <c r="AE647" s="156"/>
      <c r="AF647" s="156"/>
      <c r="AG647" s="156"/>
      <c r="AH647" s="156"/>
      <c r="AI647" s="156"/>
      <c r="AJ647" s="156"/>
      <c r="AK647" s="156"/>
      <c r="AL647" s="156"/>
      <c r="AM647" s="157">
        <f t="shared" si="770"/>
        <v>0</v>
      </c>
      <c r="AN647" s="158">
        <f t="shared" si="771"/>
        <v>4000</v>
      </c>
      <c r="AO647" s="159">
        <v>0.2</v>
      </c>
      <c r="AP647" s="160">
        <f t="shared" si="765"/>
        <v>0</v>
      </c>
      <c r="AQ647" s="161">
        <f t="shared" si="766"/>
        <v>0</v>
      </c>
      <c r="AR647" s="162">
        <f t="shared" si="767"/>
        <v>0</v>
      </c>
      <c r="AS647" s="163"/>
      <c r="AT647" s="164"/>
      <c r="AU647" s="165"/>
      <c r="AV647" s="166"/>
      <c r="AW647" s="167"/>
      <c r="AX647" s="146">
        <f t="shared" si="772"/>
        <v>0</v>
      </c>
      <c r="AY647" s="168"/>
    </row>
    <row r="648" spans="1:51" s="139" customFormat="1" ht="11.25" hidden="1" x14ac:dyDescent="0.25">
      <c r="A648" s="1"/>
      <c r="B648" s="140">
        <v>7</v>
      </c>
      <c r="C648" s="170" t="s">
        <v>69</v>
      </c>
      <c r="D648" s="142"/>
      <c r="E648" s="143"/>
      <c r="F648" s="143"/>
      <c r="G648" s="143"/>
      <c r="H648" s="143"/>
      <c r="I648" s="143"/>
      <c r="J648" s="171">
        <v>151552</v>
      </c>
      <c r="K648" s="144">
        <v>152557</v>
      </c>
      <c r="L648" s="144">
        <v>153398</v>
      </c>
      <c r="M648" s="144">
        <v>158499</v>
      </c>
      <c r="N648" s="144">
        <v>173558</v>
      </c>
      <c r="O648" s="143"/>
      <c r="P648" s="145"/>
      <c r="Q648" s="146">
        <f t="shared" si="768"/>
        <v>173558</v>
      </c>
      <c r="R648" s="147">
        <f t="shared" si="769"/>
        <v>19091.38</v>
      </c>
      <c r="S648" s="147">
        <f t="shared" si="763"/>
        <v>52.305150684931512</v>
      </c>
      <c r="T648" s="148">
        <f t="shared" si="764"/>
        <v>11454.828</v>
      </c>
      <c r="U648" s="406"/>
      <c r="V648" s="407"/>
      <c r="W648" s="236"/>
      <c r="X648" s="236"/>
      <c r="Y648" s="408"/>
      <c r="Z648" s="409"/>
      <c r="AA648" s="409"/>
      <c r="AB648" s="410"/>
      <c r="AC648" s="155"/>
      <c r="AD648" s="156"/>
      <c r="AE648" s="156"/>
      <c r="AF648" s="156"/>
      <c r="AG648" s="156"/>
      <c r="AH648" s="156"/>
      <c r="AI648" s="156"/>
      <c r="AJ648" s="156"/>
      <c r="AK648" s="156"/>
      <c r="AL648" s="156"/>
      <c r="AM648" s="157">
        <f t="shared" si="770"/>
        <v>0</v>
      </c>
      <c r="AN648" s="158">
        <f t="shared" si="771"/>
        <v>4000</v>
      </c>
      <c r="AO648" s="159">
        <v>0.2</v>
      </c>
      <c r="AP648" s="160">
        <f t="shared" si="765"/>
        <v>0</v>
      </c>
      <c r="AQ648" s="161">
        <f t="shared" si="766"/>
        <v>0</v>
      </c>
      <c r="AR648" s="162">
        <f t="shared" si="767"/>
        <v>0</v>
      </c>
      <c r="AS648" s="163"/>
      <c r="AT648" s="164"/>
      <c r="AU648" s="165"/>
      <c r="AV648" s="166"/>
      <c r="AW648" s="167"/>
      <c r="AX648" s="146">
        <f t="shared" si="772"/>
        <v>0</v>
      </c>
      <c r="AY648" s="168"/>
    </row>
    <row r="649" spans="1:51" s="139" customFormat="1" ht="11.25" hidden="1" x14ac:dyDescent="0.25">
      <c r="A649" s="1"/>
      <c r="B649" s="140">
        <v>8</v>
      </c>
      <c r="C649" s="170" t="s">
        <v>70</v>
      </c>
      <c r="D649" s="142"/>
      <c r="E649" s="143"/>
      <c r="F649" s="143"/>
      <c r="G649" s="143"/>
      <c r="H649" s="143"/>
      <c r="I649" s="143"/>
      <c r="J649" s="144">
        <v>304303</v>
      </c>
      <c r="K649" s="144">
        <v>307362</v>
      </c>
      <c r="L649" s="144">
        <v>310107</v>
      </c>
      <c r="M649" s="144">
        <v>312762</v>
      </c>
      <c r="N649" s="144">
        <v>351418</v>
      </c>
      <c r="O649" s="143"/>
      <c r="P649" s="145"/>
      <c r="Q649" s="146">
        <f t="shared" si="768"/>
        <v>351418</v>
      </c>
      <c r="R649" s="147">
        <f t="shared" si="769"/>
        <v>38655.980000000003</v>
      </c>
      <c r="S649" s="147">
        <f t="shared" si="763"/>
        <v>105.90679452054795</v>
      </c>
      <c r="T649" s="148">
        <f t="shared" si="764"/>
        <v>23193.588</v>
      </c>
      <c r="U649" s="406"/>
      <c r="V649" s="407"/>
      <c r="W649" s="236"/>
      <c r="X649" s="236"/>
      <c r="Y649" s="408"/>
      <c r="Z649" s="409"/>
      <c r="AA649" s="409"/>
      <c r="AB649" s="410"/>
      <c r="AC649" s="155"/>
      <c r="AD649" s="156"/>
      <c r="AE649" s="156"/>
      <c r="AF649" s="156"/>
      <c r="AG649" s="156"/>
      <c r="AH649" s="156"/>
      <c r="AI649" s="156"/>
      <c r="AJ649" s="156"/>
      <c r="AK649" s="156"/>
      <c r="AL649" s="156"/>
      <c r="AM649" s="157">
        <f t="shared" si="770"/>
        <v>0</v>
      </c>
      <c r="AN649" s="158">
        <f t="shared" si="771"/>
        <v>4000</v>
      </c>
      <c r="AO649" s="159">
        <v>0.2</v>
      </c>
      <c r="AP649" s="160">
        <f t="shared" si="765"/>
        <v>0</v>
      </c>
      <c r="AQ649" s="161">
        <f t="shared" si="766"/>
        <v>0</v>
      </c>
      <c r="AR649" s="162">
        <f t="shared" si="767"/>
        <v>0</v>
      </c>
      <c r="AS649" s="163"/>
      <c r="AT649" s="164"/>
      <c r="AU649" s="165"/>
      <c r="AV649" s="166"/>
      <c r="AW649" s="167"/>
      <c r="AX649" s="146">
        <f t="shared" si="772"/>
        <v>0</v>
      </c>
      <c r="AY649" s="168"/>
    </row>
    <row r="650" spans="1:51" s="139" customFormat="1" ht="11.25" hidden="1" x14ac:dyDescent="0.25">
      <c r="A650" s="1"/>
      <c r="B650" s="140">
        <v>9</v>
      </c>
      <c r="C650" s="170" t="s">
        <v>71</v>
      </c>
      <c r="D650" s="142"/>
      <c r="E650" s="143"/>
      <c r="F650" s="143"/>
      <c r="G650" s="143"/>
      <c r="H650" s="143"/>
      <c r="I650" s="143"/>
      <c r="J650" s="144">
        <v>365813</v>
      </c>
      <c r="K650" s="144">
        <v>373234</v>
      </c>
      <c r="L650" s="144">
        <v>380382</v>
      </c>
      <c r="M650" s="144">
        <v>386053</v>
      </c>
      <c r="N650" s="144">
        <v>379108</v>
      </c>
      <c r="O650" s="143"/>
      <c r="P650" s="145"/>
      <c r="Q650" s="146">
        <f t="shared" si="768"/>
        <v>386053</v>
      </c>
      <c r="R650" s="147">
        <f t="shared" si="769"/>
        <v>42465.83</v>
      </c>
      <c r="S650" s="147">
        <f t="shared" si="763"/>
        <v>116.3447397260274</v>
      </c>
      <c r="T650" s="148">
        <f t="shared" si="764"/>
        <v>25479.498</v>
      </c>
      <c r="U650" s="406"/>
      <c r="V650" s="407"/>
      <c r="W650" s="236"/>
      <c r="X650" s="236"/>
      <c r="Y650" s="408"/>
      <c r="Z650" s="409"/>
      <c r="AA650" s="409"/>
      <c r="AB650" s="410"/>
      <c r="AC650" s="155"/>
      <c r="AD650" s="156"/>
      <c r="AE650" s="156"/>
      <c r="AF650" s="156"/>
      <c r="AG650" s="156"/>
      <c r="AH650" s="156"/>
      <c r="AI650" s="156"/>
      <c r="AJ650" s="156"/>
      <c r="AK650" s="156"/>
      <c r="AL650" s="156"/>
      <c r="AM650" s="157">
        <f t="shared" si="770"/>
        <v>0</v>
      </c>
      <c r="AN650" s="158">
        <f t="shared" si="771"/>
        <v>4000</v>
      </c>
      <c r="AO650" s="159">
        <v>0.2</v>
      </c>
      <c r="AP650" s="160">
        <f t="shared" si="765"/>
        <v>0</v>
      </c>
      <c r="AQ650" s="161">
        <f t="shared" si="766"/>
        <v>0</v>
      </c>
      <c r="AR650" s="162">
        <f t="shared" si="767"/>
        <v>0</v>
      </c>
      <c r="AS650" s="163"/>
      <c r="AT650" s="164"/>
      <c r="AU650" s="165"/>
      <c r="AV650" s="166"/>
      <c r="AW650" s="167"/>
      <c r="AX650" s="146">
        <f t="shared" si="772"/>
        <v>0</v>
      </c>
      <c r="AY650" s="168"/>
    </row>
    <row r="651" spans="1:51" s="139" customFormat="1" ht="11.25" hidden="1" x14ac:dyDescent="0.25">
      <c r="A651" s="1"/>
      <c r="B651" s="140">
        <v>10</v>
      </c>
      <c r="C651" s="170" t="s">
        <v>72</v>
      </c>
      <c r="D651" s="142"/>
      <c r="E651" s="143"/>
      <c r="F651" s="143"/>
      <c r="G651" s="143"/>
      <c r="H651" s="143"/>
      <c r="I651" s="143"/>
      <c r="J651" s="144">
        <v>354027</v>
      </c>
      <c r="K651" s="144">
        <v>355989</v>
      </c>
      <c r="L651" s="144">
        <v>357564</v>
      </c>
      <c r="M651" s="144">
        <v>359032</v>
      </c>
      <c r="N651" s="144">
        <v>389288</v>
      </c>
      <c r="O651" s="143"/>
      <c r="P651" s="145"/>
      <c r="Q651" s="146">
        <f t="shared" si="768"/>
        <v>389288</v>
      </c>
      <c r="R651" s="147">
        <f t="shared" si="769"/>
        <v>42821.68</v>
      </c>
      <c r="S651" s="147">
        <f t="shared" si="763"/>
        <v>117.31967123287671</v>
      </c>
      <c r="T651" s="148">
        <f t="shared" si="764"/>
        <v>25693.007999999998</v>
      </c>
      <c r="U651" s="406"/>
      <c r="V651" s="407"/>
      <c r="W651" s="236"/>
      <c r="X651" s="236"/>
      <c r="Y651" s="408"/>
      <c r="Z651" s="409"/>
      <c r="AA651" s="409"/>
      <c r="AB651" s="410"/>
      <c r="AC651" s="155"/>
      <c r="AD651" s="156"/>
      <c r="AE651" s="156"/>
      <c r="AF651" s="156"/>
      <c r="AG651" s="156"/>
      <c r="AH651" s="156"/>
      <c r="AI651" s="156"/>
      <c r="AJ651" s="156"/>
      <c r="AK651" s="156"/>
      <c r="AL651" s="156"/>
      <c r="AM651" s="157">
        <f t="shared" si="770"/>
        <v>0</v>
      </c>
      <c r="AN651" s="158">
        <f t="shared" si="771"/>
        <v>4000</v>
      </c>
      <c r="AO651" s="159">
        <v>0.2</v>
      </c>
      <c r="AP651" s="160">
        <f t="shared" si="765"/>
        <v>0</v>
      </c>
      <c r="AQ651" s="161">
        <f t="shared" si="766"/>
        <v>0</v>
      </c>
      <c r="AR651" s="162">
        <f t="shared" si="767"/>
        <v>0</v>
      </c>
      <c r="AS651" s="163"/>
      <c r="AT651" s="164"/>
      <c r="AU651" s="165"/>
      <c r="AV651" s="166"/>
      <c r="AW651" s="167"/>
      <c r="AX651" s="146">
        <f t="shared" si="772"/>
        <v>0</v>
      </c>
      <c r="AY651" s="168"/>
    </row>
    <row r="652" spans="1:51" s="139" customFormat="1" ht="11.25" hidden="1" x14ac:dyDescent="0.25">
      <c r="A652" s="1"/>
      <c r="B652" s="140">
        <v>11</v>
      </c>
      <c r="C652" s="170" t="s">
        <v>73</v>
      </c>
      <c r="D652" s="142"/>
      <c r="E652" s="143"/>
      <c r="F652" s="143"/>
      <c r="G652" s="143"/>
      <c r="H652" s="143"/>
      <c r="I652" s="143"/>
      <c r="J652" s="144">
        <v>506002</v>
      </c>
      <c r="K652" s="144">
        <v>510494</v>
      </c>
      <c r="L652" s="144">
        <v>517741</v>
      </c>
      <c r="M652" s="144">
        <v>532537</v>
      </c>
      <c r="N652" s="144">
        <v>529751</v>
      </c>
      <c r="O652" s="143"/>
      <c r="P652" s="145"/>
      <c r="Q652" s="146">
        <f t="shared" si="768"/>
        <v>532537</v>
      </c>
      <c r="R652" s="147">
        <f>Q652*$R$9</f>
        <v>77750.402000000002</v>
      </c>
      <c r="S652" s="147">
        <f t="shared" si="763"/>
        <v>213.01480000000001</v>
      </c>
      <c r="T652" s="148">
        <f>S652*$T$5*$T$9</f>
        <v>54425.2814</v>
      </c>
      <c r="U652" s="406"/>
      <c r="V652" s="407"/>
      <c r="W652" s="236"/>
      <c r="X652" s="236"/>
      <c r="Y652" s="408"/>
      <c r="Z652" s="409"/>
      <c r="AA652" s="409"/>
      <c r="AB652" s="410"/>
      <c r="AC652" s="155"/>
      <c r="AD652" s="156"/>
      <c r="AE652" s="156"/>
      <c r="AF652" s="156"/>
      <c r="AG652" s="156"/>
      <c r="AH652" s="156"/>
      <c r="AI652" s="156"/>
      <c r="AJ652" s="156"/>
      <c r="AK652" s="156"/>
      <c r="AL652" s="156"/>
      <c r="AM652" s="157">
        <f t="shared" si="770"/>
        <v>0</v>
      </c>
      <c r="AN652" s="158">
        <f t="shared" si="771"/>
        <v>4000</v>
      </c>
      <c r="AO652" s="159">
        <v>0.2</v>
      </c>
      <c r="AP652" s="160">
        <f t="shared" si="765"/>
        <v>0</v>
      </c>
      <c r="AQ652" s="161">
        <f t="shared" si="766"/>
        <v>0</v>
      </c>
      <c r="AR652" s="162">
        <f t="shared" si="767"/>
        <v>0</v>
      </c>
      <c r="AS652" s="163"/>
      <c r="AT652" s="164"/>
      <c r="AU652" s="165"/>
      <c r="AV652" s="166"/>
      <c r="AW652" s="167"/>
      <c r="AX652" s="146">
        <f t="shared" si="772"/>
        <v>0</v>
      </c>
      <c r="AY652" s="168"/>
    </row>
    <row r="653" spans="1:51" s="139" customFormat="1" ht="11.25" hidden="1" x14ac:dyDescent="0.25">
      <c r="A653" s="1"/>
      <c r="B653" s="140">
        <v>12</v>
      </c>
      <c r="C653" s="170" t="s">
        <v>74</v>
      </c>
      <c r="D653" s="142"/>
      <c r="E653" s="143"/>
      <c r="F653" s="143"/>
      <c r="G653" s="143"/>
      <c r="H653" s="143"/>
      <c r="I653" s="143"/>
      <c r="J653" s="144">
        <v>119397</v>
      </c>
      <c r="K653" s="144">
        <v>121302</v>
      </c>
      <c r="L653" s="144">
        <v>123101</v>
      </c>
      <c r="M653" s="144">
        <v>124813</v>
      </c>
      <c r="N653" s="144">
        <v>126036</v>
      </c>
      <c r="O653" s="143"/>
      <c r="P653" s="145"/>
      <c r="Q653" s="146">
        <f t="shared" si="768"/>
        <v>126036</v>
      </c>
      <c r="R653" s="147">
        <f t="shared" si="769"/>
        <v>13863.960000000001</v>
      </c>
      <c r="S653" s="147">
        <f t="shared" si="763"/>
        <v>37.983452054794526</v>
      </c>
      <c r="T653" s="148">
        <f t="shared" ref="T653:T660" si="773">S653*$T$5*$T$10</f>
        <v>8318.376000000002</v>
      </c>
      <c r="U653" s="406"/>
      <c r="V653" s="407"/>
      <c r="W653" s="236"/>
      <c r="X653" s="236"/>
      <c r="Y653" s="408"/>
      <c r="Z653" s="409"/>
      <c r="AA653" s="409"/>
      <c r="AB653" s="410"/>
      <c r="AC653" s="155"/>
      <c r="AD653" s="156"/>
      <c r="AE653" s="156"/>
      <c r="AF653" s="156"/>
      <c r="AG653" s="156"/>
      <c r="AH653" s="156"/>
      <c r="AI653" s="156"/>
      <c r="AJ653" s="156"/>
      <c r="AK653" s="156"/>
      <c r="AL653" s="156"/>
      <c r="AM653" s="157">
        <f t="shared" si="770"/>
        <v>0</v>
      </c>
      <c r="AN653" s="158">
        <f t="shared" si="771"/>
        <v>4000</v>
      </c>
      <c r="AO653" s="159">
        <v>0.2</v>
      </c>
      <c r="AP653" s="160">
        <f t="shared" si="765"/>
        <v>0</v>
      </c>
      <c r="AQ653" s="161">
        <f t="shared" si="766"/>
        <v>0</v>
      </c>
      <c r="AR653" s="162">
        <f t="shared" si="767"/>
        <v>0</v>
      </c>
      <c r="AS653" s="163"/>
      <c r="AT653" s="164"/>
      <c r="AU653" s="165"/>
      <c r="AV653" s="166"/>
      <c r="AW653" s="167"/>
      <c r="AX653" s="146">
        <f t="shared" si="772"/>
        <v>0</v>
      </c>
      <c r="AY653" s="168"/>
    </row>
    <row r="654" spans="1:51" s="139" customFormat="1" ht="11.25" hidden="1" x14ac:dyDescent="0.25">
      <c r="A654" s="1"/>
      <c r="B654" s="140">
        <v>13</v>
      </c>
      <c r="C654" s="170" t="s">
        <v>75</v>
      </c>
      <c r="D654" s="142"/>
      <c r="E654" s="143"/>
      <c r="F654" s="143"/>
      <c r="G654" s="143"/>
      <c r="H654" s="143"/>
      <c r="I654" s="143"/>
      <c r="J654" s="144">
        <v>73752</v>
      </c>
      <c r="K654" s="144">
        <v>74312</v>
      </c>
      <c r="L654" s="144">
        <v>74794</v>
      </c>
      <c r="M654" s="144">
        <v>75165</v>
      </c>
      <c r="N654" s="144">
        <v>79560</v>
      </c>
      <c r="O654" s="143"/>
      <c r="P654" s="145"/>
      <c r="Q654" s="146">
        <f t="shared" si="768"/>
        <v>79560</v>
      </c>
      <c r="R654" s="147">
        <f t="shared" si="769"/>
        <v>8751.6</v>
      </c>
      <c r="S654" s="147">
        <f t="shared" si="763"/>
        <v>23.976986301369863</v>
      </c>
      <c r="T654" s="148">
        <f t="shared" si="773"/>
        <v>5250.96</v>
      </c>
      <c r="U654" s="406"/>
      <c r="V654" s="407"/>
      <c r="W654" s="236"/>
      <c r="X654" s="236"/>
      <c r="Y654" s="408"/>
      <c r="Z654" s="409"/>
      <c r="AA654" s="409"/>
      <c r="AB654" s="410"/>
      <c r="AC654" s="155"/>
      <c r="AD654" s="156"/>
      <c r="AE654" s="156"/>
      <c r="AF654" s="156"/>
      <c r="AG654" s="156"/>
      <c r="AH654" s="156"/>
      <c r="AI654" s="156"/>
      <c r="AJ654" s="156"/>
      <c r="AK654" s="156"/>
      <c r="AL654" s="156"/>
      <c r="AM654" s="157">
        <f t="shared" si="770"/>
        <v>0</v>
      </c>
      <c r="AN654" s="158">
        <f t="shared" si="771"/>
        <v>4000</v>
      </c>
      <c r="AO654" s="159">
        <v>0.2</v>
      </c>
      <c r="AP654" s="160">
        <f t="shared" si="765"/>
        <v>0</v>
      </c>
      <c r="AQ654" s="161">
        <f t="shared" si="766"/>
        <v>0</v>
      </c>
      <c r="AR654" s="162">
        <f t="shared" si="767"/>
        <v>0</v>
      </c>
      <c r="AS654" s="163"/>
      <c r="AT654" s="164"/>
      <c r="AU654" s="165"/>
      <c r="AV654" s="166"/>
      <c r="AW654" s="167"/>
      <c r="AX654" s="146">
        <f t="shared" si="772"/>
        <v>0</v>
      </c>
      <c r="AY654" s="168"/>
    </row>
    <row r="655" spans="1:51" s="139" customFormat="1" ht="11.25" hidden="1" x14ac:dyDescent="0.25">
      <c r="A655" s="1"/>
      <c r="B655" s="140">
        <v>14</v>
      </c>
      <c r="C655" s="170" t="s">
        <v>76</v>
      </c>
      <c r="D655" s="142"/>
      <c r="E655" s="143"/>
      <c r="F655" s="143"/>
      <c r="G655" s="143"/>
      <c r="H655" s="143"/>
      <c r="I655" s="143"/>
      <c r="J655" s="144">
        <v>239260</v>
      </c>
      <c r="K655" s="144">
        <v>239451</v>
      </c>
      <c r="L655" s="144">
        <v>239899</v>
      </c>
      <c r="M655" s="144">
        <v>241734</v>
      </c>
      <c r="N655" s="144">
        <v>251914</v>
      </c>
      <c r="O655" s="143"/>
      <c r="P655" s="145"/>
      <c r="Q655" s="146">
        <f t="shared" si="768"/>
        <v>251914</v>
      </c>
      <c r="R655" s="147">
        <f t="shared" si="769"/>
        <v>27710.54</v>
      </c>
      <c r="S655" s="147">
        <f t="shared" si="763"/>
        <v>75.91928767123288</v>
      </c>
      <c r="T655" s="148">
        <f t="shared" si="773"/>
        <v>16626.324000000001</v>
      </c>
      <c r="U655" s="406"/>
      <c r="V655" s="407"/>
      <c r="W655" s="236"/>
      <c r="X655" s="236"/>
      <c r="Y655" s="408"/>
      <c r="Z655" s="409"/>
      <c r="AA655" s="409"/>
      <c r="AB655" s="410"/>
      <c r="AC655" s="155"/>
      <c r="AD655" s="156"/>
      <c r="AE655" s="156"/>
      <c r="AF655" s="156"/>
      <c r="AG655" s="156"/>
      <c r="AH655" s="156"/>
      <c r="AI655" s="156"/>
      <c r="AJ655" s="156"/>
      <c r="AK655" s="156"/>
      <c r="AL655" s="156"/>
      <c r="AM655" s="157">
        <f t="shared" si="770"/>
        <v>0</v>
      </c>
      <c r="AN655" s="158">
        <f t="shared" si="771"/>
        <v>4000</v>
      </c>
      <c r="AO655" s="159">
        <v>0.2</v>
      </c>
      <c r="AP655" s="160">
        <f t="shared" si="765"/>
        <v>0</v>
      </c>
      <c r="AQ655" s="161">
        <f t="shared" si="766"/>
        <v>0</v>
      </c>
      <c r="AR655" s="162">
        <f t="shared" si="767"/>
        <v>0</v>
      </c>
      <c r="AS655" s="163"/>
      <c r="AT655" s="164"/>
      <c r="AU655" s="165"/>
      <c r="AV655" s="166"/>
      <c r="AW655" s="167"/>
      <c r="AX655" s="146">
        <f t="shared" si="772"/>
        <v>0</v>
      </c>
      <c r="AY655" s="168"/>
    </row>
    <row r="656" spans="1:51" s="139" customFormat="1" ht="11.25" hidden="1" x14ac:dyDescent="0.25">
      <c r="A656" s="1"/>
      <c r="B656" s="140">
        <v>15</v>
      </c>
      <c r="C656" s="170" t="s">
        <v>77</v>
      </c>
      <c r="D656" s="142"/>
      <c r="E656" s="143"/>
      <c r="F656" s="143"/>
      <c r="G656" s="143"/>
      <c r="H656" s="143"/>
      <c r="I656" s="143"/>
      <c r="J656" s="144">
        <v>65996</v>
      </c>
      <c r="K656" s="144">
        <v>70673</v>
      </c>
      <c r="L656" s="144">
        <v>75597</v>
      </c>
      <c r="M656" s="144">
        <v>82904</v>
      </c>
      <c r="N656" s="144">
        <v>76782</v>
      </c>
      <c r="O656" s="143"/>
      <c r="P656" s="145"/>
      <c r="Q656" s="146">
        <f t="shared" si="768"/>
        <v>82904</v>
      </c>
      <c r="R656" s="147">
        <f t="shared" si="769"/>
        <v>9119.44</v>
      </c>
      <c r="S656" s="147">
        <f t="shared" si="763"/>
        <v>24.984767123287671</v>
      </c>
      <c r="T656" s="148">
        <f t="shared" si="773"/>
        <v>5471.6639999999998</v>
      </c>
      <c r="U656" s="406"/>
      <c r="V656" s="407"/>
      <c r="W656" s="236"/>
      <c r="X656" s="236"/>
      <c r="Y656" s="408"/>
      <c r="Z656" s="409"/>
      <c r="AA656" s="409"/>
      <c r="AB656" s="410"/>
      <c r="AC656" s="155"/>
      <c r="AD656" s="156"/>
      <c r="AE656" s="156"/>
      <c r="AF656" s="156"/>
      <c r="AG656" s="156"/>
      <c r="AH656" s="156"/>
      <c r="AI656" s="156"/>
      <c r="AJ656" s="156"/>
      <c r="AK656" s="156"/>
      <c r="AL656" s="156"/>
      <c r="AM656" s="157">
        <f t="shared" si="770"/>
        <v>0</v>
      </c>
      <c r="AN656" s="158">
        <f t="shared" si="771"/>
        <v>4000</v>
      </c>
      <c r="AO656" s="159">
        <v>0.2</v>
      </c>
      <c r="AP656" s="160">
        <f t="shared" si="765"/>
        <v>0</v>
      </c>
      <c r="AQ656" s="161">
        <f t="shared" si="766"/>
        <v>0</v>
      </c>
      <c r="AR656" s="162">
        <f t="shared" si="767"/>
        <v>0</v>
      </c>
      <c r="AS656" s="163"/>
      <c r="AT656" s="164"/>
      <c r="AU656" s="165"/>
      <c r="AV656" s="166"/>
      <c r="AW656" s="167"/>
      <c r="AX656" s="146">
        <f t="shared" si="772"/>
        <v>0</v>
      </c>
      <c r="AY656" s="168"/>
    </row>
    <row r="657" spans="1:51" s="139" customFormat="1" ht="11.25" hidden="1" x14ac:dyDescent="0.25">
      <c r="A657" s="1"/>
      <c r="B657" s="140">
        <v>16</v>
      </c>
      <c r="C657" s="170" t="s">
        <v>78</v>
      </c>
      <c r="D657" s="142"/>
      <c r="E657" s="143"/>
      <c r="F657" s="143"/>
      <c r="G657" s="143"/>
      <c r="H657" s="143"/>
      <c r="I657" s="143"/>
      <c r="J657" s="144">
        <v>123984</v>
      </c>
      <c r="K657" s="144">
        <v>124141</v>
      </c>
      <c r="L657" s="144">
        <v>124340</v>
      </c>
      <c r="M657" s="144">
        <v>125425</v>
      </c>
      <c r="N657" s="144">
        <v>139663</v>
      </c>
      <c r="O657" s="143"/>
      <c r="P657" s="145"/>
      <c r="Q657" s="146">
        <f t="shared" si="768"/>
        <v>139663</v>
      </c>
      <c r="R657" s="147">
        <f t="shared" si="769"/>
        <v>15362.93</v>
      </c>
      <c r="S657" s="147">
        <f t="shared" si="763"/>
        <v>42.090219178082194</v>
      </c>
      <c r="T657" s="148">
        <f t="shared" si="773"/>
        <v>9217.7579999999998</v>
      </c>
      <c r="U657" s="406"/>
      <c r="V657" s="407"/>
      <c r="W657" s="236"/>
      <c r="X657" s="236"/>
      <c r="Y657" s="408"/>
      <c r="Z657" s="409"/>
      <c r="AA657" s="409"/>
      <c r="AB657" s="410"/>
      <c r="AC657" s="155"/>
      <c r="AD657" s="156"/>
      <c r="AE657" s="156"/>
      <c r="AF657" s="156"/>
      <c r="AG657" s="156"/>
      <c r="AH657" s="156"/>
      <c r="AI657" s="156"/>
      <c r="AJ657" s="156"/>
      <c r="AK657" s="156"/>
      <c r="AL657" s="156"/>
      <c r="AM657" s="157">
        <f t="shared" si="770"/>
        <v>0</v>
      </c>
      <c r="AN657" s="158">
        <f t="shared" si="771"/>
        <v>4000</v>
      </c>
      <c r="AO657" s="159">
        <v>0.2</v>
      </c>
      <c r="AP657" s="160">
        <f t="shared" si="765"/>
        <v>0</v>
      </c>
      <c r="AQ657" s="161">
        <f t="shared" si="766"/>
        <v>0</v>
      </c>
      <c r="AR657" s="162">
        <f t="shared" si="767"/>
        <v>0</v>
      </c>
      <c r="AS657" s="163"/>
      <c r="AT657" s="164"/>
      <c r="AU657" s="165"/>
      <c r="AV657" s="166"/>
      <c r="AW657" s="167"/>
      <c r="AX657" s="146">
        <f t="shared" si="772"/>
        <v>0</v>
      </c>
      <c r="AY657" s="168"/>
    </row>
    <row r="658" spans="1:51" s="139" customFormat="1" ht="11.25" hidden="1" x14ac:dyDescent="0.25">
      <c r="A658" s="1"/>
      <c r="B658" s="140">
        <v>17</v>
      </c>
      <c r="C658" s="170" t="s">
        <v>79</v>
      </c>
      <c r="D658" s="142"/>
      <c r="E658" s="143"/>
      <c r="F658" s="143"/>
      <c r="G658" s="143"/>
      <c r="H658" s="143"/>
      <c r="I658" s="143"/>
      <c r="J658" s="144">
        <v>109429</v>
      </c>
      <c r="K658" s="144">
        <v>111040</v>
      </c>
      <c r="L658" s="144">
        <v>112549</v>
      </c>
      <c r="M658" s="144">
        <v>114464</v>
      </c>
      <c r="N658" s="144">
        <v>122277</v>
      </c>
      <c r="O658" s="143"/>
      <c r="P658" s="145"/>
      <c r="Q658" s="146">
        <f t="shared" si="768"/>
        <v>122277</v>
      </c>
      <c r="R658" s="147">
        <f t="shared" si="769"/>
        <v>13450.47</v>
      </c>
      <c r="S658" s="147">
        <f t="shared" si="763"/>
        <v>36.850602739726028</v>
      </c>
      <c r="T658" s="148">
        <f t="shared" si="773"/>
        <v>8070.2820000000002</v>
      </c>
      <c r="U658" s="406"/>
      <c r="V658" s="407"/>
      <c r="W658" s="236"/>
      <c r="X658" s="236"/>
      <c r="Y658" s="408"/>
      <c r="Z658" s="409"/>
      <c r="AA658" s="409"/>
      <c r="AB658" s="410"/>
      <c r="AC658" s="155"/>
      <c r="AD658" s="156"/>
      <c r="AE658" s="156"/>
      <c r="AF658" s="156"/>
      <c r="AG658" s="156"/>
      <c r="AH658" s="156"/>
      <c r="AI658" s="156"/>
      <c r="AJ658" s="156"/>
      <c r="AK658" s="156"/>
      <c r="AL658" s="156"/>
      <c r="AM658" s="157">
        <f t="shared" si="770"/>
        <v>0</v>
      </c>
      <c r="AN658" s="158">
        <f t="shared" si="771"/>
        <v>4000</v>
      </c>
      <c r="AO658" s="159">
        <v>0.2</v>
      </c>
      <c r="AP658" s="160">
        <f t="shared" si="765"/>
        <v>0</v>
      </c>
      <c r="AQ658" s="161">
        <f t="shared" si="766"/>
        <v>0</v>
      </c>
      <c r="AR658" s="162">
        <f t="shared" si="767"/>
        <v>0</v>
      </c>
      <c r="AS658" s="163"/>
      <c r="AT658" s="164"/>
      <c r="AU658" s="165"/>
      <c r="AV658" s="166"/>
      <c r="AW658" s="167"/>
      <c r="AX658" s="146">
        <f t="shared" si="772"/>
        <v>0</v>
      </c>
      <c r="AY658" s="168"/>
    </row>
    <row r="659" spans="1:51" s="139" customFormat="1" ht="11.25" hidden="1" x14ac:dyDescent="0.25">
      <c r="A659" s="1"/>
      <c r="B659" s="140">
        <v>18</v>
      </c>
      <c r="C659" s="170" t="s">
        <v>80</v>
      </c>
      <c r="D659" s="142"/>
      <c r="E659" s="143"/>
      <c r="F659" s="143"/>
      <c r="G659" s="143"/>
      <c r="H659" s="143"/>
      <c r="I659" s="143"/>
      <c r="J659" s="144">
        <v>125892</v>
      </c>
      <c r="K659" s="144">
        <v>128446</v>
      </c>
      <c r="L659" s="144">
        <v>130906</v>
      </c>
      <c r="M659" s="144">
        <v>135345</v>
      </c>
      <c r="N659" s="144">
        <v>132956</v>
      </c>
      <c r="O659" s="143"/>
      <c r="P659" s="145"/>
      <c r="Q659" s="146">
        <f t="shared" si="768"/>
        <v>135345</v>
      </c>
      <c r="R659" s="147">
        <f t="shared" si="769"/>
        <v>14887.95</v>
      </c>
      <c r="S659" s="147">
        <f t="shared" si="763"/>
        <v>40.788904109589041</v>
      </c>
      <c r="T659" s="148">
        <f t="shared" si="773"/>
        <v>8932.7699999999986</v>
      </c>
      <c r="U659" s="406"/>
      <c r="V659" s="407"/>
      <c r="W659" s="236"/>
      <c r="X659" s="236"/>
      <c r="Y659" s="408"/>
      <c r="Z659" s="409"/>
      <c r="AA659" s="409"/>
      <c r="AB659" s="410"/>
      <c r="AC659" s="155"/>
      <c r="AD659" s="156"/>
      <c r="AE659" s="156"/>
      <c r="AF659" s="156"/>
      <c r="AG659" s="156"/>
      <c r="AH659" s="156"/>
      <c r="AI659" s="156"/>
      <c r="AJ659" s="156"/>
      <c r="AK659" s="156"/>
      <c r="AL659" s="156"/>
      <c r="AM659" s="157">
        <f t="shared" si="770"/>
        <v>0</v>
      </c>
      <c r="AN659" s="158">
        <f t="shared" si="771"/>
        <v>4000</v>
      </c>
      <c r="AO659" s="159">
        <v>0.2</v>
      </c>
      <c r="AP659" s="160">
        <f t="shared" si="765"/>
        <v>0</v>
      </c>
      <c r="AQ659" s="161">
        <f t="shared" si="766"/>
        <v>0</v>
      </c>
      <c r="AR659" s="162">
        <f t="shared" si="767"/>
        <v>0</v>
      </c>
      <c r="AS659" s="163"/>
      <c r="AT659" s="164"/>
      <c r="AU659" s="165"/>
      <c r="AV659" s="166"/>
      <c r="AW659" s="167"/>
      <c r="AX659" s="146">
        <f t="shared" si="772"/>
        <v>0</v>
      </c>
      <c r="AY659" s="168"/>
    </row>
    <row r="660" spans="1:51" s="139" customFormat="1" ht="11.25" hidden="1" x14ac:dyDescent="0.25">
      <c r="A660" s="1"/>
      <c r="B660" s="140">
        <v>19</v>
      </c>
      <c r="C660" s="232" t="s">
        <v>81</v>
      </c>
      <c r="D660" s="142"/>
      <c r="E660" s="143"/>
      <c r="F660" s="143"/>
      <c r="G660" s="143"/>
      <c r="H660" s="143"/>
      <c r="I660" s="143"/>
      <c r="J660" s="144">
        <v>199241</v>
      </c>
      <c r="K660" s="144">
        <v>219659</v>
      </c>
      <c r="L660" s="144">
        <v>217918</v>
      </c>
      <c r="M660" s="144">
        <v>212241</v>
      </c>
      <c r="N660" s="144">
        <v>223446</v>
      </c>
      <c r="O660" s="143"/>
      <c r="P660" s="145"/>
      <c r="Q660" s="157">
        <f t="shared" si="768"/>
        <v>223446</v>
      </c>
      <c r="R660" s="147">
        <f t="shared" si="769"/>
        <v>24579.06</v>
      </c>
      <c r="S660" s="147">
        <f t="shared" si="763"/>
        <v>67.339890410958901</v>
      </c>
      <c r="T660" s="148">
        <f t="shared" si="773"/>
        <v>14747.435999999998</v>
      </c>
      <c r="U660" s="406"/>
      <c r="V660" s="407"/>
      <c r="W660" s="236"/>
      <c r="X660" s="236"/>
      <c r="Y660" s="408"/>
      <c r="Z660" s="409"/>
      <c r="AA660" s="409"/>
      <c r="AB660" s="410"/>
      <c r="AC660" s="155"/>
      <c r="AD660" s="156"/>
      <c r="AE660" s="156"/>
      <c r="AF660" s="156"/>
      <c r="AG660" s="156"/>
      <c r="AH660" s="156"/>
      <c r="AI660" s="156"/>
      <c r="AJ660" s="156"/>
      <c r="AK660" s="156"/>
      <c r="AL660" s="156"/>
      <c r="AM660" s="157">
        <f t="shared" si="770"/>
        <v>0</v>
      </c>
      <c r="AN660" s="158">
        <f t="shared" si="771"/>
        <v>4000</v>
      </c>
      <c r="AO660" s="159">
        <v>0.2</v>
      </c>
      <c r="AP660" s="160">
        <f t="shared" si="765"/>
        <v>0</v>
      </c>
      <c r="AQ660" s="161">
        <f t="shared" si="766"/>
        <v>0</v>
      </c>
      <c r="AR660" s="162">
        <f t="shared" si="767"/>
        <v>0</v>
      </c>
      <c r="AS660" s="163"/>
      <c r="AT660" s="164"/>
      <c r="AU660" s="165"/>
      <c r="AV660" s="166"/>
      <c r="AW660" s="167"/>
      <c r="AX660" s="146">
        <f t="shared" si="772"/>
        <v>0</v>
      </c>
      <c r="AY660" s="168"/>
    </row>
    <row r="661" spans="1:51" s="139" customFormat="1" ht="11.25" hidden="1" x14ac:dyDescent="0.25">
      <c r="A661" s="1"/>
      <c r="B661" s="140"/>
      <c r="C661" s="232"/>
      <c r="D661" s="142"/>
      <c r="E661" s="143"/>
      <c r="F661" s="143"/>
      <c r="G661" s="143"/>
      <c r="H661" s="143"/>
      <c r="I661" s="143"/>
      <c r="J661" s="144"/>
      <c r="K661" s="144"/>
      <c r="L661" s="144"/>
      <c r="M661" s="144"/>
      <c r="N661" s="144"/>
      <c r="O661" s="143"/>
      <c r="P661" s="145"/>
      <c r="Q661" s="157"/>
      <c r="R661" s="147"/>
      <c r="S661" s="147"/>
      <c r="T661" s="148"/>
      <c r="U661" s="406" t="s">
        <v>640</v>
      </c>
      <c r="V661" s="407">
        <v>6.5</v>
      </c>
      <c r="W661" s="236">
        <f>(172.5*0.25)*365</f>
        <v>15740.625</v>
      </c>
      <c r="X661" s="236"/>
      <c r="Y661" s="408"/>
      <c r="Z661" s="409"/>
      <c r="AA661" s="409"/>
      <c r="AB661" s="410"/>
      <c r="AC661" s="411">
        <f>W661*52%</f>
        <v>8185.125</v>
      </c>
      <c r="AD661" s="412">
        <f>W661*25%</f>
        <v>3935.15625</v>
      </c>
      <c r="AE661" s="412">
        <f>W661*9%</f>
        <v>1416.65625</v>
      </c>
      <c r="AF661" s="412">
        <f>W661*5%</f>
        <v>787.03125</v>
      </c>
      <c r="AG661" s="412">
        <f>W661*3%</f>
        <v>472.21875</v>
      </c>
      <c r="AH661" s="412">
        <f>W661*1%</f>
        <v>157.40625</v>
      </c>
      <c r="AI661" s="412">
        <f>W661*2%</f>
        <v>314.8125</v>
      </c>
      <c r="AJ661" s="412">
        <f>W661*1%</f>
        <v>157.40625</v>
      </c>
      <c r="AK661" s="412">
        <f>W661*4%</f>
        <v>629.625</v>
      </c>
      <c r="AL661" s="412">
        <f>W661*1%</f>
        <v>157.40625</v>
      </c>
      <c r="AM661" s="413">
        <f>SUM(AD661:AI661)</f>
        <v>7083.28125</v>
      </c>
      <c r="AN661" s="158">
        <f t="shared" si="771"/>
        <v>4000</v>
      </c>
      <c r="AO661" s="159">
        <v>0.2</v>
      </c>
      <c r="AP661" s="160">
        <f t="shared" si="765"/>
        <v>118625127.75</v>
      </c>
      <c r="AQ661" s="161">
        <f t="shared" si="766"/>
        <v>32951.427011113949</v>
      </c>
      <c r="AR661" s="162">
        <f t="shared" si="767"/>
        <v>6590.2854022227903</v>
      </c>
      <c r="AS661" s="163"/>
      <c r="AT661" s="233"/>
      <c r="AU661" s="187"/>
      <c r="AV661" s="414">
        <f>AR661/$AV$5</f>
        <v>0.94039460648156259</v>
      </c>
      <c r="AW661" s="415"/>
      <c r="AX661" s="146">
        <f>SUM(AU661:AV661)</f>
        <v>0.94039460648156259</v>
      </c>
      <c r="AY661" s="168"/>
    </row>
    <row r="662" spans="1:51" s="139" customFormat="1" ht="11.25" hidden="1" x14ac:dyDescent="0.25">
      <c r="A662" s="1"/>
      <c r="B662" s="140">
        <v>21</v>
      </c>
      <c r="C662" s="170" t="s">
        <v>82</v>
      </c>
      <c r="D662" s="142"/>
      <c r="E662" s="143"/>
      <c r="F662" s="143"/>
      <c r="G662" s="143"/>
      <c r="H662" s="143"/>
      <c r="I662" s="143"/>
      <c r="J662" s="144">
        <v>29098</v>
      </c>
      <c r="K662" s="144">
        <v>29144</v>
      </c>
      <c r="L662" s="144">
        <v>29221</v>
      </c>
      <c r="M662" s="144">
        <v>29184</v>
      </c>
      <c r="N662" s="144">
        <v>30653</v>
      </c>
      <c r="O662" s="143"/>
      <c r="P662" s="145"/>
      <c r="Q662" s="146">
        <f t="shared" si="768"/>
        <v>30653</v>
      </c>
      <c r="R662" s="147">
        <f t="shared" si="769"/>
        <v>3371.83</v>
      </c>
      <c r="S662" s="147">
        <f>R662/$S$5</f>
        <v>9.2378904109589044</v>
      </c>
      <c r="T662" s="148">
        <f>S662*$T$5*$T$10</f>
        <v>2023.098</v>
      </c>
      <c r="U662" s="406"/>
      <c r="V662" s="407"/>
      <c r="W662" s="236"/>
      <c r="X662" s="236"/>
      <c r="Y662" s="408"/>
      <c r="Z662" s="409"/>
      <c r="AA662" s="409"/>
      <c r="AB662" s="410"/>
      <c r="AC662" s="155"/>
      <c r="AD662" s="156"/>
      <c r="AE662" s="156"/>
      <c r="AF662" s="156"/>
      <c r="AG662" s="156"/>
      <c r="AH662" s="156"/>
      <c r="AI662" s="156"/>
      <c r="AJ662" s="156"/>
      <c r="AK662" s="156"/>
      <c r="AL662" s="156"/>
      <c r="AM662" s="157">
        <f t="shared" si="770"/>
        <v>0</v>
      </c>
      <c r="AN662" s="158">
        <f t="shared" si="771"/>
        <v>4000</v>
      </c>
      <c r="AO662" s="159">
        <v>0.2</v>
      </c>
      <c r="AP662" s="160">
        <f t="shared" si="765"/>
        <v>0</v>
      </c>
      <c r="AQ662" s="161">
        <f t="shared" si="766"/>
        <v>0</v>
      </c>
      <c r="AR662" s="162">
        <f t="shared" si="767"/>
        <v>0</v>
      </c>
      <c r="AS662" s="163"/>
      <c r="AT662" s="164"/>
      <c r="AU662" s="165"/>
      <c r="AV662" s="166"/>
      <c r="AW662" s="167"/>
      <c r="AX662" s="146">
        <f t="shared" si="772"/>
        <v>0</v>
      </c>
      <c r="AY662" s="168"/>
    </row>
    <row r="663" spans="1:51" s="139" customFormat="1" ht="11.25" hidden="1" x14ac:dyDescent="0.25">
      <c r="A663" s="1"/>
      <c r="B663" s="140">
        <v>21</v>
      </c>
      <c r="C663" s="170" t="s">
        <v>83</v>
      </c>
      <c r="D663" s="142"/>
      <c r="E663" s="143"/>
      <c r="F663" s="143"/>
      <c r="G663" s="143"/>
      <c r="H663" s="143"/>
      <c r="I663" s="143"/>
      <c r="J663" s="144">
        <v>157635</v>
      </c>
      <c r="K663" s="144">
        <v>158169</v>
      </c>
      <c r="L663" s="144">
        <v>158760</v>
      </c>
      <c r="M663" s="144">
        <v>159239</v>
      </c>
      <c r="N663" s="144">
        <v>171163</v>
      </c>
      <c r="O663" s="143"/>
      <c r="P663" s="145"/>
      <c r="Q663" s="146">
        <f t="shared" si="768"/>
        <v>171163</v>
      </c>
      <c r="R663" s="147">
        <f t="shared" si="769"/>
        <v>18827.93</v>
      </c>
      <c r="S663" s="147">
        <f>R663/$S$5</f>
        <v>51.583369863013701</v>
      </c>
      <c r="T663" s="148">
        <f>S663*$T$5*$T$10</f>
        <v>11296.758</v>
      </c>
      <c r="U663" s="406"/>
      <c r="V663" s="407"/>
      <c r="W663" s="236"/>
      <c r="X663" s="236"/>
      <c r="Y663" s="408"/>
      <c r="Z663" s="409"/>
      <c r="AA663" s="409"/>
      <c r="AB663" s="410"/>
      <c r="AC663" s="155"/>
      <c r="AD663" s="156"/>
      <c r="AE663" s="156"/>
      <c r="AF663" s="156"/>
      <c r="AG663" s="156"/>
      <c r="AH663" s="156"/>
      <c r="AI663" s="156"/>
      <c r="AJ663" s="156"/>
      <c r="AK663" s="156"/>
      <c r="AL663" s="156"/>
      <c r="AM663" s="157">
        <f t="shared" si="770"/>
        <v>0</v>
      </c>
      <c r="AN663" s="158">
        <f t="shared" si="771"/>
        <v>4000</v>
      </c>
      <c r="AO663" s="159">
        <v>0.2</v>
      </c>
      <c r="AP663" s="160">
        <f t="shared" si="765"/>
        <v>0</v>
      </c>
      <c r="AQ663" s="161">
        <f t="shared" si="766"/>
        <v>0</v>
      </c>
      <c r="AR663" s="162">
        <f t="shared" si="767"/>
        <v>0</v>
      </c>
      <c r="AS663" s="163"/>
      <c r="AT663" s="164"/>
      <c r="AU663" s="165"/>
      <c r="AV663" s="166"/>
      <c r="AW663" s="167"/>
      <c r="AX663" s="146">
        <f t="shared" si="772"/>
        <v>0</v>
      </c>
      <c r="AY663" s="168"/>
    </row>
    <row r="664" spans="1:51" s="139" customFormat="1" ht="11.25" hidden="1" x14ac:dyDescent="0.25">
      <c r="A664" s="1"/>
      <c r="B664" s="140">
        <v>22</v>
      </c>
      <c r="C664" s="170" t="s">
        <v>84</v>
      </c>
      <c r="D664" s="142"/>
      <c r="E664" s="143"/>
      <c r="F664" s="143"/>
      <c r="G664" s="143"/>
      <c r="H664" s="143"/>
      <c r="I664" s="143"/>
      <c r="J664" s="144">
        <v>139893</v>
      </c>
      <c r="K664" s="144">
        <v>140005</v>
      </c>
      <c r="L664" s="144">
        <v>140267</v>
      </c>
      <c r="M664" s="144">
        <v>140415</v>
      </c>
      <c r="N664" s="144">
        <v>148945</v>
      </c>
      <c r="O664" s="143"/>
      <c r="P664" s="145"/>
      <c r="Q664" s="146">
        <f t="shared" si="768"/>
        <v>148945</v>
      </c>
      <c r="R664" s="147">
        <f t="shared" si="769"/>
        <v>16383.95</v>
      </c>
      <c r="S664" s="147">
        <f>R664/$S$5</f>
        <v>44.887534246575342</v>
      </c>
      <c r="T664" s="148">
        <f>S664*$T$5*$T$10</f>
        <v>9830.3700000000008</v>
      </c>
      <c r="U664" s="406"/>
      <c r="V664" s="407"/>
      <c r="W664" s="236"/>
      <c r="X664" s="236"/>
      <c r="Y664" s="408"/>
      <c r="Z664" s="409"/>
      <c r="AA664" s="409"/>
      <c r="AB664" s="410"/>
      <c r="AC664" s="155"/>
      <c r="AD664" s="156"/>
      <c r="AE664" s="156"/>
      <c r="AF664" s="156"/>
      <c r="AG664" s="156"/>
      <c r="AH664" s="156"/>
      <c r="AI664" s="156"/>
      <c r="AJ664" s="156"/>
      <c r="AK664" s="156"/>
      <c r="AL664" s="156"/>
      <c r="AM664" s="157">
        <f t="shared" si="770"/>
        <v>0</v>
      </c>
      <c r="AN664" s="158">
        <f t="shared" si="771"/>
        <v>4000</v>
      </c>
      <c r="AO664" s="159">
        <v>0.2</v>
      </c>
      <c r="AP664" s="160">
        <f t="shared" si="765"/>
        <v>0</v>
      </c>
      <c r="AQ664" s="161">
        <f t="shared" si="766"/>
        <v>0</v>
      </c>
      <c r="AR664" s="162">
        <f t="shared" si="767"/>
        <v>0</v>
      </c>
      <c r="AS664" s="163"/>
      <c r="AT664" s="164"/>
      <c r="AU664" s="165"/>
      <c r="AV664" s="166"/>
      <c r="AW664" s="167"/>
      <c r="AX664" s="146">
        <f t="shared" si="772"/>
        <v>0</v>
      </c>
      <c r="AY664" s="168"/>
    </row>
    <row r="665" spans="1:51" s="139" customFormat="1" ht="11.25" hidden="1" x14ac:dyDescent="0.25">
      <c r="A665" s="1"/>
      <c r="B665" s="140">
        <v>23</v>
      </c>
      <c r="C665" s="172" t="s">
        <v>85</v>
      </c>
      <c r="D665" s="142"/>
      <c r="E665" s="143"/>
      <c r="F665" s="143"/>
      <c r="G665" s="143"/>
      <c r="H665" s="143"/>
      <c r="I665" s="143"/>
      <c r="J665" s="144">
        <v>61870</v>
      </c>
      <c r="K665" s="144">
        <v>63444</v>
      </c>
      <c r="L665" s="144">
        <v>64256</v>
      </c>
      <c r="M665" s="144">
        <v>66451</v>
      </c>
      <c r="N665" s="144">
        <v>67446</v>
      </c>
      <c r="O665" s="143"/>
      <c r="P665" s="145"/>
      <c r="Q665" s="146">
        <f t="shared" si="768"/>
        <v>67446</v>
      </c>
      <c r="R665" s="147">
        <f t="shared" si="769"/>
        <v>7419.06</v>
      </c>
      <c r="S665" s="147">
        <f>R665/$S$5</f>
        <v>20.326191780821919</v>
      </c>
      <c r="T665" s="148">
        <f>S665*$T$5*$T$10</f>
        <v>4451.4359999999997</v>
      </c>
      <c r="U665" s="406"/>
      <c r="V665" s="407"/>
      <c r="W665" s="236"/>
      <c r="X665" s="236"/>
      <c r="Y665" s="408"/>
      <c r="Z665" s="409"/>
      <c r="AA665" s="409"/>
      <c r="AB665" s="410"/>
      <c r="AC665" s="155"/>
      <c r="AD665" s="156"/>
      <c r="AE665" s="156"/>
      <c r="AF665" s="156"/>
      <c r="AG665" s="156"/>
      <c r="AH665" s="156"/>
      <c r="AI665" s="156"/>
      <c r="AJ665" s="156"/>
      <c r="AK665" s="156"/>
      <c r="AL665" s="156"/>
      <c r="AM665" s="157">
        <f t="shared" si="770"/>
        <v>0</v>
      </c>
      <c r="AN665" s="158">
        <f t="shared" si="771"/>
        <v>4000</v>
      </c>
      <c r="AO665" s="159">
        <v>0.2</v>
      </c>
      <c r="AP665" s="160">
        <f t="shared" si="765"/>
        <v>0</v>
      </c>
      <c r="AQ665" s="161">
        <f t="shared" si="766"/>
        <v>0</v>
      </c>
      <c r="AR665" s="162">
        <f t="shared" si="767"/>
        <v>0</v>
      </c>
      <c r="AS665" s="163"/>
      <c r="AT665" s="164"/>
      <c r="AU665" s="165"/>
      <c r="AV665" s="166"/>
      <c r="AW665" s="167"/>
      <c r="AX665" s="146">
        <f t="shared" si="772"/>
        <v>0</v>
      </c>
      <c r="AY665" s="168"/>
    </row>
    <row r="666" spans="1:51" s="190" customFormat="1" ht="16.7" hidden="1" customHeight="1" thickBot="1" x14ac:dyDescent="0.3">
      <c r="A666" s="173"/>
      <c r="B666" s="174"/>
      <c r="C666" s="175" t="s">
        <v>86</v>
      </c>
      <c r="D666" s="176">
        <f t="shared" ref="D666:I666" si="774">SUM(D642:D664)</f>
        <v>0</v>
      </c>
      <c r="E666" s="177">
        <f t="shared" si="774"/>
        <v>0</v>
      </c>
      <c r="F666" s="177">
        <f t="shared" si="774"/>
        <v>0</v>
      </c>
      <c r="G666" s="177">
        <f t="shared" si="774"/>
        <v>0</v>
      </c>
      <c r="H666" s="177">
        <f t="shared" si="774"/>
        <v>0</v>
      </c>
      <c r="I666" s="177">
        <f t="shared" si="774"/>
        <v>0</v>
      </c>
      <c r="J666" s="177">
        <f>SUM(J642:J665)</f>
        <v>4153573</v>
      </c>
      <c r="K666" s="177">
        <f>SUM(K642:K665)</f>
        <v>4223833</v>
      </c>
      <c r="L666" s="177">
        <f>SUM(L642:L665)</f>
        <v>4293915</v>
      </c>
      <c r="M666" s="177">
        <f>SUM(M642:M665)</f>
        <v>4363477</v>
      </c>
      <c r="N666" s="177">
        <f>SUM(N642:N665)</f>
        <v>4494410</v>
      </c>
      <c r="O666" s="177">
        <f>SUM(O642:O664)</f>
        <v>0</v>
      </c>
      <c r="P666" s="177">
        <f>SUM(P642:P664)</f>
        <v>0</v>
      </c>
      <c r="Q666" s="178">
        <f>SUM(Q642:Q665)</f>
        <v>4541157</v>
      </c>
      <c r="R666" s="178">
        <f>SUM(R642:R665)</f>
        <v>518698.60199999996</v>
      </c>
      <c r="S666" s="178">
        <f>SUM(S642:S665)</f>
        <v>1421.0920602739727</v>
      </c>
      <c r="T666" s="178">
        <f>SUM(T642:T665)</f>
        <v>318994.2013999999</v>
      </c>
      <c r="U666" s="416">
        <f>SUM(U642:U664)</f>
        <v>0</v>
      </c>
      <c r="V666" s="417"/>
      <c r="W666" s="304">
        <f>SUM(W642:W664)</f>
        <v>15740.625</v>
      </c>
      <c r="X666" s="304">
        <f>SUM(X642:X664)</f>
        <v>0</v>
      </c>
      <c r="Y666" s="304">
        <f>SUM(Y642:Y664)</f>
        <v>0</v>
      </c>
      <c r="Z666" s="418"/>
      <c r="AA666" s="418"/>
      <c r="AB666" s="419"/>
      <c r="AC666" s="177">
        <f>SUM(AC642:AC665)</f>
        <v>8185.125</v>
      </c>
      <c r="AD666" s="177">
        <f t="shared" ref="AD666:AL666" si="775">SUM(AD642:AD665)</f>
        <v>3935.15625</v>
      </c>
      <c r="AE666" s="177">
        <f t="shared" si="775"/>
        <v>1416.65625</v>
      </c>
      <c r="AF666" s="177">
        <f t="shared" si="775"/>
        <v>787.03125</v>
      </c>
      <c r="AG666" s="177">
        <f t="shared" si="775"/>
        <v>472.21875</v>
      </c>
      <c r="AH666" s="177">
        <f t="shared" si="775"/>
        <v>157.40625</v>
      </c>
      <c r="AI666" s="177">
        <f t="shared" si="775"/>
        <v>314.8125</v>
      </c>
      <c r="AJ666" s="177">
        <f t="shared" si="775"/>
        <v>157.40625</v>
      </c>
      <c r="AK666" s="177">
        <f t="shared" si="775"/>
        <v>629.625</v>
      </c>
      <c r="AL666" s="177">
        <f t="shared" si="775"/>
        <v>157.40625</v>
      </c>
      <c r="AM666" s="178">
        <f>SUM(AM642:AM665)</f>
        <v>7083.28125</v>
      </c>
      <c r="AN666" s="158"/>
      <c r="AO666" s="183"/>
      <c r="AP666" s="184">
        <f t="shared" ref="AP666:AX666" si="776">SUM(AP642:AP665)</f>
        <v>118625127.75</v>
      </c>
      <c r="AQ666" s="184">
        <f t="shared" si="776"/>
        <v>32951.427011113949</v>
      </c>
      <c r="AR666" s="184">
        <f t="shared" si="776"/>
        <v>6590.2854022227903</v>
      </c>
      <c r="AS666" s="185"/>
      <c r="AT666" s="186"/>
      <c r="AU666" s="188">
        <f>SUM(AU642:AU665)</f>
        <v>0</v>
      </c>
      <c r="AV666" s="188">
        <f>SUM(AV642:AV665)</f>
        <v>0.94039460648156259</v>
      </c>
      <c r="AW666" s="188">
        <f>SUM(AW642:AW665)</f>
        <v>0</v>
      </c>
      <c r="AX666" s="184">
        <f t="shared" si="776"/>
        <v>0.94039460648156259</v>
      </c>
      <c r="AY666" s="189"/>
    </row>
    <row r="667" spans="1:51" s="139" customFormat="1" ht="11.25" hidden="1" x14ac:dyDescent="0.25">
      <c r="B667" s="191"/>
      <c r="C667" s="192"/>
      <c r="D667" s="193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5"/>
      <c r="Q667" s="196"/>
      <c r="R667" s="197"/>
      <c r="S667" s="197"/>
      <c r="T667" s="198"/>
      <c r="U667" s="199"/>
      <c r="V667" s="179"/>
      <c r="W667" s="151"/>
      <c r="X667" s="151"/>
      <c r="Y667" s="152"/>
      <c r="Z667" s="153"/>
      <c r="AA667" s="153"/>
      <c r="AB667" s="154"/>
      <c r="AC667" s="200"/>
      <c r="AD667" s="201"/>
      <c r="AE667" s="201"/>
      <c r="AF667" s="201"/>
      <c r="AG667" s="201"/>
      <c r="AH667" s="201"/>
      <c r="AI667" s="201"/>
      <c r="AJ667" s="201"/>
      <c r="AK667" s="201"/>
      <c r="AL667" s="201"/>
      <c r="AM667" s="202"/>
      <c r="AN667" s="203"/>
      <c r="AO667" s="204"/>
      <c r="AP667" s="203"/>
      <c r="AQ667" s="205"/>
      <c r="AR667" s="206"/>
      <c r="AS667" s="207"/>
      <c r="AT667" s="208"/>
      <c r="AU667" s="209"/>
      <c r="AV667" s="193"/>
      <c r="AW667" s="210"/>
      <c r="AX667" s="211"/>
      <c r="AY667" s="212"/>
    </row>
    <row r="668" spans="1:51" s="139" customFormat="1" ht="15" hidden="1" customHeight="1" x14ac:dyDescent="0.25">
      <c r="A668" s="1"/>
      <c r="B668" s="120"/>
      <c r="C668" s="121" t="s">
        <v>87</v>
      </c>
      <c r="D668" s="122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213"/>
      <c r="Q668" s="76"/>
      <c r="R668" s="108"/>
      <c r="S668" s="108"/>
      <c r="T668" s="94"/>
      <c r="U668" s="120"/>
      <c r="V668" s="67"/>
      <c r="W668" s="123"/>
      <c r="X668" s="123"/>
      <c r="Y668" s="125"/>
      <c r="Z668" s="126"/>
      <c r="AA668" s="126"/>
      <c r="AB668" s="127"/>
      <c r="AC668" s="62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125"/>
      <c r="AN668" s="75"/>
      <c r="AO668" s="216"/>
      <c r="AP668" s="75"/>
      <c r="AQ668" s="51"/>
      <c r="AR668" s="217"/>
      <c r="AS668" s="218"/>
      <c r="AT668" s="219"/>
      <c r="AU668" s="220"/>
      <c r="AV668" s="135"/>
      <c r="AW668" s="136"/>
      <c r="AX668" s="137"/>
      <c r="AY668" s="138"/>
    </row>
    <row r="669" spans="1:51" s="139" customFormat="1" ht="11.25" hidden="1" x14ac:dyDescent="0.25">
      <c r="A669" s="1"/>
      <c r="B669" s="140">
        <v>1</v>
      </c>
      <c r="C669" s="221" t="s">
        <v>88</v>
      </c>
      <c r="D669" s="142"/>
      <c r="E669" s="143"/>
      <c r="F669" s="143"/>
      <c r="G669" s="143"/>
      <c r="H669" s="143"/>
      <c r="I669" s="143"/>
      <c r="J669" s="143"/>
      <c r="K669" s="143"/>
      <c r="L669" s="143"/>
      <c r="M669" s="143"/>
      <c r="N669" s="222">
        <v>132329</v>
      </c>
      <c r="O669" s="143"/>
      <c r="P669" s="145"/>
      <c r="Q669" s="223">
        <f t="shared" ref="Q669:Q710" si="777">MAX(D669:P669)</f>
        <v>132329</v>
      </c>
      <c r="R669" s="147">
        <f t="shared" ref="R669:R675" si="778">Q669*$R$10</f>
        <v>14556.19</v>
      </c>
      <c r="S669" s="147">
        <f t="shared" ref="S669:S676" si="779">R669/$S$5</f>
        <v>39.879972602739727</v>
      </c>
      <c r="T669" s="148">
        <f t="shared" ref="T669:T675" si="780">S669*$T$5*$T$10</f>
        <v>8733.7139999999999</v>
      </c>
      <c r="U669" s="420"/>
      <c r="V669" s="407"/>
      <c r="W669" s="236"/>
      <c r="X669" s="236"/>
      <c r="Y669" s="408"/>
      <c r="Z669" s="409"/>
      <c r="AA669" s="409"/>
      <c r="AB669" s="410"/>
      <c r="AC669" s="155"/>
      <c r="AD669" s="156"/>
      <c r="AE669" s="156"/>
      <c r="AF669" s="156"/>
      <c r="AG669" s="156"/>
      <c r="AH669" s="156"/>
      <c r="AI669" s="156"/>
      <c r="AJ669" s="156"/>
      <c r="AK669" s="156"/>
      <c r="AL669" s="156"/>
      <c r="AM669" s="157">
        <f t="shared" ref="AM669:AM710" si="781">SUM(AD669:AI669)</f>
        <v>0</v>
      </c>
      <c r="AN669" s="158">
        <f t="shared" ref="AN669:AN710" si="782">$AN$641</f>
        <v>4000</v>
      </c>
      <c r="AO669" s="159">
        <v>0.2</v>
      </c>
      <c r="AP669" s="160">
        <f t="shared" ref="AP669:AP710" si="783">AM669*AN669*$AP$5</f>
        <v>0</v>
      </c>
      <c r="AQ669" s="161">
        <f t="shared" ref="AQ669:AQ710" si="784">AP669*$AQ$5</f>
        <v>0</v>
      </c>
      <c r="AR669" s="162">
        <f t="shared" ref="AR669:AR710" si="785">AQ669*$AR$5</f>
        <v>0</v>
      </c>
      <c r="AS669" s="163"/>
      <c r="AT669" s="164"/>
      <c r="AU669" s="165"/>
      <c r="AV669" s="166"/>
      <c r="AW669" s="167"/>
      <c r="AX669" s="146">
        <f>SUM(AU669:AV669)</f>
        <v>0</v>
      </c>
      <c r="AY669" s="168"/>
    </row>
    <row r="670" spans="1:51" s="139" customFormat="1" ht="11.25" hidden="1" x14ac:dyDescent="0.25">
      <c r="A670" s="1"/>
      <c r="B670" s="140">
        <v>2</v>
      </c>
      <c r="C670" s="224" t="s">
        <v>89</v>
      </c>
      <c r="D670" s="142"/>
      <c r="E670" s="143"/>
      <c r="F670" s="143"/>
      <c r="G670" s="143"/>
      <c r="H670" s="143"/>
      <c r="I670" s="143"/>
      <c r="J670" s="143"/>
      <c r="K670" s="143"/>
      <c r="L670" s="143"/>
      <c r="M670" s="143"/>
      <c r="N670" s="222">
        <v>403894</v>
      </c>
      <c r="O670" s="143"/>
      <c r="P670" s="145"/>
      <c r="Q670" s="223">
        <f t="shared" si="777"/>
        <v>403894</v>
      </c>
      <c r="R670" s="147">
        <f t="shared" si="778"/>
        <v>44428.340000000004</v>
      </c>
      <c r="S670" s="147">
        <f t="shared" si="779"/>
        <v>121.72147945205481</v>
      </c>
      <c r="T670" s="148">
        <f t="shared" si="780"/>
        <v>26657.004000000001</v>
      </c>
      <c r="U670" s="420"/>
      <c r="V670" s="407"/>
      <c r="W670" s="236"/>
      <c r="X670" s="236"/>
      <c r="Y670" s="408"/>
      <c r="Z670" s="409"/>
      <c r="AA670" s="409"/>
      <c r="AB670" s="410"/>
      <c r="AC670" s="155"/>
      <c r="AD670" s="156"/>
      <c r="AE670" s="156"/>
      <c r="AF670" s="156"/>
      <c r="AG670" s="156"/>
      <c r="AH670" s="156"/>
      <c r="AI670" s="156"/>
      <c r="AJ670" s="156"/>
      <c r="AK670" s="156"/>
      <c r="AL670" s="156"/>
      <c r="AM670" s="157">
        <f t="shared" si="781"/>
        <v>0</v>
      </c>
      <c r="AN670" s="158">
        <f t="shared" si="782"/>
        <v>4000</v>
      </c>
      <c r="AO670" s="159">
        <v>0.2</v>
      </c>
      <c r="AP670" s="160">
        <f t="shared" si="783"/>
        <v>0</v>
      </c>
      <c r="AQ670" s="161">
        <f t="shared" si="784"/>
        <v>0</v>
      </c>
      <c r="AR670" s="162">
        <f t="shared" si="785"/>
        <v>0</v>
      </c>
      <c r="AS670" s="163"/>
      <c r="AT670" s="164"/>
      <c r="AU670" s="165"/>
      <c r="AV670" s="166"/>
      <c r="AW670" s="167"/>
      <c r="AX670" s="146">
        <f t="shared" ref="AX670:AX710" si="786">SUM(AU670:AV670)</f>
        <v>0</v>
      </c>
      <c r="AY670" s="168"/>
    </row>
    <row r="671" spans="1:51" s="139" customFormat="1" ht="11.25" hidden="1" x14ac:dyDescent="0.25">
      <c r="A671" s="1"/>
      <c r="B671" s="140">
        <v>3</v>
      </c>
      <c r="C671" s="170" t="s">
        <v>90</v>
      </c>
      <c r="D671" s="142"/>
      <c r="E671" s="143"/>
      <c r="F671" s="143"/>
      <c r="G671" s="143"/>
      <c r="H671" s="143"/>
      <c r="I671" s="143"/>
      <c r="J671" s="143"/>
      <c r="K671" s="143"/>
      <c r="L671" s="143"/>
      <c r="M671" s="143"/>
      <c r="N671" s="222">
        <v>264108</v>
      </c>
      <c r="O671" s="143"/>
      <c r="P671" s="145"/>
      <c r="Q671" s="223">
        <f t="shared" si="777"/>
        <v>264108</v>
      </c>
      <c r="R671" s="147">
        <f t="shared" si="778"/>
        <v>29051.88</v>
      </c>
      <c r="S671" s="147">
        <f t="shared" si="779"/>
        <v>79.594191780821916</v>
      </c>
      <c r="T671" s="148">
        <f t="shared" si="780"/>
        <v>17431.128000000001</v>
      </c>
      <c r="U671" s="420"/>
      <c r="V671" s="407"/>
      <c r="W671" s="236"/>
      <c r="X671" s="236"/>
      <c r="Y671" s="408"/>
      <c r="Z671" s="409"/>
      <c r="AA671" s="409"/>
      <c r="AB671" s="410"/>
      <c r="AC671" s="155"/>
      <c r="AD671" s="156"/>
      <c r="AE671" s="156"/>
      <c r="AF671" s="156"/>
      <c r="AG671" s="156"/>
      <c r="AH671" s="156"/>
      <c r="AI671" s="156"/>
      <c r="AJ671" s="156"/>
      <c r="AK671" s="156"/>
      <c r="AL671" s="156"/>
      <c r="AM671" s="157">
        <f t="shared" si="781"/>
        <v>0</v>
      </c>
      <c r="AN671" s="158">
        <f t="shared" si="782"/>
        <v>4000</v>
      </c>
      <c r="AO671" s="159">
        <v>0.2</v>
      </c>
      <c r="AP671" s="160">
        <f t="shared" si="783"/>
        <v>0</v>
      </c>
      <c r="AQ671" s="161">
        <f t="shared" si="784"/>
        <v>0</v>
      </c>
      <c r="AR671" s="162">
        <f t="shared" si="785"/>
        <v>0</v>
      </c>
      <c r="AS671" s="163"/>
      <c r="AT671" s="164"/>
      <c r="AU671" s="165"/>
      <c r="AV671" s="166"/>
      <c r="AW671" s="167"/>
      <c r="AX671" s="146">
        <f t="shared" si="786"/>
        <v>0</v>
      </c>
      <c r="AY671" s="168"/>
    </row>
    <row r="672" spans="1:51" s="139" customFormat="1" ht="11.25" hidden="1" x14ac:dyDescent="0.25">
      <c r="A672" s="1"/>
      <c r="B672" s="140">
        <v>4</v>
      </c>
      <c r="C672" s="170" t="s">
        <v>91</v>
      </c>
      <c r="D672" s="142"/>
      <c r="E672" s="143"/>
      <c r="F672" s="143"/>
      <c r="G672" s="143"/>
      <c r="H672" s="143"/>
      <c r="I672" s="143"/>
      <c r="J672" s="143"/>
      <c r="K672" s="143"/>
      <c r="L672" s="143"/>
      <c r="M672" s="143"/>
      <c r="N672" s="222">
        <v>310962</v>
      </c>
      <c r="O672" s="143"/>
      <c r="P672" s="145"/>
      <c r="Q672" s="223">
        <f t="shared" si="777"/>
        <v>310962</v>
      </c>
      <c r="R672" s="147">
        <f t="shared" si="778"/>
        <v>34205.82</v>
      </c>
      <c r="S672" s="147">
        <f t="shared" si="779"/>
        <v>93.71457534246575</v>
      </c>
      <c r="T672" s="148">
        <f t="shared" si="780"/>
        <v>20523.491999999998</v>
      </c>
      <c r="U672" s="420"/>
      <c r="V672" s="407"/>
      <c r="W672" s="236"/>
      <c r="X672" s="236"/>
      <c r="Y672" s="408"/>
      <c r="Z672" s="409"/>
      <c r="AA672" s="409"/>
      <c r="AB672" s="410"/>
      <c r="AC672" s="155"/>
      <c r="AD672" s="156"/>
      <c r="AE672" s="156"/>
      <c r="AF672" s="156"/>
      <c r="AG672" s="156"/>
      <c r="AH672" s="156"/>
      <c r="AI672" s="156"/>
      <c r="AJ672" s="156"/>
      <c r="AK672" s="156"/>
      <c r="AL672" s="156"/>
      <c r="AM672" s="157">
        <f t="shared" si="781"/>
        <v>0</v>
      </c>
      <c r="AN672" s="158">
        <f t="shared" si="782"/>
        <v>4000</v>
      </c>
      <c r="AO672" s="159">
        <v>0.2</v>
      </c>
      <c r="AP672" s="160">
        <f t="shared" si="783"/>
        <v>0</v>
      </c>
      <c r="AQ672" s="161">
        <f t="shared" si="784"/>
        <v>0</v>
      </c>
      <c r="AR672" s="162">
        <f t="shared" si="785"/>
        <v>0</v>
      </c>
      <c r="AS672" s="163"/>
      <c r="AT672" s="164"/>
      <c r="AU672" s="165"/>
      <c r="AV672" s="166"/>
      <c r="AW672" s="167"/>
      <c r="AX672" s="146">
        <f t="shared" si="786"/>
        <v>0</v>
      </c>
      <c r="AY672" s="168"/>
    </row>
    <row r="673" spans="1:51" s="139" customFormat="1" ht="11.25" hidden="1" x14ac:dyDescent="0.25">
      <c r="A673" s="1"/>
      <c r="B673" s="140">
        <v>5</v>
      </c>
      <c r="C673" s="170" t="s">
        <v>92</v>
      </c>
      <c r="D673" s="142"/>
      <c r="E673" s="143"/>
      <c r="F673" s="143"/>
      <c r="G673" s="143"/>
      <c r="H673" s="143"/>
      <c r="I673" s="143"/>
      <c r="J673" s="143"/>
      <c r="K673" s="143"/>
      <c r="L673" s="143"/>
      <c r="M673" s="143"/>
      <c r="N673" s="222">
        <v>278897</v>
      </c>
      <c r="O673" s="143"/>
      <c r="P673" s="145"/>
      <c r="Q673" s="223">
        <f t="shared" si="777"/>
        <v>278897</v>
      </c>
      <c r="R673" s="147">
        <f t="shared" si="778"/>
        <v>30678.670000000002</v>
      </c>
      <c r="S673" s="147">
        <f t="shared" si="779"/>
        <v>84.051150684931514</v>
      </c>
      <c r="T673" s="148">
        <f t="shared" si="780"/>
        <v>18407.202000000001</v>
      </c>
      <c r="U673" s="420"/>
      <c r="V673" s="407"/>
      <c r="W673" s="236"/>
      <c r="X673" s="236"/>
      <c r="Y673" s="408"/>
      <c r="Z673" s="409"/>
      <c r="AA673" s="409"/>
      <c r="AB673" s="410"/>
      <c r="AC673" s="155"/>
      <c r="AD673" s="156"/>
      <c r="AE673" s="156"/>
      <c r="AF673" s="156"/>
      <c r="AG673" s="156"/>
      <c r="AH673" s="156"/>
      <c r="AI673" s="156"/>
      <c r="AJ673" s="156"/>
      <c r="AK673" s="156"/>
      <c r="AL673" s="156"/>
      <c r="AM673" s="157">
        <f t="shared" si="781"/>
        <v>0</v>
      </c>
      <c r="AN673" s="158">
        <f t="shared" si="782"/>
        <v>4000</v>
      </c>
      <c r="AO673" s="159">
        <v>0.2</v>
      </c>
      <c r="AP673" s="160">
        <f t="shared" si="783"/>
        <v>0</v>
      </c>
      <c r="AQ673" s="161">
        <f t="shared" si="784"/>
        <v>0</v>
      </c>
      <c r="AR673" s="162">
        <f t="shared" si="785"/>
        <v>0</v>
      </c>
      <c r="AS673" s="163"/>
      <c r="AT673" s="164"/>
      <c r="AU673" s="165"/>
      <c r="AV673" s="166"/>
      <c r="AW673" s="167"/>
      <c r="AX673" s="146">
        <f t="shared" si="786"/>
        <v>0</v>
      </c>
      <c r="AY673" s="168"/>
    </row>
    <row r="674" spans="1:51" s="139" customFormat="1" ht="11.25" hidden="1" x14ac:dyDescent="0.25">
      <c r="A674" s="1"/>
      <c r="B674" s="140">
        <v>6</v>
      </c>
      <c r="C674" s="170" t="s">
        <v>93</v>
      </c>
      <c r="D674" s="142"/>
      <c r="E674" s="143"/>
      <c r="F674" s="143"/>
      <c r="G674" s="143"/>
      <c r="H674" s="143"/>
      <c r="I674" s="143"/>
      <c r="J674" s="143"/>
      <c r="K674" s="143"/>
      <c r="L674" s="143"/>
      <c r="M674" s="143"/>
      <c r="N674" s="222">
        <v>172933</v>
      </c>
      <c r="O674" s="143"/>
      <c r="P674" s="145"/>
      <c r="Q674" s="223">
        <f t="shared" si="777"/>
        <v>172933</v>
      </c>
      <c r="R674" s="147">
        <f t="shared" si="778"/>
        <v>19022.63</v>
      </c>
      <c r="S674" s="147">
        <f t="shared" si="779"/>
        <v>52.116794520547948</v>
      </c>
      <c r="T674" s="148">
        <f t="shared" si="780"/>
        <v>11413.578</v>
      </c>
      <c r="U674" s="420"/>
      <c r="V674" s="407"/>
      <c r="W674" s="236"/>
      <c r="X674" s="236"/>
      <c r="Y674" s="408"/>
      <c r="Z674" s="409"/>
      <c r="AA674" s="409"/>
      <c r="AB674" s="410"/>
      <c r="AC674" s="155"/>
      <c r="AD674" s="156"/>
      <c r="AE674" s="156"/>
      <c r="AF674" s="156"/>
      <c r="AG674" s="156"/>
      <c r="AH674" s="156"/>
      <c r="AI674" s="156"/>
      <c r="AJ674" s="156"/>
      <c r="AK674" s="156"/>
      <c r="AL674" s="156"/>
      <c r="AM674" s="157">
        <f t="shared" si="781"/>
        <v>0</v>
      </c>
      <c r="AN674" s="158">
        <f t="shared" si="782"/>
        <v>4000</v>
      </c>
      <c r="AO674" s="159">
        <v>0.2</v>
      </c>
      <c r="AP674" s="160">
        <f t="shared" si="783"/>
        <v>0</v>
      </c>
      <c r="AQ674" s="161">
        <f t="shared" si="784"/>
        <v>0</v>
      </c>
      <c r="AR674" s="162">
        <f t="shared" si="785"/>
        <v>0</v>
      </c>
      <c r="AS674" s="163"/>
      <c r="AT674" s="164"/>
      <c r="AU674" s="165"/>
      <c r="AV674" s="166"/>
      <c r="AW674" s="167"/>
      <c r="AX674" s="146">
        <f t="shared" si="786"/>
        <v>0</v>
      </c>
      <c r="AY674" s="168"/>
    </row>
    <row r="675" spans="1:51" s="139" customFormat="1" ht="11.25" hidden="1" x14ac:dyDescent="0.25">
      <c r="A675" s="1"/>
      <c r="B675" s="140">
        <v>7</v>
      </c>
      <c r="C675" s="170" t="s">
        <v>94</v>
      </c>
      <c r="D675" s="142"/>
      <c r="E675" s="143"/>
      <c r="F675" s="143"/>
      <c r="G675" s="143"/>
      <c r="H675" s="143"/>
      <c r="I675" s="143"/>
      <c r="J675" s="143"/>
      <c r="K675" s="143"/>
      <c r="L675" s="143"/>
      <c r="M675" s="143"/>
      <c r="N675" s="222">
        <v>414417</v>
      </c>
      <c r="O675" s="143"/>
      <c r="P675" s="145"/>
      <c r="Q675" s="223">
        <f t="shared" si="777"/>
        <v>414417</v>
      </c>
      <c r="R675" s="147">
        <f t="shared" si="778"/>
        <v>45585.87</v>
      </c>
      <c r="S675" s="147">
        <f t="shared" si="779"/>
        <v>124.89279452054795</v>
      </c>
      <c r="T675" s="148">
        <f t="shared" si="780"/>
        <v>27351.522000000001</v>
      </c>
      <c r="U675" s="420"/>
      <c r="V675" s="407"/>
      <c r="W675" s="236"/>
      <c r="X675" s="236"/>
      <c r="Y675" s="408"/>
      <c r="Z675" s="409"/>
      <c r="AA675" s="409"/>
      <c r="AB675" s="410"/>
      <c r="AC675" s="155"/>
      <c r="AD675" s="156"/>
      <c r="AE675" s="156"/>
      <c r="AF675" s="156"/>
      <c r="AG675" s="156"/>
      <c r="AH675" s="156"/>
      <c r="AI675" s="156"/>
      <c r="AJ675" s="156"/>
      <c r="AK675" s="156"/>
      <c r="AL675" s="156"/>
      <c r="AM675" s="157">
        <f t="shared" si="781"/>
        <v>0</v>
      </c>
      <c r="AN675" s="158">
        <f t="shared" si="782"/>
        <v>4000</v>
      </c>
      <c r="AO675" s="159">
        <v>0.2</v>
      </c>
      <c r="AP675" s="160">
        <f t="shared" si="783"/>
        <v>0</v>
      </c>
      <c r="AQ675" s="161">
        <f t="shared" si="784"/>
        <v>0</v>
      </c>
      <c r="AR675" s="162">
        <f t="shared" si="785"/>
        <v>0</v>
      </c>
      <c r="AS675" s="163"/>
      <c r="AT675" s="164"/>
      <c r="AU675" s="165"/>
      <c r="AV675" s="166"/>
      <c r="AW675" s="167"/>
      <c r="AX675" s="146">
        <f t="shared" si="786"/>
        <v>0</v>
      </c>
      <c r="AY675" s="168"/>
    </row>
    <row r="676" spans="1:51" s="139" customFormat="1" ht="11.25" hidden="1" x14ac:dyDescent="0.25">
      <c r="A676" s="1"/>
      <c r="B676" s="140">
        <v>8</v>
      </c>
      <c r="C676" s="170" t="s">
        <v>95</v>
      </c>
      <c r="D676" s="142"/>
      <c r="E676" s="143"/>
      <c r="F676" s="143"/>
      <c r="G676" s="143"/>
      <c r="H676" s="143"/>
      <c r="I676" s="143"/>
      <c r="J676" s="143"/>
      <c r="K676" s="143"/>
      <c r="L676" s="143"/>
      <c r="M676" s="143"/>
      <c r="N676" s="222">
        <v>667563</v>
      </c>
      <c r="O676" s="143"/>
      <c r="P676" s="145"/>
      <c r="Q676" s="223">
        <f t="shared" si="777"/>
        <v>667563</v>
      </c>
      <c r="R676" s="147">
        <f>Q676*$R$9</f>
        <v>97464.197999999989</v>
      </c>
      <c r="S676" s="147">
        <f t="shared" si="779"/>
        <v>267.02519999999998</v>
      </c>
      <c r="T676" s="148">
        <f>S676*$T$5*$T$9</f>
        <v>68224.938599999994</v>
      </c>
      <c r="U676" s="420"/>
      <c r="V676" s="407"/>
      <c r="W676" s="236"/>
      <c r="X676" s="236"/>
      <c r="Y676" s="408"/>
      <c r="Z676" s="409"/>
      <c r="AA676" s="409"/>
      <c r="AB676" s="410"/>
      <c r="AC676" s="155"/>
      <c r="AD676" s="156"/>
      <c r="AE676" s="156"/>
      <c r="AF676" s="156"/>
      <c r="AG676" s="156"/>
      <c r="AH676" s="156"/>
      <c r="AI676" s="156"/>
      <c r="AJ676" s="156"/>
      <c r="AK676" s="156"/>
      <c r="AL676" s="156"/>
      <c r="AM676" s="157">
        <f t="shared" si="781"/>
        <v>0</v>
      </c>
      <c r="AN676" s="158">
        <f t="shared" si="782"/>
        <v>4000</v>
      </c>
      <c r="AO676" s="159">
        <v>0.2</v>
      </c>
      <c r="AP676" s="160">
        <f t="shared" si="783"/>
        <v>0</v>
      </c>
      <c r="AQ676" s="161">
        <f t="shared" si="784"/>
        <v>0</v>
      </c>
      <c r="AR676" s="162">
        <f t="shared" si="785"/>
        <v>0</v>
      </c>
      <c r="AS676" s="163"/>
      <c r="AT676" s="164"/>
      <c r="AU676" s="165"/>
      <c r="AV676" s="166"/>
      <c r="AW676" s="167"/>
      <c r="AX676" s="146">
        <f t="shared" si="786"/>
        <v>0</v>
      </c>
      <c r="AY676" s="168"/>
    </row>
    <row r="677" spans="1:51" s="139" customFormat="1" ht="11.25" hidden="1" x14ac:dyDescent="0.25">
      <c r="A677" s="1"/>
      <c r="B677" s="140"/>
      <c r="C677" s="170"/>
      <c r="D677" s="142"/>
      <c r="E677" s="143"/>
      <c r="F677" s="143"/>
      <c r="G677" s="143"/>
      <c r="H677" s="143"/>
      <c r="I677" s="143"/>
      <c r="J677" s="143"/>
      <c r="K677" s="143"/>
      <c r="L677" s="143"/>
      <c r="M677" s="143"/>
      <c r="N677" s="222"/>
      <c r="O677" s="143"/>
      <c r="P677" s="145"/>
      <c r="Q677" s="223"/>
      <c r="R677" s="147"/>
      <c r="S677" s="147"/>
      <c r="T677" s="148"/>
      <c r="U677" s="420" t="s">
        <v>641</v>
      </c>
      <c r="V677" s="407">
        <v>10</v>
      </c>
      <c r="W677" s="236">
        <f>(150*0.25)*365</f>
        <v>13687.5</v>
      </c>
      <c r="X677" s="236"/>
      <c r="Y677" s="408"/>
      <c r="Z677" s="409"/>
      <c r="AA677" s="409"/>
      <c r="AB677" s="410"/>
      <c r="AC677" s="411">
        <f>W677*52%</f>
        <v>7117.5</v>
      </c>
      <c r="AD677" s="412">
        <f>W677*25%</f>
        <v>3421.875</v>
      </c>
      <c r="AE677" s="412">
        <f>W677*9%</f>
        <v>1231.875</v>
      </c>
      <c r="AF677" s="412">
        <f>W677*5%</f>
        <v>684.375</v>
      </c>
      <c r="AG677" s="412">
        <f>W677*3%</f>
        <v>410.625</v>
      </c>
      <c r="AH677" s="412">
        <f>W677*1%</f>
        <v>136.875</v>
      </c>
      <c r="AI677" s="412">
        <f>W677*2%</f>
        <v>273.75</v>
      </c>
      <c r="AJ677" s="412">
        <f>W677*1%</f>
        <v>136.875</v>
      </c>
      <c r="AK677" s="412">
        <f>W677*4%</f>
        <v>547.5</v>
      </c>
      <c r="AL677" s="412">
        <f>W677*1%</f>
        <v>136.875</v>
      </c>
      <c r="AM677" s="413">
        <f>SUM(AD677:AI677)</f>
        <v>6159.375</v>
      </c>
      <c r="AN677" s="158">
        <f t="shared" si="782"/>
        <v>4000</v>
      </c>
      <c r="AO677" s="159">
        <v>0.2</v>
      </c>
      <c r="AP677" s="160">
        <f t="shared" si="783"/>
        <v>103152285</v>
      </c>
      <c r="AQ677" s="161">
        <f t="shared" si="784"/>
        <v>28653.414792273001</v>
      </c>
      <c r="AR677" s="162">
        <f t="shared" si="785"/>
        <v>5730.6829584546003</v>
      </c>
      <c r="AS677" s="163"/>
      <c r="AT677" s="233"/>
      <c r="AU677" s="187"/>
      <c r="AV677" s="414">
        <f>AR677/$AV$5</f>
        <v>0.8177344404187501</v>
      </c>
      <c r="AW677" s="415"/>
      <c r="AX677" s="146">
        <f>SUM(AU677:AV677)</f>
        <v>0.8177344404187501</v>
      </c>
      <c r="AY677" s="168"/>
    </row>
    <row r="678" spans="1:51" s="139" customFormat="1" ht="11.25" hidden="1" x14ac:dyDescent="0.25">
      <c r="A678" s="1"/>
      <c r="B678" s="140">
        <v>9</v>
      </c>
      <c r="C678" s="232" t="s">
        <v>96</v>
      </c>
      <c r="D678" s="142"/>
      <c r="E678" s="143"/>
      <c r="F678" s="143"/>
      <c r="G678" s="143"/>
      <c r="H678" s="143"/>
      <c r="I678" s="143"/>
      <c r="J678" s="143"/>
      <c r="K678" s="143"/>
      <c r="L678" s="143"/>
      <c r="M678" s="143"/>
      <c r="N678" s="222">
        <v>818104</v>
      </c>
      <c r="O678" s="143"/>
      <c r="P678" s="145"/>
      <c r="Q678" s="304">
        <f t="shared" si="777"/>
        <v>818104</v>
      </c>
      <c r="R678" s="147">
        <f>Q678*$R$9</f>
        <v>119443.18399999999</v>
      </c>
      <c r="S678" s="147">
        <f>R678/$S$5</f>
        <v>327.24160000000001</v>
      </c>
      <c r="T678" s="148">
        <f>S678*$T$5*$T$9</f>
        <v>83610.228799999997</v>
      </c>
      <c r="U678" s="420"/>
      <c r="V678" s="407"/>
      <c r="W678" s="236"/>
      <c r="X678" s="236"/>
      <c r="Y678" s="408"/>
      <c r="Z678" s="409"/>
      <c r="AA678" s="409"/>
      <c r="AB678" s="410"/>
      <c r="AC678" s="155"/>
      <c r="AD678" s="156"/>
      <c r="AE678" s="156"/>
      <c r="AF678" s="156"/>
      <c r="AG678" s="156"/>
      <c r="AH678" s="156"/>
      <c r="AI678" s="156"/>
      <c r="AJ678" s="156"/>
      <c r="AK678" s="156"/>
      <c r="AL678" s="156"/>
      <c r="AM678" s="157">
        <f t="shared" si="781"/>
        <v>0</v>
      </c>
      <c r="AN678" s="158">
        <f t="shared" si="782"/>
        <v>4000</v>
      </c>
      <c r="AO678" s="159">
        <v>0.2</v>
      </c>
      <c r="AP678" s="160">
        <f t="shared" si="783"/>
        <v>0</v>
      </c>
      <c r="AQ678" s="161">
        <f t="shared" si="784"/>
        <v>0</v>
      </c>
      <c r="AR678" s="162">
        <f t="shared" si="785"/>
        <v>0</v>
      </c>
      <c r="AS678" s="163"/>
      <c r="AT678" s="233"/>
      <c r="AU678" s="187"/>
      <c r="AV678" s="166"/>
      <c r="AW678" s="167"/>
      <c r="AX678" s="146">
        <f t="shared" si="786"/>
        <v>0</v>
      </c>
      <c r="AY678" s="168"/>
    </row>
    <row r="679" spans="1:51" s="139" customFormat="1" ht="11.25" hidden="1" x14ac:dyDescent="0.25">
      <c r="A679" s="1"/>
      <c r="B679" s="140">
        <v>10</v>
      </c>
      <c r="C679" s="170" t="s">
        <v>97</v>
      </c>
      <c r="D679" s="142"/>
      <c r="E679" s="143"/>
      <c r="F679" s="143"/>
      <c r="G679" s="143"/>
      <c r="H679" s="143"/>
      <c r="I679" s="143"/>
      <c r="J679" s="143"/>
      <c r="K679" s="143"/>
      <c r="L679" s="143"/>
      <c r="M679" s="143"/>
      <c r="N679" s="222">
        <v>169848</v>
      </c>
      <c r="O679" s="143"/>
      <c r="P679" s="145"/>
      <c r="Q679" s="223">
        <f t="shared" si="777"/>
        <v>169848</v>
      </c>
      <c r="R679" s="147">
        <f>Q679*$R$10</f>
        <v>18683.28</v>
      </c>
      <c r="S679" s="147">
        <f>R679/$S$5</f>
        <v>51.187068493150683</v>
      </c>
      <c r="T679" s="148">
        <f>S679*$T$5*$T$10</f>
        <v>11209.967999999999</v>
      </c>
      <c r="U679" s="420"/>
      <c r="V679" s="407"/>
      <c r="W679" s="236"/>
      <c r="X679" s="236"/>
      <c r="Y679" s="408"/>
      <c r="Z679" s="409"/>
      <c r="AA679" s="409"/>
      <c r="AB679" s="410"/>
      <c r="AC679" s="155"/>
      <c r="AD679" s="156"/>
      <c r="AE679" s="156"/>
      <c r="AF679" s="156"/>
      <c r="AG679" s="156"/>
      <c r="AH679" s="156"/>
      <c r="AI679" s="156"/>
      <c r="AJ679" s="156"/>
      <c r="AK679" s="156"/>
      <c r="AL679" s="156"/>
      <c r="AM679" s="157">
        <f t="shared" si="781"/>
        <v>0</v>
      </c>
      <c r="AN679" s="158">
        <f t="shared" si="782"/>
        <v>4000</v>
      </c>
      <c r="AO679" s="159">
        <v>0.2</v>
      </c>
      <c r="AP679" s="160">
        <f t="shared" si="783"/>
        <v>0</v>
      </c>
      <c r="AQ679" s="161">
        <f t="shared" si="784"/>
        <v>0</v>
      </c>
      <c r="AR679" s="162">
        <f t="shared" si="785"/>
        <v>0</v>
      </c>
      <c r="AS679" s="163"/>
      <c r="AT679" s="164"/>
      <c r="AU679" s="165"/>
      <c r="AV679" s="188"/>
      <c r="AW679" s="231"/>
      <c r="AX679" s="146">
        <f t="shared" si="786"/>
        <v>0</v>
      </c>
      <c r="AY679" s="168"/>
    </row>
    <row r="680" spans="1:51" s="139" customFormat="1" ht="10.35" hidden="1" customHeight="1" x14ac:dyDescent="0.25">
      <c r="A680" s="1"/>
      <c r="B680" s="140">
        <v>11</v>
      </c>
      <c r="C680" s="170" t="s">
        <v>98</v>
      </c>
      <c r="D680" s="142"/>
      <c r="E680" s="143"/>
      <c r="F680" s="143"/>
      <c r="G680" s="143"/>
      <c r="H680" s="143"/>
      <c r="I680" s="143"/>
      <c r="J680" s="143"/>
      <c r="K680" s="143"/>
      <c r="L680" s="143"/>
      <c r="M680" s="143"/>
      <c r="N680" s="222">
        <v>350479</v>
      </c>
      <c r="O680" s="143"/>
      <c r="P680" s="145"/>
      <c r="Q680" s="223">
        <f t="shared" si="777"/>
        <v>350479</v>
      </c>
      <c r="R680" s="147">
        <f>Q680*$R$10</f>
        <v>38552.69</v>
      </c>
      <c r="S680" s="147">
        <f>R680/$S$5</f>
        <v>105.62380821917809</v>
      </c>
      <c r="T680" s="148">
        <f>S680*$T$5*$T$10</f>
        <v>23131.614000000001</v>
      </c>
      <c r="U680" s="420"/>
      <c r="V680" s="407"/>
      <c r="W680" s="236"/>
      <c r="X680" s="236"/>
      <c r="Y680" s="408"/>
      <c r="Z680" s="409"/>
      <c r="AA680" s="409"/>
      <c r="AB680" s="410"/>
      <c r="AC680" s="155"/>
      <c r="AD680" s="156"/>
      <c r="AE680" s="156"/>
      <c r="AF680" s="156"/>
      <c r="AG680" s="156"/>
      <c r="AH680" s="156"/>
      <c r="AI680" s="156"/>
      <c r="AJ680" s="156"/>
      <c r="AK680" s="156"/>
      <c r="AL680" s="156"/>
      <c r="AM680" s="157">
        <f t="shared" si="781"/>
        <v>0</v>
      </c>
      <c r="AN680" s="158">
        <f t="shared" si="782"/>
        <v>4000</v>
      </c>
      <c r="AO680" s="159">
        <v>0.2</v>
      </c>
      <c r="AP680" s="160">
        <f t="shared" si="783"/>
        <v>0</v>
      </c>
      <c r="AQ680" s="161">
        <f t="shared" si="784"/>
        <v>0</v>
      </c>
      <c r="AR680" s="162">
        <f t="shared" si="785"/>
        <v>0</v>
      </c>
      <c r="AS680" s="163"/>
      <c r="AT680" s="164"/>
      <c r="AU680" s="165"/>
      <c r="AV680" s="188"/>
      <c r="AW680" s="231"/>
      <c r="AX680" s="146">
        <f t="shared" si="786"/>
        <v>0</v>
      </c>
      <c r="AY680" s="168"/>
    </row>
    <row r="681" spans="1:51" s="139" customFormat="1" ht="10.35" hidden="1" customHeight="1" x14ac:dyDescent="0.25">
      <c r="A681" s="1"/>
      <c r="B681" s="140"/>
      <c r="C681" s="170"/>
      <c r="D681" s="142"/>
      <c r="E681" s="143"/>
      <c r="F681" s="143"/>
      <c r="G681" s="143"/>
      <c r="H681" s="143"/>
      <c r="I681" s="143"/>
      <c r="J681" s="143"/>
      <c r="K681" s="143"/>
      <c r="L681" s="143"/>
      <c r="M681" s="143"/>
      <c r="N681" s="222"/>
      <c r="O681" s="143"/>
      <c r="P681" s="145"/>
      <c r="Q681" s="223"/>
      <c r="R681" s="147"/>
      <c r="S681" s="147"/>
      <c r="T681" s="148"/>
      <c r="U681" s="420" t="s">
        <v>642</v>
      </c>
      <c r="V681" s="407">
        <v>1</v>
      </c>
      <c r="W681" s="236">
        <f>(116*0.25)*365</f>
        <v>10585</v>
      </c>
      <c r="X681" s="236"/>
      <c r="Y681" s="408"/>
      <c r="Z681" s="409"/>
      <c r="AA681" s="409"/>
      <c r="AB681" s="410"/>
      <c r="AC681" s="411">
        <f>W681*52%</f>
        <v>5504.2</v>
      </c>
      <c r="AD681" s="412">
        <f>W681*25%</f>
        <v>2646.25</v>
      </c>
      <c r="AE681" s="412">
        <f>W681*9%</f>
        <v>952.65</v>
      </c>
      <c r="AF681" s="412">
        <f>W681*5%</f>
        <v>529.25</v>
      </c>
      <c r="AG681" s="412">
        <f>W681*3%</f>
        <v>317.55</v>
      </c>
      <c r="AH681" s="412">
        <f>W681*1%</f>
        <v>105.85000000000001</v>
      </c>
      <c r="AI681" s="412">
        <f>W681*2%</f>
        <v>211.70000000000002</v>
      </c>
      <c r="AJ681" s="412">
        <f>W681*1%</f>
        <v>105.85000000000001</v>
      </c>
      <c r="AK681" s="412">
        <f>W681*4%</f>
        <v>423.40000000000003</v>
      </c>
      <c r="AL681" s="412">
        <f>W681*1%</f>
        <v>105.85000000000001</v>
      </c>
      <c r="AM681" s="413">
        <f>SUM(AD681:AI681)</f>
        <v>4763.25</v>
      </c>
      <c r="AN681" s="158">
        <f t="shared" si="782"/>
        <v>4000</v>
      </c>
      <c r="AO681" s="159">
        <v>0.2</v>
      </c>
      <c r="AP681" s="160">
        <f t="shared" si="783"/>
        <v>79771100.399999991</v>
      </c>
      <c r="AQ681" s="161">
        <f t="shared" si="784"/>
        <v>22158.640772691117</v>
      </c>
      <c r="AR681" s="162">
        <f t="shared" si="785"/>
        <v>4431.7281545382239</v>
      </c>
      <c r="AS681" s="163"/>
      <c r="AT681" s="233"/>
      <c r="AU681" s="187"/>
      <c r="AV681" s="414">
        <f>AR681/$AV$5</f>
        <v>0.63238130059050002</v>
      </c>
      <c r="AW681" s="415"/>
      <c r="AX681" s="146">
        <f>SUM(AU681:AV681)</f>
        <v>0.63238130059050002</v>
      </c>
      <c r="AY681" s="168"/>
    </row>
    <row r="682" spans="1:51" s="139" customFormat="1" ht="11.25" hidden="1" x14ac:dyDescent="0.25">
      <c r="A682" s="1"/>
      <c r="B682" s="140">
        <v>12</v>
      </c>
      <c r="C682" s="232" t="s">
        <v>99</v>
      </c>
      <c r="D682" s="142"/>
      <c r="E682" s="143"/>
      <c r="F682" s="143"/>
      <c r="G682" s="143"/>
      <c r="H682" s="143"/>
      <c r="I682" s="143"/>
      <c r="J682" s="143"/>
      <c r="K682" s="143"/>
      <c r="L682" s="143"/>
      <c r="M682" s="143"/>
      <c r="N682" s="222">
        <v>1789243</v>
      </c>
      <c r="O682" s="143"/>
      <c r="P682" s="145"/>
      <c r="Q682" s="304">
        <f t="shared" si="777"/>
        <v>1789243</v>
      </c>
      <c r="R682" s="147">
        <f>Q682*$R$7</f>
        <v>424050.59099999996</v>
      </c>
      <c r="S682" s="147">
        <f>R682/$S$5</f>
        <v>1161.7824410958904</v>
      </c>
      <c r="T682" s="148">
        <f>S682*$T$5*$T$7</f>
        <v>381645.53189999994</v>
      </c>
      <c r="U682" s="420"/>
      <c r="V682" s="407"/>
      <c r="W682" s="236"/>
      <c r="X682" s="236"/>
      <c r="Y682" s="408"/>
      <c r="Z682" s="409"/>
      <c r="AA682" s="409"/>
      <c r="AB682" s="410"/>
      <c r="AC682" s="155"/>
      <c r="AD682" s="156"/>
      <c r="AE682" s="156"/>
      <c r="AF682" s="156"/>
      <c r="AG682" s="156"/>
      <c r="AH682" s="156"/>
      <c r="AI682" s="156"/>
      <c r="AJ682" s="156"/>
      <c r="AK682" s="156"/>
      <c r="AL682" s="156"/>
      <c r="AM682" s="157">
        <f t="shared" si="781"/>
        <v>0</v>
      </c>
      <c r="AN682" s="158">
        <f t="shared" si="782"/>
        <v>4000</v>
      </c>
      <c r="AO682" s="159">
        <v>0.2</v>
      </c>
      <c r="AP682" s="160">
        <f t="shared" si="783"/>
        <v>0</v>
      </c>
      <c r="AQ682" s="161">
        <f t="shared" si="784"/>
        <v>0</v>
      </c>
      <c r="AR682" s="162">
        <f t="shared" si="785"/>
        <v>0</v>
      </c>
      <c r="AS682" s="163"/>
      <c r="AT682" s="233"/>
      <c r="AU682" s="187"/>
      <c r="AV682" s="188"/>
      <c r="AW682" s="231"/>
      <c r="AX682" s="146">
        <f t="shared" si="786"/>
        <v>0</v>
      </c>
      <c r="AY682" s="168"/>
    </row>
    <row r="683" spans="1:51" s="139" customFormat="1" ht="11.25" hidden="1" x14ac:dyDescent="0.25">
      <c r="A683" s="1"/>
      <c r="B683" s="140"/>
      <c r="C683" s="232"/>
      <c r="D683" s="142"/>
      <c r="E683" s="143"/>
      <c r="F683" s="143"/>
      <c r="G683" s="143"/>
      <c r="H683" s="143"/>
      <c r="I683" s="143"/>
      <c r="J683" s="143"/>
      <c r="K683" s="143"/>
      <c r="L683" s="143"/>
      <c r="M683" s="143"/>
      <c r="N683" s="222"/>
      <c r="O683" s="143"/>
      <c r="P683" s="145"/>
      <c r="Q683" s="223"/>
      <c r="R683" s="167"/>
      <c r="S683" s="147"/>
      <c r="T683" s="146"/>
      <c r="U683" s="420" t="s">
        <v>643</v>
      </c>
      <c r="V683" s="407"/>
      <c r="W683" s="236">
        <f>(579*0.35)*365</f>
        <v>73967.249999999985</v>
      </c>
      <c r="X683" s="236"/>
      <c r="Y683" s="408"/>
      <c r="Z683" s="409"/>
      <c r="AA683" s="409"/>
      <c r="AB683" s="410"/>
      <c r="AC683" s="411">
        <f>W683*$AC$5</f>
        <v>42901.00499999999</v>
      </c>
      <c r="AD683" s="412">
        <f>W683*$AD$5</f>
        <v>9615.7424999999985</v>
      </c>
      <c r="AE683" s="412">
        <f>W683*$AE$5</f>
        <v>6490.6261874999982</v>
      </c>
      <c r="AF683" s="412">
        <f>W683*$AF$5</f>
        <v>2958.6899999999996</v>
      </c>
      <c r="AG683" s="412">
        <f>W683*$AG$5</f>
        <v>1479.3449999999998</v>
      </c>
      <c r="AH683" s="412">
        <f>W683*$AH$5</f>
        <v>1479.3449999999998</v>
      </c>
      <c r="AI683" s="412">
        <f>W683*$AI$5</f>
        <v>739.6724999999999</v>
      </c>
      <c r="AJ683" s="412">
        <f>W683*$AJ$5</f>
        <v>1479.3449999999998</v>
      </c>
      <c r="AK683" s="412">
        <f>W683*$AK$5</f>
        <v>1479.3449999999998</v>
      </c>
      <c r="AL683" s="412">
        <f>W683*$AL$5</f>
        <v>5177.7074999999995</v>
      </c>
      <c r="AM683" s="413">
        <f>SUM(AD683:AI683)</f>
        <v>22763.4211875</v>
      </c>
      <c r="AN683" s="158">
        <f t="shared" si="782"/>
        <v>4000</v>
      </c>
      <c r="AO683" s="159">
        <v>0.2</v>
      </c>
      <c r="AP683" s="160">
        <f t="shared" si="783"/>
        <v>381223567.31129998</v>
      </c>
      <c r="AQ683" s="161">
        <f t="shared" si="784"/>
        <v>105895.44383588483</v>
      </c>
      <c r="AR683" s="162">
        <f t="shared" si="785"/>
        <v>21179.088767176967</v>
      </c>
      <c r="AS683" s="163"/>
      <c r="AT683" s="233"/>
      <c r="AU683" s="187">
        <v>0.5</v>
      </c>
      <c r="AV683" s="414">
        <f>AR683/$AV$5</f>
        <v>3.0221302464579005</v>
      </c>
      <c r="AW683" s="415"/>
      <c r="AX683" s="146">
        <f t="shared" si="786"/>
        <v>3.5221302464579005</v>
      </c>
      <c r="AY683" s="168"/>
    </row>
    <row r="684" spans="1:51" s="139" customFormat="1" ht="11.25" hidden="1" x14ac:dyDescent="0.25">
      <c r="A684" s="1"/>
      <c r="B684" s="140">
        <v>13</v>
      </c>
      <c r="C684" s="232" t="s">
        <v>100</v>
      </c>
      <c r="D684" s="142"/>
      <c r="E684" s="143"/>
      <c r="F684" s="143"/>
      <c r="G684" s="143"/>
      <c r="H684" s="143"/>
      <c r="I684" s="143"/>
      <c r="J684" s="143"/>
      <c r="K684" s="143"/>
      <c r="L684" s="143"/>
      <c r="M684" s="143"/>
      <c r="N684" s="222">
        <v>966133</v>
      </c>
      <c r="O684" s="143"/>
      <c r="P684" s="145"/>
      <c r="Q684" s="304">
        <f t="shared" si="777"/>
        <v>966133</v>
      </c>
      <c r="R684" s="147">
        <f>Q684*$R$9</f>
        <v>141055.41800000001</v>
      </c>
      <c r="S684" s="147">
        <f t="shared" ref="S684:S694" si="787">R684/$S$5</f>
        <v>386.45320000000004</v>
      </c>
      <c r="T684" s="148">
        <f>S684*$T$5*$T$9</f>
        <v>98738.792600000001</v>
      </c>
      <c r="U684" s="420"/>
      <c r="V684" s="407"/>
      <c r="W684" s="236"/>
      <c r="X684" s="236"/>
      <c r="Y684" s="408"/>
      <c r="Z684" s="409"/>
      <c r="AA684" s="409"/>
      <c r="AB684" s="410"/>
      <c r="AC684" s="155"/>
      <c r="AD684" s="156"/>
      <c r="AE684" s="156"/>
      <c r="AF684" s="156"/>
      <c r="AG684" s="156"/>
      <c r="AH684" s="156"/>
      <c r="AI684" s="156"/>
      <c r="AJ684" s="156"/>
      <c r="AK684" s="156"/>
      <c r="AL684" s="156"/>
      <c r="AM684" s="157">
        <f t="shared" si="781"/>
        <v>0</v>
      </c>
      <c r="AN684" s="158">
        <f t="shared" si="782"/>
        <v>4000</v>
      </c>
      <c r="AO684" s="159">
        <v>0.2</v>
      </c>
      <c r="AP684" s="160">
        <f t="shared" si="783"/>
        <v>0</v>
      </c>
      <c r="AQ684" s="161">
        <f t="shared" si="784"/>
        <v>0</v>
      </c>
      <c r="AR684" s="162">
        <f t="shared" si="785"/>
        <v>0</v>
      </c>
      <c r="AS684" s="163"/>
      <c r="AT684" s="233"/>
      <c r="AU684" s="187"/>
      <c r="AV684" s="166"/>
      <c r="AW684" s="167"/>
      <c r="AX684" s="146">
        <f t="shared" si="786"/>
        <v>0</v>
      </c>
      <c r="AY684" s="168"/>
    </row>
    <row r="685" spans="1:51" s="139" customFormat="1" ht="11.25" hidden="1" x14ac:dyDescent="0.25">
      <c r="A685" s="1"/>
      <c r="B685" s="140">
        <v>14</v>
      </c>
      <c r="C685" s="170" t="s">
        <v>101</v>
      </c>
      <c r="D685" s="142"/>
      <c r="E685" s="143"/>
      <c r="F685" s="143"/>
      <c r="G685" s="143"/>
      <c r="H685" s="143"/>
      <c r="I685" s="143"/>
      <c r="J685" s="143"/>
      <c r="K685" s="143"/>
      <c r="L685" s="143"/>
      <c r="M685" s="143"/>
      <c r="N685" s="222">
        <v>289876</v>
      </c>
      <c r="O685" s="143"/>
      <c r="P685" s="145"/>
      <c r="Q685" s="223">
        <f t="shared" si="777"/>
        <v>289876</v>
      </c>
      <c r="R685" s="147">
        <f>Q685*$R$10</f>
        <v>31886.36</v>
      </c>
      <c r="S685" s="147">
        <f t="shared" si="787"/>
        <v>87.359890410958911</v>
      </c>
      <c r="T685" s="148">
        <f>S685*$T$5*$T$10</f>
        <v>19131.816000000003</v>
      </c>
      <c r="U685" s="420"/>
      <c r="V685" s="407"/>
      <c r="W685" s="236"/>
      <c r="X685" s="236"/>
      <c r="Y685" s="408"/>
      <c r="Z685" s="409"/>
      <c r="AA685" s="409"/>
      <c r="AB685" s="410"/>
      <c r="AC685" s="155"/>
      <c r="AD685" s="156"/>
      <c r="AE685" s="156"/>
      <c r="AF685" s="156"/>
      <c r="AG685" s="156"/>
      <c r="AH685" s="156"/>
      <c r="AI685" s="156"/>
      <c r="AJ685" s="156"/>
      <c r="AK685" s="156"/>
      <c r="AL685" s="156"/>
      <c r="AM685" s="157">
        <f t="shared" si="781"/>
        <v>0</v>
      </c>
      <c r="AN685" s="158">
        <f t="shared" si="782"/>
        <v>4000</v>
      </c>
      <c r="AO685" s="159">
        <v>0.2</v>
      </c>
      <c r="AP685" s="160">
        <f t="shared" si="783"/>
        <v>0</v>
      </c>
      <c r="AQ685" s="161">
        <f t="shared" si="784"/>
        <v>0</v>
      </c>
      <c r="AR685" s="162">
        <f t="shared" si="785"/>
        <v>0</v>
      </c>
      <c r="AS685" s="163"/>
      <c r="AT685" s="164"/>
      <c r="AU685" s="165"/>
      <c r="AV685" s="166"/>
      <c r="AW685" s="167"/>
      <c r="AX685" s="146">
        <f t="shared" si="786"/>
        <v>0</v>
      </c>
      <c r="AY685" s="168"/>
    </row>
    <row r="686" spans="1:51" s="139" customFormat="1" ht="11.25" hidden="1" x14ac:dyDescent="0.25">
      <c r="A686" s="1"/>
      <c r="B686" s="140">
        <v>15</v>
      </c>
      <c r="C686" s="170" t="s">
        <v>102</v>
      </c>
      <c r="D686" s="142"/>
      <c r="E686" s="143"/>
      <c r="F686" s="143"/>
      <c r="G686" s="143"/>
      <c r="H686" s="143"/>
      <c r="I686" s="143"/>
      <c r="J686" s="143"/>
      <c r="K686" s="143"/>
      <c r="L686" s="143"/>
      <c r="M686" s="143"/>
      <c r="N686" s="222">
        <v>171687</v>
      </c>
      <c r="O686" s="143"/>
      <c r="P686" s="145"/>
      <c r="Q686" s="223">
        <f t="shared" si="777"/>
        <v>171687</v>
      </c>
      <c r="R686" s="147">
        <f>Q686*$R$10</f>
        <v>18885.57</v>
      </c>
      <c r="S686" s="147">
        <f t="shared" si="787"/>
        <v>51.741287671232875</v>
      </c>
      <c r="T686" s="148">
        <f>S686*$T$5*$T$10</f>
        <v>11331.341999999999</v>
      </c>
      <c r="U686" s="420"/>
      <c r="V686" s="407"/>
      <c r="W686" s="236"/>
      <c r="X686" s="236"/>
      <c r="Y686" s="408"/>
      <c r="Z686" s="409"/>
      <c r="AA686" s="409"/>
      <c r="AB686" s="410"/>
      <c r="AC686" s="155"/>
      <c r="AD686" s="156"/>
      <c r="AE686" s="156"/>
      <c r="AF686" s="156"/>
      <c r="AG686" s="156"/>
      <c r="AH686" s="156"/>
      <c r="AI686" s="156"/>
      <c r="AJ686" s="156"/>
      <c r="AK686" s="156"/>
      <c r="AL686" s="156"/>
      <c r="AM686" s="157">
        <f t="shared" si="781"/>
        <v>0</v>
      </c>
      <c r="AN686" s="158">
        <f t="shared" si="782"/>
        <v>4000</v>
      </c>
      <c r="AO686" s="159">
        <v>0.2</v>
      </c>
      <c r="AP686" s="160">
        <f t="shared" si="783"/>
        <v>0</v>
      </c>
      <c r="AQ686" s="161">
        <f t="shared" si="784"/>
        <v>0</v>
      </c>
      <c r="AR686" s="162">
        <f t="shared" si="785"/>
        <v>0</v>
      </c>
      <c r="AS686" s="163"/>
      <c r="AT686" s="164"/>
      <c r="AU686" s="165"/>
      <c r="AV686" s="166"/>
      <c r="AW686" s="167"/>
      <c r="AX686" s="146">
        <f t="shared" si="786"/>
        <v>0</v>
      </c>
      <c r="AY686" s="168"/>
    </row>
    <row r="687" spans="1:51" s="139" customFormat="1" ht="11.25" hidden="1" x14ac:dyDescent="0.25">
      <c r="A687" s="1"/>
      <c r="B687" s="140">
        <v>16</v>
      </c>
      <c r="C687" s="170" t="s">
        <v>103</v>
      </c>
      <c r="D687" s="142"/>
      <c r="E687" s="143"/>
      <c r="F687" s="143"/>
      <c r="G687" s="143"/>
      <c r="H687" s="143"/>
      <c r="I687" s="143"/>
      <c r="J687" s="143"/>
      <c r="K687" s="143"/>
      <c r="L687" s="143"/>
      <c r="M687" s="143"/>
      <c r="N687" s="222">
        <v>40481</v>
      </c>
      <c r="O687" s="143"/>
      <c r="P687" s="145"/>
      <c r="Q687" s="223">
        <f t="shared" si="777"/>
        <v>40481</v>
      </c>
      <c r="R687" s="147">
        <f>Q687*$R$10</f>
        <v>4452.91</v>
      </c>
      <c r="S687" s="147">
        <f t="shared" si="787"/>
        <v>12.199753424657533</v>
      </c>
      <c r="T687" s="148">
        <f>S687*$T$5*$T$10</f>
        <v>2671.7459999999996</v>
      </c>
      <c r="U687" s="420"/>
      <c r="V687" s="407"/>
      <c r="W687" s="236"/>
      <c r="X687" s="236"/>
      <c r="Y687" s="408"/>
      <c r="Z687" s="409"/>
      <c r="AA687" s="409"/>
      <c r="AB687" s="410"/>
      <c r="AC687" s="155"/>
      <c r="AD687" s="156"/>
      <c r="AE687" s="156"/>
      <c r="AF687" s="156"/>
      <c r="AG687" s="156"/>
      <c r="AH687" s="156"/>
      <c r="AI687" s="156"/>
      <c r="AJ687" s="156"/>
      <c r="AK687" s="156"/>
      <c r="AL687" s="156"/>
      <c r="AM687" s="157">
        <f t="shared" si="781"/>
        <v>0</v>
      </c>
      <c r="AN687" s="158">
        <f t="shared" si="782"/>
        <v>4000</v>
      </c>
      <c r="AO687" s="159">
        <v>0.2</v>
      </c>
      <c r="AP687" s="160">
        <f t="shared" si="783"/>
        <v>0</v>
      </c>
      <c r="AQ687" s="161">
        <f t="shared" si="784"/>
        <v>0</v>
      </c>
      <c r="AR687" s="162">
        <f t="shared" si="785"/>
        <v>0</v>
      </c>
      <c r="AS687" s="163"/>
      <c r="AT687" s="164"/>
      <c r="AU687" s="165"/>
      <c r="AV687" s="166"/>
      <c r="AW687" s="167"/>
      <c r="AX687" s="146">
        <f t="shared" si="786"/>
        <v>0</v>
      </c>
      <c r="AY687" s="168"/>
    </row>
    <row r="688" spans="1:51" s="139" customFormat="1" ht="11.25" hidden="1" x14ac:dyDescent="0.25">
      <c r="A688" s="1"/>
      <c r="B688" s="140">
        <v>17</v>
      </c>
      <c r="C688" s="170" t="s">
        <v>104</v>
      </c>
      <c r="D688" s="142"/>
      <c r="E688" s="143"/>
      <c r="F688" s="143"/>
      <c r="G688" s="143"/>
      <c r="H688" s="143"/>
      <c r="I688" s="143"/>
      <c r="J688" s="143"/>
      <c r="K688" s="143"/>
      <c r="L688" s="143"/>
      <c r="M688" s="143"/>
      <c r="N688" s="222">
        <v>119650</v>
      </c>
      <c r="O688" s="143"/>
      <c r="P688" s="145"/>
      <c r="Q688" s="223">
        <f t="shared" si="777"/>
        <v>119650</v>
      </c>
      <c r="R688" s="147">
        <f>Q688*$R$10</f>
        <v>13161.5</v>
      </c>
      <c r="S688" s="147">
        <f t="shared" si="787"/>
        <v>36.058904109589044</v>
      </c>
      <c r="T688" s="148">
        <f>S688*$T$5*$T$10</f>
        <v>7896.9000000000005</v>
      </c>
      <c r="U688" s="420"/>
      <c r="V688" s="407"/>
      <c r="W688" s="236"/>
      <c r="X688" s="236"/>
      <c r="Y688" s="408"/>
      <c r="Z688" s="409"/>
      <c r="AA688" s="409"/>
      <c r="AB688" s="410"/>
      <c r="AC688" s="155"/>
      <c r="AD688" s="156"/>
      <c r="AE688" s="156"/>
      <c r="AF688" s="156"/>
      <c r="AG688" s="156"/>
      <c r="AH688" s="156"/>
      <c r="AI688" s="156"/>
      <c r="AJ688" s="156"/>
      <c r="AK688" s="156"/>
      <c r="AL688" s="156"/>
      <c r="AM688" s="157">
        <f t="shared" si="781"/>
        <v>0</v>
      </c>
      <c r="AN688" s="158">
        <f t="shared" si="782"/>
        <v>4000</v>
      </c>
      <c r="AO688" s="159">
        <v>0.2</v>
      </c>
      <c r="AP688" s="160">
        <f t="shared" si="783"/>
        <v>0</v>
      </c>
      <c r="AQ688" s="161">
        <f t="shared" si="784"/>
        <v>0</v>
      </c>
      <c r="AR688" s="162">
        <f t="shared" si="785"/>
        <v>0</v>
      </c>
      <c r="AS688" s="163"/>
      <c r="AT688" s="164"/>
      <c r="AU688" s="165"/>
      <c r="AV688" s="166"/>
      <c r="AW688" s="167"/>
      <c r="AX688" s="146">
        <f t="shared" si="786"/>
        <v>0</v>
      </c>
      <c r="AY688" s="168"/>
    </row>
    <row r="689" spans="1:51" s="139" customFormat="1" ht="11.25" hidden="1" x14ac:dyDescent="0.25">
      <c r="A689" s="1"/>
      <c r="B689" s="140">
        <v>18</v>
      </c>
      <c r="C689" s="170" t="s">
        <v>105</v>
      </c>
      <c r="D689" s="142"/>
      <c r="E689" s="143"/>
      <c r="F689" s="143"/>
      <c r="G689" s="143"/>
      <c r="H689" s="143"/>
      <c r="I689" s="143"/>
      <c r="J689" s="143"/>
      <c r="K689" s="143"/>
      <c r="L689" s="143"/>
      <c r="M689" s="143"/>
      <c r="N689" s="222">
        <v>592922</v>
      </c>
      <c r="O689" s="143"/>
      <c r="P689" s="145"/>
      <c r="Q689" s="223">
        <f t="shared" si="777"/>
        <v>592922</v>
      </c>
      <c r="R689" s="147">
        <f>Q689*$R$9</f>
        <v>86566.611999999994</v>
      </c>
      <c r="S689" s="147">
        <f t="shared" si="787"/>
        <v>237.16879999999998</v>
      </c>
      <c r="T689" s="148">
        <f>S689*$T$5*$T$9</f>
        <v>60596.628399999994</v>
      </c>
      <c r="U689" s="420"/>
      <c r="V689" s="407"/>
      <c r="W689" s="236"/>
      <c r="X689" s="236"/>
      <c r="Y689" s="408"/>
      <c r="Z689" s="409"/>
      <c r="AA689" s="409"/>
      <c r="AB689" s="410"/>
      <c r="AC689" s="155"/>
      <c r="AD689" s="156"/>
      <c r="AE689" s="156"/>
      <c r="AF689" s="156"/>
      <c r="AG689" s="156"/>
      <c r="AH689" s="156"/>
      <c r="AI689" s="156"/>
      <c r="AJ689" s="156"/>
      <c r="AK689" s="156"/>
      <c r="AL689" s="156"/>
      <c r="AM689" s="157">
        <f t="shared" si="781"/>
        <v>0</v>
      </c>
      <c r="AN689" s="158">
        <f t="shared" si="782"/>
        <v>4000</v>
      </c>
      <c r="AO689" s="159">
        <v>0.2</v>
      </c>
      <c r="AP689" s="160">
        <f t="shared" si="783"/>
        <v>0</v>
      </c>
      <c r="AQ689" s="161">
        <f t="shared" si="784"/>
        <v>0</v>
      </c>
      <c r="AR689" s="162">
        <f t="shared" si="785"/>
        <v>0</v>
      </c>
      <c r="AS689" s="163"/>
      <c r="AT689" s="164"/>
      <c r="AU689" s="165"/>
      <c r="AV689" s="166"/>
      <c r="AW689" s="167"/>
      <c r="AX689" s="146">
        <f t="shared" si="786"/>
        <v>0</v>
      </c>
      <c r="AY689" s="168"/>
    </row>
    <row r="690" spans="1:51" s="139" customFormat="1" ht="11.25" hidden="1" x14ac:dyDescent="0.25">
      <c r="A690" s="1"/>
      <c r="B690" s="140">
        <v>19</v>
      </c>
      <c r="C690" s="170" t="s">
        <v>106</v>
      </c>
      <c r="D690" s="142"/>
      <c r="E690" s="143"/>
      <c r="F690" s="143"/>
      <c r="G690" s="143"/>
      <c r="H690" s="143"/>
      <c r="I690" s="143"/>
      <c r="J690" s="143"/>
      <c r="K690" s="143"/>
      <c r="L690" s="143"/>
      <c r="M690" s="143"/>
      <c r="N690" s="222">
        <v>374535</v>
      </c>
      <c r="O690" s="143"/>
      <c r="P690" s="145"/>
      <c r="Q690" s="223">
        <f t="shared" si="777"/>
        <v>374535</v>
      </c>
      <c r="R690" s="147">
        <f t="shared" ref="R690:R700" si="788">Q690*$R$10</f>
        <v>41198.85</v>
      </c>
      <c r="S690" s="147">
        <f t="shared" si="787"/>
        <v>112.87356164383561</v>
      </c>
      <c r="T690" s="148">
        <f>S690*$T$5*$T$10</f>
        <v>24719.309999999998</v>
      </c>
      <c r="U690" s="420"/>
      <c r="V690" s="407"/>
      <c r="W690" s="236"/>
      <c r="X690" s="236"/>
      <c r="Y690" s="408"/>
      <c r="Z690" s="409"/>
      <c r="AA690" s="409"/>
      <c r="AB690" s="410"/>
      <c r="AC690" s="155"/>
      <c r="AD690" s="156"/>
      <c r="AE690" s="156"/>
      <c r="AF690" s="156"/>
      <c r="AG690" s="156"/>
      <c r="AH690" s="156"/>
      <c r="AI690" s="156"/>
      <c r="AJ690" s="156"/>
      <c r="AK690" s="156"/>
      <c r="AL690" s="156"/>
      <c r="AM690" s="157">
        <f t="shared" si="781"/>
        <v>0</v>
      </c>
      <c r="AN690" s="158">
        <f t="shared" si="782"/>
        <v>4000</v>
      </c>
      <c r="AO690" s="159">
        <v>0.2</v>
      </c>
      <c r="AP690" s="160">
        <f t="shared" si="783"/>
        <v>0</v>
      </c>
      <c r="AQ690" s="161">
        <f t="shared" si="784"/>
        <v>0</v>
      </c>
      <c r="AR690" s="162">
        <f t="shared" si="785"/>
        <v>0</v>
      </c>
      <c r="AS690" s="163"/>
      <c r="AT690" s="164"/>
      <c r="AU690" s="165"/>
      <c r="AV690" s="166"/>
      <c r="AW690" s="167"/>
      <c r="AX690" s="146">
        <f t="shared" si="786"/>
        <v>0</v>
      </c>
      <c r="AY690" s="168"/>
    </row>
    <row r="691" spans="1:51" s="139" customFormat="1" ht="11.25" hidden="1" x14ac:dyDescent="0.25">
      <c r="A691" s="1"/>
      <c r="B691" s="140">
        <v>20</v>
      </c>
      <c r="C691" s="170" t="s">
        <v>107</v>
      </c>
      <c r="D691" s="142"/>
      <c r="E691" s="143"/>
      <c r="F691" s="143"/>
      <c r="G691" s="143"/>
      <c r="H691" s="143"/>
      <c r="I691" s="143"/>
      <c r="J691" s="143"/>
      <c r="K691" s="143"/>
      <c r="L691" s="143"/>
      <c r="M691" s="143"/>
      <c r="N691" s="222">
        <v>223049</v>
      </c>
      <c r="O691" s="143"/>
      <c r="P691" s="145"/>
      <c r="Q691" s="223">
        <f t="shared" si="777"/>
        <v>223049</v>
      </c>
      <c r="R691" s="147">
        <f t="shared" si="788"/>
        <v>24535.39</v>
      </c>
      <c r="S691" s="147">
        <f t="shared" si="787"/>
        <v>67.220246575342458</v>
      </c>
      <c r="T691" s="148">
        <f>S691*$T$5*$T$10</f>
        <v>14721.233999999997</v>
      </c>
      <c r="U691" s="420"/>
      <c r="V691" s="407"/>
      <c r="W691" s="236"/>
      <c r="X691" s="236"/>
      <c r="Y691" s="408"/>
      <c r="Z691" s="409"/>
      <c r="AA691" s="409"/>
      <c r="AB691" s="410"/>
      <c r="AC691" s="155"/>
      <c r="AD691" s="156"/>
      <c r="AE691" s="156"/>
      <c r="AF691" s="156"/>
      <c r="AG691" s="156"/>
      <c r="AH691" s="156"/>
      <c r="AI691" s="156"/>
      <c r="AJ691" s="156"/>
      <c r="AK691" s="156"/>
      <c r="AL691" s="156"/>
      <c r="AM691" s="157">
        <f t="shared" si="781"/>
        <v>0</v>
      </c>
      <c r="AN691" s="158">
        <f t="shared" si="782"/>
        <v>4000</v>
      </c>
      <c r="AO691" s="159">
        <v>0.2</v>
      </c>
      <c r="AP691" s="160">
        <f t="shared" si="783"/>
        <v>0</v>
      </c>
      <c r="AQ691" s="161">
        <f t="shared" si="784"/>
        <v>0</v>
      </c>
      <c r="AR691" s="162">
        <f t="shared" si="785"/>
        <v>0</v>
      </c>
      <c r="AS691" s="163"/>
      <c r="AT691" s="164"/>
      <c r="AU691" s="165"/>
      <c r="AV691" s="166"/>
      <c r="AW691" s="167"/>
      <c r="AX691" s="146">
        <f t="shared" si="786"/>
        <v>0</v>
      </c>
      <c r="AY691" s="168"/>
    </row>
    <row r="692" spans="1:51" s="139" customFormat="1" ht="11.25" hidden="1" x14ac:dyDescent="0.25">
      <c r="A692" s="1"/>
      <c r="B692" s="140">
        <v>21</v>
      </c>
      <c r="C692" s="170" t="s">
        <v>108</v>
      </c>
      <c r="D692" s="142"/>
      <c r="E692" s="143"/>
      <c r="F692" s="143"/>
      <c r="G692" s="143"/>
      <c r="H692" s="143"/>
      <c r="I692" s="143"/>
      <c r="J692" s="143"/>
      <c r="K692" s="143"/>
      <c r="L692" s="143"/>
      <c r="M692" s="143"/>
      <c r="N692" s="222">
        <v>223480</v>
      </c>
      <c r="O692" s="143"/>
      <c r="P692" s="145"/>
      <c r="Q692" s="223">
        <f t="shared" si="777"/>
        <v>223480</v>
      </c>
      <c r="R692" s="147">
        <f t="shared" si="788"/>
        <v>24582.799999999999</v>
      </c>
      <c r="S692" s="147">
        <f t="shared" si="787"/>
        <v>67.350136986301365</v>
      </c>
      <c r="T692" s="148">
        <f>S692*$T$5*$T$10</f>
        <v>14749.679999999998</v>
      </c>
      <c r="U692" s="420"/>
      <c r="V692" s="407"/>
      <c r="W692" s="236"/>
      <c r="X692" s="236"/>
      <c r="Y692" s="408"/>
      <c r="Z692" s="409"/>
      <c r="AA692" s="409"/>
      <c r="AB692" s="410"/>
      <c r="AC692" s="155"/>
      <c r="AD692" s="156"/>
      <c r="AE692" s="156"/>
      <c r="AF692" s="156"/>
      <c r="AG692" s="156"/>
      <c r="AH692" s="156"/>
      <c r="AI692" s="156"/>
      <c r="AJ692" s="156"/>
      <c r="AK692" s="156"/>
      <c r="AL692" s="156"/>
      <c r="AM692" s="157">
        <f t="shared" si="781"/>
        <v>0</v>
      </c>
      <c r="AN692" s="158">
        <f t="shared" si="782"/>
        <v>4000</v>
      </c>
      <c r="AO692" s="159">
        <v>0.2</v>
      </c>
      <c r="AP692" s="160">
        <f t="shared" si="783"/>
        <v>0</v>
      </c>
      <c r="AQ692" s="161">
        <f t="shared" si="784"/>
        <v>0</v>
      </c>
      <c r="AR692" s="162">
        <f t="shared" si="785"/>
        <v>0</v>
      </c>
      <c r="AS692" s="163"/>
      <c r="AT692" s="164"/>
      <c r="AU692" s="165"/>
      <c r="AV692" s="166"/>
      <c r="AW692" s="167"/>
      <c r="AX692" s="146">
        <f t="shared" si="786"/>
        <v>0</v>
      </c>
      <c r="AY692" s="168"/>
    </row>
    <row r="693" spans="1:51" s="139" customFormat="1" ht="11.25" hidden="1" x14ac:dyDescent="0.25">
      <c r="A693" s="1"/>
      <c r="B693" s="140">
        <v>22</v>
      </c>
      <c r="C693" s="170" t="s">
        <v>109</v>
      </c>
      <c r="D693" s="142"/>
      <c r="E693" s="143"/>
      <c r="F693" s="143"/>
      <c r="G693" s="143"/>
      <c r="H693" s="143"/>
      <c r="I693" s="143"/>
      <c r="J693" s="143"/>
      <c r="K693" s="143"/>
      <c r="L693" s="143"/>
      <c r="M693" s="143"/>
      <c r="N693" s="222">
        <v>277549</v>
      </c>
      <c r="O693" s="143"/>
      <c r="P693" s="145"/>
      <c r="Q693" s="223">
        <f t="shared" si="777"/>
        <v>277549</v>
      </c>
      <c r="R693" s="147">
        <f t="shared" si="788"/>
        <v>30530.39</v>
      </c>
      <c r="S693" s="147">
        <f t="shared" si="787"/>
        <v>83.644904109589035</v>
      </c>
      <c r="T693" s="148">
        <f>S693*$T$5*$T$10</f>
        <v>18318.234</v>
      </c>
      <c r="U693" s="420"/>
      <c r="V693" s="407"/>
      <c r="W693" s="236"/>
      <c r="X693" s="236"/>
      <c r="Y693" s="408"/>
      <c r="Z693" s="409"/>
      <c r="AA693" s="409"/>
      <c r="AB693" s="410"/>
      <c r="AC693" s="155"/>
      <c r="AD693" s="156"/>
      <c r="AE693" s="156"/>
      <c r="AF693" s="156"/>
      <c r="AG693" s="156"/>
      <c r="AH693" s="156"/>
      <c r="AI693" s="156"/>
      <c r="AJ693" s="156"/>
      <c r="AK693" s="156"/>
      <c r="AL693" s="156"/>
      <c r="AM693" s="157">
        <f t="shared" si="781"/>
        <v>0</v>
      </c>
      <c r="AN693" s="158">
        <f t="shared" si="782"/>
        <v>4000</v>
      </c>
      <c r="AO693" s="159">
        <v>0.2</v>
      </c>
      <c r="AP693" s="160">
        <f t="shared" si="783"/>
        <v>0</v>
      </c>
      <c r="AQ693" s="161">
        <f t="shared" si="784"/>
        <v>0</v>
      </c>
      <c r="AR693" s="162">
        <f t="shared" si="785"/>
        <v>0</v>
      </c>
      <c r="AS693" s="163"/>
      <c r="AT693" s="164"/>
      <c r="AU693" s="165"/>
      <c r="AV693" s="166"/>
      <c r="AW693" s="167"/>
      <c r="AX693" s="146">
        <f t="shared" si="786"/>
        <v>0</v>
      </c>
      <c r="AY693" s="168"/>
    </row>
    <row r="694" spans="1:51" s="139" customFormat="1" ht="11.25" hidden="1" x14ac:dyDescent="0.25">
      <c r="A694" s="1"/>
      <c r="B694" s="140">
        <v>23</v>
      </c>
      <c r="C694" s="170" t="s">
        <v>110</v>
      </c>
      <c r="D694" s="142"/>
      <c r="E694" s="143"/>
      <c r="F694" s="143"/>
      <c r="G694" s="143"/>
      <c r="H694" s="143"/>
      <c r="I694" s="143"/>
      <c r="J694" s="143"/>
      <c r="K694" s="143"/>
      <c r="L694" s="143"/>
      <c r="M694" s="143"/>
      <c r="N694" s="222">
        <v>331660</v>
      </c>
      <c r="O694" s="143"/>
      <c r="P694" s="145"/>
      <c r="Q694" s="223">
        <f t="shared" si="777"/>
        <v>331660</v>
      </c>
      <c r="R694" s="147">
        <f t="shared" si="788"/>
        <v>36482.6</v>
      </c>
      <c r="S694" s="147">
        <f t="shared" si="787"/>
        <v>99.952328767123291</v>
      </c>
      <c r="T694" s="148">
        <f>S694*$T$5*$T$10</f>
        <v>21889.559999999998</v>
      </c>
      <c r="U694" s="420"/>
      <c r="V694" s="407"/>
      <c r="W694" s="236"/>
      <c r="X694" s="236"/>
      <c r="Y694" s="408"/>
      <c r="Z694" s="409"/>
      <c r="AA694" s="409"/>
      <c r="AB694" s="410"/>
      <c r="AC694" s="155"/>
      <c r="AD694" s="156"/>
      <c r="AE694" s="156"/>
      <c r="AF694" s="156"/>
      <c r="AG694" s="156"/>
      <c r="AH694" s="156"/>
      <c r="AI694" s="156"/>
      <c r="AJ694" s="156"/>
      <c r="AK694" s="156"/>
      <c r="AL694" s="156"/>
      <c r="AM694" s="157">
        <f t="shared" si="781"/>
        <v>0</v>
      </c>
      <c r="AN694" s="158">
        <f t="shared" si="782"/>
        <v>4000</v>
      </c>
      <c r="AO694" s="159">
        <v>0.2</v>
      </c>
      <c r="AP694" s="160">
        <f t="shared" si="783"/>
        <v>0</v>
      </c>
      <c r="AQ694" s="161">
        <f t="shared" si="784"/>
        <v>0</v>
      </c>
      <c r="AR694" s="162">
        <f t="shared" si="785"/>
        <v>0</v>
      </c>
      <c r="AS694" s="163"/>
      <c r="AT694" s="164"/>
      <c r="AU694" s="165"/>
      <c r="AV694" s="166"/>
      <c r="AW694" s="167"/>
      <c r="AX694" s="146">
        <f t="shared" si="786"/>
        <v>0</v>
      </c>
      <c r="AY694" s="168"/>
    </row>
    <row r="695" spans="1:51" s="139" customFormat="1" ht="11.25" hidden="1" x14ac:dyDescent="0.25">
      <c r="A695" s="1"/>
      <c r="B695" s="140"/>
      <c r="C695" s="170"/>
      <c r="D695" s="142"/>
      <c r="E695" s="143"/>
      <c r="F695" s="143"/>
      <c r="G695" s="143"/>
      <c r="H695" s="143"/>
      <c r="I695" s="143"/>
      <c r="J695" s="143"/>
      <c r="K695" s="143"/>
      <c r="L695" s="143"/>
      <c r="M695" s="143"/>
      <c r="N695" s="222"/>
      <c r="O695" s="143"/>
      <c r="P695" s="145"/>
      <c r="Q695" s="223"/>
      <c r="R695" s="147"/>
      <c r="S695" s="147"/>
      <c r="T695" s="148"/>
      <c r="U695" s="420" t="s">
        <v>644</v>
      </c>
      <c r="V695" s="407">
        <v>2</v>
      </c>
      <c r="W695" s="236">
        <f>(30*0.25)*365</f>
        <v>2737.5</v>
      </c>
      <c r="X695" s="236"/>
      <c r="Y695" s="408"/>
      <c r="Z695" s="409"/>
      <c r="AA695" s="409"/>
      <c r="AB695" s="410"/>
      <c r="AC695" s="411">
        <f>W695*52%</f>
        <v>1423.5</v>
      </c>
      <c r="AD695" s="412">
        <f>W695*25%</f>
        <v>684.375</v>
      </c>
      <c r="AE695" s="412">
        <f>W695*9%</f>
        <v>246.375</v>
      </c>
      <c r="AF695" s="412">
        <f>W695*5%</f>
        <v>136.875</v>
      </c>
      <c r="AG695" s="412">
        <f>W695*3%</f>
        <v>82.125</v>
      </c>
      <c r="AH695" s="412">
        <f>W695*1%</f>
        <v>27.375</v>
      </c>
      <c r="AI695" s="412">
        <f>W695*2%</f>
        <v>54.75</v>
      </c>
      <c r="AJ695" s="412">
        <f>W695*1%</f>
        <v>27.375</v>
      </c>
      <c r="AK695" s="412">
        <f>W695*4%</f>
        <v>109.5</v>
      </c>
      <c r="AL695" s="412">
        <f>W695*1%</f>
        <v>27.375</v>
      </c>
      <c r="AM695" s="413">
        <f>SUM(AD695:AI695)</f>
        <v>1231.875</v>
      </c>
      <c r="AN695" s="158">
        <f t="shared" si="782"/>
        <v>4000</v>
      </c>
      <c r="AO695" s="159">
        <v>0.2</v>
      </c>
      <c r="AP695" s="160">
        <f t="shared" si="783"/>
        <v>20630457</v>
      </c>
      <c r="AQ695" s="161">
        <f t="shared" si="784"/>
        <v>5730.6829584546003</v>
      </c>
      <c r="AR695" s="162">
        <f t="shared" si="785"/>
        <v>1146.1365916909201</v>
      </c>
      <c r="AS695" s="163"/>
      <c r="AT695" s="233"/>
      <c r="AU695" s="187"/>
      <c r="AV695" s="414">
        <f>AR695/$AV$5</f>
        <v>0.16354688808375001</v>
      </c>
      <c r="AW695" s="415"/>
      <c r="AX695" s="146">
        <f>SUM(AU695:AV695)</f>
        <v>0.16354688808375001</v>
      </c>
      <c r="AY695" s="168"/>
    </row>
    <row r="696" spans="1:51" s="139" customFormat="1" ht="11.25" hidden="1" x14ac:dyDescent="0.25">
      <c r="A696" s="1"/>
      <c r="B696" s="140">
        <v>24</v>
      </c>
      <c r="C696" s="170" t="s">
        <v>111</v>
      </c>
      <c r="D696" s="142"/>
      <c r="E696" s="143"/>
      <c r="F696" s="143"/>
      <c r="G696" s="143"/>
      <c r="H696" s="143"/>
      <c r="I696" s="143"/>
      <c r="J696" s="143"/>
      <c r="K696" s="143"/>
      <c r="L696" s="143"/>
      <c r="M696" s="143"/>
      <c r="N696" s="222">
        <v>127530</v>
      </c>
      <c r="O696" s="143"/>
      <c r="P696" s="145"/>
      <c r="Q696" s="223">
        <f t="shared" si="777"/>
        <v>127530</v>
      </c>
      <c r="R696" s="147">
        <f t="shared" si="788"/>
        <v>14028.3</v>
      </c>
      <c r="S696" s="147">
        <f>R696/$S$5</f>
        <v>38.433698630136988</v>
      </c>
      <c r="T696" s="148">
        <f>S696*$T$5*$T$10</f>
        <v>8416.98</v>
      </c>
      <c r="U696" s="420"/>
      <c r="V696" s="407"/>
      <c r="W696" s="236"/>
      <c r="X696" s="236"/>
      <c r="Y696" s="408"/>
      <c r="Z696" s="409"/>
      <c r="AA696" s="409"/>
      <c r="AB696" s="410"/>
      <c r="AC696" s="155"/>
      <c r="AD696" s="156"/>
      <c r="AE696" s="156"/>
      <c r="AF696" s="156"/>
      <c r="AG696" s="156"/>
      <c r="AH696" s="156"/>
      <c r="AI696" s="156"/>
      <c r="AJ696" s="156"/>
      <c r="AK696" s="156"/>
      <c r="AL696" s="156"/>
      <c r="AM696" s="157">
        <f t="shared" si="781"/>
        <v>0</v>
      </c>
      <c r="AN696" s="158">
        <f t="shared" si="782"/>
        <v>4000</v>
      </c>
      <c r="AO696" s="159">
        <v>0.2</v>
      </c>
      <c r="AP696" s="160">
        <f t="shared" si="783"/>
        <v>0</v>
      </c>
      <c r="AQ696" s="161">
        <f t="shared" si="784"/>
        <v>0</v>
      </c>
      <c r="AR696" s="162">
        <f t="shared" si="785"/>
        <v>0</v>
      </c>
      <c r="AS696" s="163"/>
      <c r="AT696" s="164"/>
      <c r="AU696" s="165"/>
      <c r="AV696" s="166"/>
      <c r="AW696" s="167"/>
      <c r="AX696" s="146">
        <f t="shared" si="786"/>
        <v>0</v>
      </c>
      <c r="AY696" s="168"/>
    </row>
    <row r="697" spans="1:51" s="139" customFormat="1" ht="11.25" hidden="1" x14ac:dyDescent="0.25">
      <c r="A697" s="1"/>
      <c r="B697" s="140">
        <v>25</v>
      </c>
      <c r="C697" s="170" t="s">
        <v>112</v>
      </c>
      <c r="D697" s="142"/>
      <c r="E697" s="143"/>
      <c r="F697" s="143"/>
      <c r="G697" s="143"/>
      <c r="H697" s="143"/>
      <c r="I697" s="143"/>
      <c r="J697" s="143"/>
      <c r="K697" s="143"/>
      <c r="L697" s="143"/>
      <c r="M697" s="143"/>
      <c r="N697" s="222">
        <v>81461</v>
      </c>
      <c r="O697" s="143"/>
      <c r="P697" s="145"/>
      <c r="Q697" s="223">
        <f t="shared" si="777"/>
        <v>81461</v>
      </c>
      <c r="R697" s="147">
        <f t="shared" si="788"/>
        <v>8960.7100000000009</v>
      </c>
      <c r="S697" s="147">
        <f>R697/$S$5</f>
        <v>24.549890410958906</v>
      </c>
      <c r="T697" s="148">
        <f>S697*$T$5*$T$10</f>
        <v>5376.4260000000004</v>
      </c>
      <c r="U697" s="420"/>
      <c r="V697" s="407"/>
      <c r="W697" s="236"/>
      <c r="X697" s="236"/>
      <c r="Y697" s="408"/>
      <c r="Z697" s="409"/>
      <c r="AA697" s="409"/>
      <c r="AB697" s="410"/>
      <c r="AC697" s="155"/>
      <c r="AD697" s="156"/>
      <c r="AE697" s="156"/>
      <c r="AF697" s="156"/>
      <c r="AG697" s="156"/>
      <c r="AH697" s="156"/>
      <c r="AI697" s="156"/>
      <c r="AJ697" s="156"/>
      <c r="AK697" s="156"/>
      <c r="AL697" s="156"/>
      <c r="AM697" s="157">
        <f t="shared" si="781"/>
        <v>0</v>
      </c>
      <c r="AN697" s="158">
        <f t="shared" si="782"/>
        <v>4000</v>
      </c>
      <c r="AO697" s="159">
        <v>0.2</v>
      </c>
      <c r="AP697" s="160">
        <f t="shared" si="783"/>
        <v>0</v>
      </c>
      <c r="AQ697" s="161">
        <f t="shared" si="784"/>
        <v>0</v>
      </c>
      <c r="AR697" s="162">
        <f t="shared" si="785"/>
        <v>0</v>
      </c>
      <c r="AS697" s="163"/>
      <c r="AT697" s="164"/>
      <c r="AU697" s="165"/>
      <c r="AV697" s="166"/>
      <c r="AW697" s="167"/>
      <c r="AX697" s="146">
        <f t="shared" si="786"/>
        <v>0</v>
      </c>
      <c r="AY697" s="168"/>
    </row>
    <row r="698" spans="1:51" s="139" customFormat="1" ht="11.25" hidden="1" x14ac:dyDescent="0.25">
      <c r="A698" s="1"/>
      <c r="B698" s="140">
        <v>26</v>
      </c>
      <c r="C698" s="170" t="s">
        <v>113</v>
      </c>
      <c r="D698" s="142"/>
      <c r="E698" s="143"/>
      <c r="F698" s="143"/>
      <c r="G698" s="143"/>
      <c r="H698" s="143"/>
      <c r="I698" s="143"/>
      <c r="J698" s="143"/>
      <c r="K698" s="143"/>
      <c r="L698" s="143"/>
      <c r="M698" s="143"/>
      <c r="N698" s="222">
        <v>84444</v>
      </c>
      <c r="O698" s="143"/>
      <c r="P698" s="145"/>
      <c r="Q698" s="223">
        <f t="shared" si="777"/>
        <v>84444</v>
      </c>
      <c r="R698" s="147">
        <f t="shared" si="788"/>
        <v>9288.84</v>
      </c>
      <c r="S698" s="147">
        <f>R698/$S$5</f>
        <v>25.448876712328769</v>
      </c>
      <c r="T698" s="148">
        <f>S698*$T$5*$T$10</f>
        <v>5573.3040000000001</v>
      </c>
      <c r="U698" s="420"/>
      <c r="V698" s="407"/>
      <c r="W698" s="236"/>
      <c r="X698" s="236"/>
      <c r="Y698" s="408"/>
      <c r="Z698" s="409"/>
      <c r="AA698" s="409"/>
      <c r="AB698" s="410"/>
      <c r="AC698" s="155"/>
      <c r="AD698" s="156"/>
      <c r="AE698" s="156"/>
      <c r="AF698" s="156"/>
      <c r="AG698" s="156"/>
      <c r="AH698" s="156"/>
      <c r="AI698" s="156"/>
      <c r="AJ698" s="156"/>
      <c r="AK698" s="156"/>
      <c r="AL698" s="156"/>
      <c r="AM698" s="157">
        <f t="shared" si="781"/>
        <v>0</v>
      </c>
      <c r="AN698" s="158">
        <f t="shared" si="782"/>
        <v>4000</v>
      </c>
      <c r="AO698" s="159">
        <v>0.2</v>
      </c>
      <c r="AP698" s="160">
        <f t="shared" si="783"/>
        <v>0</v>
      </c>
      <c r="AQ698" s="161">
        <f t="shared" si="784"/>
        <v>0</v>
      </c>
      <c r="AR698" s="162">
        <f t="shared" si="785"/>
        <v>0</v>
      </c>
      <c r="AS698" s="163"/>
      <c r="AT698" s="164"/>
      <c r="AU698" s="165"/>
      <c r="AV698" s="166"/>
      <c r="AW698" s="167"/>
      <c r="AX698" s="146">
        <f t="shared" si="786"/>
        <v>0</v>
      </c>
      <c r="AY698" s="168"/>
    </row>
    <row r="699" spans="1:51" s="139" customFormat="1" ht="11.25" hidden="1" x14ac:dyDescent="0.25">
      <c r="A699" s="1"/>
      <c r="B699" s="140">
        <v>27</v>
      </c>
      <c r="C699" s="234" t="s">
        <v>114</v>
      </c>
      <c r="D699" s="142"/>
      <c r="E699" s="143"/>
      <c r="F699" s="143"/>
      <c r="G699" s="143"/>
      <c r="H699" s="143"/>
      <c r="I699" s="143"/>
      <c r="J699" s="143"/>
      <c r="K699" s="143"/>
      <c r="L699" s="143"/>
      <c r="M699" s="143"/>
      <c r="N699" s="222">
        <v>154426</v>
      </c>
      <c r="O699" s="143"/>
      <c r="P699" s="145"/>
      <c r="Q699" s="223">
        <f t="shared" si="777"/>
        <v>154426</v>
      </c>
      <c r="R699" s="147">
        <f t="shared" si="788"/>
        <v>16986.86</v>
      </c>
      <c r="S699" s="147">
        <f>R699/$S$5</f>
        <v>46.539342465753428</v>
      </c>
      <c r="T699" s="148">
        <f>S699*$T$5*$T$10</f>
        <v>10192.116</v>
      </c>
      <c r="U699" s="420"/>
      <c r="V699" s="407"/>
      <c r="W699" s="236"/>
      <c r="X699" s="236"/>
      <c r="Y699" s="408"/>
      <c r="Z699" s="409"/>
      <c r="AA699" s="409"/>
      <c r="AB699" s="410"/>
      <c r="AC699" s="155"/>
      <c r="AD699" s="156"/>
      <c r="AE699" s="156"/>
      <c r="AF699" s="156"/>
      <c r="AG699" s="156"/>
      <c r="AH699" s="156"/>
      <c r="AI699" s="156"/>
      <c r="AJ699" s="156"/>
      <c r="AK699" s="156"/>
      <c r="AL699" s="156"/>
      <c r="AM699" s="157">
        <f t="shared" si="781"/>
        <v>0</v>
      </c>
      <c r="AN699" s="158">
        <f t="shared" si="782"/>
        <v>4000</v>
      </c>
      <c r="AO699" s="159">
        <v>0.2</v>
      </c>
      <c r="AP699" s="160">
        <f t="shared" si="783"/>
        <v>0</v>
      </c>
      <c r="AQ699" s="161">
        <f t="shared" si="784"/>
        <v>0</v>
      </c>
      <c r="AR699" s="162">
        <f t="shared" si="785"/>
        <v>0</v>
      </c>
      <c r="AS699" s="163"/>
      <c r="AT699" s="164"/>
      <c r="AU699" s="165"/>
      <c r="AV699" s="166"/>
      <c r="AW699" s="167"/>
      <c r="AX699" s="146">
        <f t="shared" si="786"/>
        <v>0</v>
      </c>
      <c r="AY699" s="168"/>
    </row>
    <row r="700" spans="1:51" s="139" customFormat="1" ht="11.25" hidden="1" x14ac:dyDescent="0.25">
      <c r="A700" s="1"/>
      <c r="B700" s="140">
        <v>28</v>
      </c>
      <c r="C700" s="421" t="s">
        <v>115</v>
      </c>
      <c r="D700" s="300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>
        <v>234885</v>
      </c>
      <c r="O700" s="236"/>
      <c r="P700" s="237"/>
      <c r="Q700" s="223">
        <f t="shared" si="777"/>
        <v>234885</v>
      </c>
      <c r="R700" s="147">
        <f t="shared" si="788"/>
        <v>25837.35</v>
      </c>
      <c r="S700" s="147">
        <f>R700/$S$5</f>
        <v>70.787260273972592</v>
      </c>
      <c r="T700" s="148">
        <f>S700*$T$5*$T$10</f>
        <v>15502.409999999996</v>
      </c>
      <c r="U700" s="420"/>
      <c r="V700" s="407"/>
      <c r="W700" s="236"/>
      <c r="X700" s="236"/>
      <c r="Y700" s="408"/>
      <c r="Z700" s="409"/>
      <c r="AA700" s="409"/>
      <c r="AB700" s="410"/>
      <c r="AC700" s="155"/>
      <c r="AD700" s="156"/>
      <c r="AE700" s="156"/>
      <c r="AF700" s="156"/>
      <c r="AG700" s="156"/>
      <c r="AH700" s="156"/>
      <c r="AI700" s="156"/>
      <c r="AJ700" s="156"/>
      <c r="AK700" s="156"/>
      <c r="AL700" s="156"/>
      <c r="AM700" s="157">
        <f t="shared" si="781"/>
        <v>0</v>
      </c>
      <c r="AN700" s="158">
        <f t="shared" si="782"/>
        <v>4000</v>
      </c>
      <c r="AO700" s="159">
        <v>0.2</v>
      </c>
      <c r="AP700" s="160">
        <f t="shared" si="783"/>
        <v>0</v>
      </c>
      <c r="AQ700" s="161">
        <f t="shared" si="784"/>
        <v>0</v>
      </c>
      <c r="AR700" s="162">
        <f t="shared" si="785"/>
        <v>0</v>
      </c>
      <c r="AS700" s="163"/>
      <c r="AT700" s="164"/>
      <c r="AU700" s="165"/>
      <c r="AV700" s="166"/>
      <c r="AW700" s="167"/>
      <c r="AX700" s="146">
        <f t="shared" si="786"/>
        <v>0</v>
      </c>
      <c r="AY700" s="168"/>
    </row>
    <row r="701" spans="1:51" s="139" customFormat="1" ht="11.25" hidden="1" x14ac:dyDescent="0.25">
      <c r="A701" s="1"/>
      <c r="B701" s="140"/>
      <c r="C701" s="422"/>
      <c r="D701" s="235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7"/>
      <c r="Q701" s="223"/>
      <c r="R701" s="167"/>
      <c r="S701" s="147"/>
      <c r="T701" s="146"/>
      <c r="U701" s="420" t="s">
        <v>645</v>
      </c>
      <c r="V701" s="407">
        <v>5.5</v>
      </c>
      <c r="W701" s="236">
        <f>(675*25%)*365</f>
        <v>61593.75</v>
      </c>
      <c r="X701" s="236"/>
      <c r="Y701" s="408"/>
      <c r="Z701" s="409"/>
      <c r="AA701" s="409"/>
      <c r="AB701" s="410"/>
      <c r="AC701" s="411">
        <f>W701*$AC$5</f>
        <v>35724.375</v>
      </c>
      <c r="AD701" s="412">
        <f>W701*$AD$5</f>
        <v>8007.1875</v>
      </c>
      <c r="AE701" s="412">
        <f>W701*$AE$5</f>
        <v>5404.8515625</v>
      </c>
      <c r="AF701" s="412">
        <f>W701*$AF$5</f>
        <v>2463.75</v>
      </c>
      <c r="AG701" s="412">
        <f>W701*$AG$5</f>
        <v>1231.875</v>
      </c>
      <c r="AH701" s="412">
        <f>W701*$AH$5</f>
        <v>1231.875</v>
      </c>
      <c r="AI701" s="412">
        <f>W701*$AI$5</f>
        <v>615.9375</v>
      </c>
      <c r="AJ701" s="412">
        <f>W701*$AJ$5</f>
        <v>1231.875</v>
      </c>
      <c r="AK701" s="412">
        <f>W701*$AK$5</f>
        <v>1231.875</v>
      </c>
      <c r="AL701" s="412">
        <f>W701*$AL$5</f>
        <v>4311.5625</v>
      </c>
      <c r="AM701" s="413">
        <f t="shared" si="781"/>
        <v>18955.4765625</v>
      </c>
      <c r="AN701" s="158">
        <f t="shared" si="782"/>
        <v>4000</v>
      </c>
      <c r="AO701" s="159">
        <v>0.2</v>
      </c>
      <c r="AP701" s="160">
        <f t="shared" si="783"/>
        <v>317451157.08749998</v>
      </c>
      <c r="AQ701" s="161">
        <f t="shared" si="784"/>
        <v>88180.884023220147</v>
      </c>
      <c r="AR701" s="162">
        <f t="shared" si="785"/>
        <v>17636.17680464403</v>
      </c>
      <c r="AS701" s="163"/>
      <c r="AT701" s="233"/>
      <c r="AU701" s="187"/>
      <c r="AV701" s="414">
        <f>AR701/$AV$5</f>
        <v>2.5165777403887031</v>
      </c>
      <c r="AW701" s="415"/>
      <c r="AX701" s="146">
        <f t="shared" si="786"/>
        <v>2.5165777403887031</v>
      </c>
      <c r="AY701" s="168"/>
    </row>
    <row r="702" spans="1:51" s="139" customFormat="1" ht="11.25" hidden="1" x14ac:dyDescent="0.25">
      <c r="A702" s="1"/>
      <c r="B702" s="140">
        <v>29</v>
      </c>
      <c r="C702" s="221" t="s">
        <v>116</v>
      </c>
      <c r="D702" s="235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>
        <v>145180</v>
      </c>
      <c r="O702" s="236"/>
      <c r="P702" s="237"/>
      <c r="Q702" s="223">
        <f t="shared" si="777"/>
        <v>145180</v>
      </c>
      <c r="R702" s="167"/>
      <c r="S702" s="147">
        <f>Q702*$S$4*$S$5</f>
        <v>0</v>
      </c>
      <c r="T702" s="146">
        <f>Q702*$T$4*$T$5</f>
        <v>0</v>
      </c>
      <c r="U702" s="420"/>
      <c r="V702" s="407"/>
      <c r="W702" s="236"/>
      <c r="X702" s="236"/>
      <c r="Y702" s="408"/>
      <c r="Z702" s="409"/>
      <c r="AA702" s="409"/>
      <c r="AB702" s="410"/>
      <c r="AC702" s="155"/>
      <c r="AD702" s="156"/>
      <c r="AE702" s="156"/>
      <c r="AF702" s="156"/>
      <c r="AG702" s="156"/>
      <c r="AH702" s="156"/>
      <c r="AI702" s="156"/>
      <c r="AJ702" s="156"/>
      <c r="AK702" s="156"/>
      <c r="AL702" s="156"/>
      <c r="AM702" s="157">
        <f t="shared" si="781"/>
        <v>0</v>
      </c>
      <c r="AN702" s="158">
        <f t="shared" si="782"/>
        <v>4000</v>
      </c>
      <c r="AO702" s="159">
        <v>0.2</v>
      </c>
      <c r="AP702" s="160">
        <f t="shared" si="783"/>
        <v>0</v>
      </c>
      <c r="AQ702" s="161">
        <f t="shared" si="784"/>
        <v>0</v>
      </c>
      <c r="AR702" s="162">
        <f t="shared" si="785"/>
        <v>0</v>
      </c>
      <c r="AS702" s="163"/>
      <c r="AT702" s="164"/>
      <c r="AU702" s="165"/>
      <c r="AV702" s="166"/>
      <c r="AW702" s="167"/>
      <c r="AX702" s="146">
        <f t="shared" si="786"/>
        <v>0</v>
      </c>
      <c r="AY702" s="168"/>
    </row>
    <row r="703" spans="1:51" s="139" customFormat="1" ht="11.25" hidden="1" x14ac:dyDescent="0.25">
      <c r="A703" s="1"/>
      <c r="B703" s="140">
        <v>30</v>
      </c>
      <c r="C703" s="238" t="s">
        <v>117</v>
      </c>
      <c r="D703" s="235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>
        <v>2109339</v>
      </c>
      <c r="O703" s="236"/>
      <c r="P703" s="237"/>
      <c r="Q703" s="304">
        <f t="shared" si="777"/>
        <v>2109339</v>
      </c>
      <c r="R703" s="147">
        <f>Q703*$R$7</f>
        <v>499913.34299999999</v>
      </c>
      <c r="S703" s="147">
        <f>R703/$S$5</f>
        <v>1369.6255972602739</v>
      </c>
      <c r="T703" s="148">
        <f>S703*$T$5*$T$7</f>
        <v>449922.00870000001</v>
      </c>
      <c r="U703" s="420"/>
      <c r="V703" s="407"/>
      <c r="W703" s="236"/>
      <c r="X703" s="236"/>
      <c r="Y703" s="408"/>
      <c r="Z703" s="409"/>
      <c r="AA703" s="409"/>
      <c r="AB703" s="410"/>
      <c r="AC703" s="155"/>
      <c r="AD703" s="156"/>
      <c r="AE703" s="156"/>
      <c r="AF703" s="156"/>
      <c r="AG703" s="156"/>
      <c r="AH703" s="156"/>
      <c r="AI703" s="156"/>
      <c r="AJ703" s="156"/>
      <c r="AK703" s="156"/>
      <c r="AL703" s="156"/>
      <c r="AM703" s="157">
        <f t="shared" si="781"/>
        <v>0</v>
      </c>
      <c r="AN703" s="158">
        <f t="shared" si="782"/>
        <v>4000</v>
      </c>
      <c r="AO703" s="159">
        <v>0.2</v>
      </c>
      <c r="AP703" s="160">
        <f t="shared" si="783"/>
        <v>0</v>
      </c>
      <c r="AQ703" s="161">
        <f t="shared" si="784"/>
        <v>0</v>
      </c>
      <c r="AR703" s="162">
        <f t="shared" si="785"/>
        <v>0</v>
      </c>
      <c r="AS703" s="163"/>
      <c r="AT703" s="233"/>
      <c r="AU703" s="187"/>
      <c r="AV703" s="166"/>
      <c r="AW703" s="167"/>
      <c r="AX703" s="146">
        <f t="shared" si="786"/>
        <v>0</v>
      </c>
      <c r="AY703" s="168"/>
    </row>
    <row r="704" spans="1:51" s="139" customFormat="1" ht="11.25" hidden="1" x14ac:dyDescent="0.25">
      <c r="A704" s="1"/>
      <c r="B704" s="140"/>
      <c r="C704" s="238"/>
      <c r="D704" s="235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7"/>
      <c r="Q704" s="223"/>
      <c r="R704" s="167"/>
      <c r="S704" s="147"/>
      <c r="T704" s="146"/>
      <c r="U704" s="420" t="s">
        <v>646</v>
      </c>
      <c r="V704" s="423">
        <v>16</v>
      </c>
      <c r="W704" s="236">
        <f>(1280/2)*365</f>
        <v>233600</v>
      </c>
      <c r="X704" s="236"/>
      <c r="Y704" s="408"/>
      <c r="Z704" s="409" t="s">
        <v>647</v>
      </c>
      <c r="AA704" s="409"/>
      <c r="AB704" s="410" t="s">
        <v>647</v>
      </c>
      <c r="AC704" s="411">
        <f>W704*$AC$5</f>
        <v>135488</v>
      </c>
      <c r="AD704" s="412">
        <f>W704*$AD$5</f>
        <v>30368</v>
      </c>
      <c r="AE704" s="412">
        <f>W704*$AE$5</f>
        <v>20498.399999999998</v>
      </c>
      <c r="AF704" s="412">
        <f>W704*$AF$5</f>
        <v>9344</v>
      </c>
      <c r="AG704" s="412">
        <f>W704*$AG$5</f>
        <v>4672</v>
      </c>
      <c r="AH704" s="412">
        <f>W704*$AH$5</f>
        <v>4672</v>
      </c>
      <c r="AI704" s="412">
        <f>W704*$AI$5</f>
        <v>2336</v>
      </c>
      <c r="AJ704" s="412">
        <f>W704*$AJ$5</f>
        <v>4672</v>
      </c>
      <c r="AK704" s="412">
        <f>W704*$AK$5</f>
        <v>4672</v>
      </c>
      <c r="AL704" s="412">
        <f>W704*$AL$5</f>
        <v>16352.000000000002</v>
      </c>
      <c r="AM704" s="413">
        <f>SUM(AD704:AI704)</f>
        <v>71890.399999999994</v>
      </c>
      <c r="AN704" s="158">
        <f t="shared" si="782"/>
        <v>4000</v>
      </c>
      <c r="AO704" s="159">
        <v>0.2</v>
      </c>
      <c r="AP704" s="160">
        <f t="shared" si="783"/>
        <v>1203962906.8799999</v>
      </c>
      <c r="AQ704" s="161">
        <f t="shared" si="784"/>
        <v>334434.16755473125</v>
      </c>
      <c r="AR704" s="162">
        <f t="shared" si="785"/>
        <v>66886.83351094625</v>
      </c>
      <c r="AS704" s="163"/>
      <c r="AT704" s="233"/>
      <c r="AU704" s="187">
        <v>1.5</v>
      </c>
      <c r="AV704" s="414">
        <f>AR704/$AV$5</f>
        <v>9.5443540968815999</v>
      </c>
      <c r="AW704" s="415">
        <f>AV704</f>
        <v>9.5443540968815999</v>
      </c>
      <c r="AX704" s="146">
        <f t="shared" si="786"/>
        <v>11.0443540968816</v>
      </c>
      <c r="AY704" s="168"/>
    </row>
    <row r="705" spans="1:51" s="139" customFormat="1" ht="11.25" hidden="1" x14ac:dyDescent="0.25">
      <c r="A705" s="1"/>
      <c r="B705" s="140"/>
      <c r="C705" s="238"/>
      <c r="D705" s="235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7"/>
      <c r="Q705" s="223"/>
      <c r="R705" s="167"/>
      <c r="S705" s="147"/>
      <c r="T705" s="146"/>
      <c r="U705" s="420" t="s">
        <v>648</v>
      </c>
      <c r="V705" s="423">
        <v>14</v>
      </c>
      <c r="W705" s="236">
        <f>(1280/2)*365</f>
        <v>233600</v>
      </c>
      <c r="X705" s="236"/>
      <c r="Y705" s="408"/>
      <c r="Z705" s="409" t="s">
        <v>647</v>
      </c>
      <c r="AA705" s="409"/>
      <c r="AB705" s="410" t="s">
        <v>647</v>
      </c>
      <c r="AC705" s="411">
        <f>W705*$AC$5</f>
        <v>135488</v>
      </c>
      <c r="AD705" s="412">
        <f>W705*$AD$5</f>
        <v>30368</v>
      </c>
      <c r="AE705" s="412">
        <f>W705*$AE$5</f>
        <v>20498.399999999998</v>
      </c>
      <c r="AF705" s="412">
        <f>W705*$AF$5</f>
        <v>9344</v>
      </c>
      <c r="AG705" s="412">
        <f>W705*$AG$5</f>
        <v>4672</v>
      </c>
      <c r="AH705" s="412">
        <f>W705*$AH$5</f>
        <v>4672</v>
      </c>
      <c r="AI705" s="412">
        <f>W705*$AI$5</f>
        <v>2336</v>
      </c>
      <c r="AJ705" s="412">
        <f>W705*$AJ$5</f>
        <v>4672</v>
      </c>
      <c r="AK705" s="412">
        <f>W705*$AK$5</f>
        <v>4672</v>
      </c>
      <c r="AL705" s="412">
        <f>W705*$AL$5</f>
        <v>16352.000000000002</v>
      </c>
      <c r="AM705" s="413">
        <f>SUM(AD705:AI705)</f>
        <v>71890.399999999994</v>
      </c>
      <c r="AN705" s="158">
        <f t="shared" si="782"/>
        <v>4000</v>
      </c>
      <c r="AO705" s="159">
        <v>0.2</v>
      </c>
      <c r="AP705" s="160">
        <f t="shared" si="783"/>
        <v>1203962906.8799999</v>
      </c>
      <c r="AQ705" s="161">
        <f t="shared" si="784"/>
        <v>334434.16755473125</v>
      </c>
      <c r="AR705" s="162">
        <f t="shared" si="785"/>
        <v>66886.83351094625</v>
      </c>
      <c r="AS705" s="163"/>
      <c r="AT705" s="233"/>
      <c r="AU705" s="187">
        <v>1.5</v>
      </c>
      <c r="AV705" s="414">
        <f>AR705/$AV$5</f>
        <v>9.5443540968815999</v>
      </c>
      <c r="AW705" s="415">
        <f>AV705</f>
        <v>9.5443540968815999</v>
      </c>
      <c r="AX705" s="146">
        <f t="shared" si="786"/>
        <v>11.0443540968816</v>
      </c>
      <c r="AY705" s="168"/>
    </row>
    <row r="706" spans="1:51" s="139" customFormat="1" ht="11.25" hidden="1" x14ac:dyDescent="0.25">
      <c r="A706" s="1"/>
      <c r="B706" s="140">
        <v>31</v>
      </c>
      <c r="C706" s="221" t="s">
        <v>118</v>
      </c>
      <c r="D706" s="235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>
        <v>246010</v>
      </c>
      <c r="O706" s="236"/>
      <c r="P706" s="237"/>
      <c r="Q706" s="223">
        <f t="shared" si="777"/>
        <v>246010</v>
      </c>
      <c r="R706" s="147">
        <f>Q706*$R$10</f>
        <v>27061.1</v>
      </c>
      <c r="S706" s="147">
        <f>R706/$S$5</f>
        <v>74.14</v>
      </c>
      <c r="T706" s="148">
        <f>S706*$T$5*$T$10</f>
        <v>16236.659999999998</v>
      </c>
      <c r="U706" s="420"/>
      <c r="V706" s="407"/>
      <c r="W706" s="236"/>
      <c r="X706" s="236"/>
      <c r="Y706" s="408"/>
      <c r="Z706" s="409"/>
      <c r="AA706" s="409"/>
      <c r="AB706" s="410"/>
      <c r="AC706" s="155"/>
      <c r="AD706" s="156"/>
      <c r="AE706" s="156"/>
      <c r="AF706" s="156"/>
      <c r="AG706" s="156"/>
      <c r="AH706" s="156"/>
      <c r="AI706" s="156"/>
      <c r="AJ706" s="156"/>
      <c r="AK706" s="156"/>
      <c r="AL706" s="156"/>
      <c r="AM706" s="157">
        <f t="shared" si="781"/>
        <v>0</v>
      </c>
      <c r="AN706" s="158">
        <f t="shared" si="782"/>
        <v>4000</v>
      </c>
      <c r="AO706" s="159">
        <v>0.2</v>
      </c>
      <c r="AP706" s="160">
        <f t="shared" si="783"/>
        <v>0</v>
      </c>
      <c r="AQ706" s="161">
        <f t="shared" si="784"/>
        <v>0</v>
      </c>
      <c r="AR706" s="162">
        <f t="shared" si="785"/>
        <v>0</v>
      </c>
      <c r="AS706" s="163"/>
      <c r="AT706" s="164"/>
      <c r="AU706" s="165"/>
      <c r="AV706" s="166"/>
      <c r="AW706" s="167"/>
      <c r="AX706" s="146">
        <f t="shared" si="786"/>
        <v>0</v>
      </c>
      <c r="AY706" s="168"/>
    </row>
    <row r="707" spans="1:51" s="139" customFormat="1" ht="11.25" hidden="1" x14ac:dyDescent="0.25">
      <c r="A707" s="1"/>
      <c r="B707" s="140"/>
      <c r="C707" s="239"/>
      <c r="D707" s="235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7"/>
      <c r="Q707" s="223"/>
      <c r="R707" s="167"/>
      <c r="S707" s="147"/>
      <c r="T707" s="146"/>
      <c r="U707" s="420" t="s">
        <v>649</v>
      </c>
      <c r="V707" s="407">
        <v>18</v>
      </c>
      <c r="W707" s="236">
        <f>(252*0.25)*365</f>
        <v>22995</v>
      </c>
      <c r="X707" s="236"/>
      <c r="Y707" s="408"/>
      <c r="Z707" s="409"/>
      <c r="AA707" s="409"/>
      <c r="AB707" s="410"/>
      <c r="AC707" s="411">
        <f>W707*$AC$5</f>
        <v>13337.099999999999</v>
      </c>
      <c r="AD707" s="412">
        <f>W707*$AD$5</f>
        <v>2989.35</v>
      </c>
      <c r="AE707" s="412">
        <f>W707*$AE$5</f>
        <v>2017.81125</v>
      </c>
      <c r="AF707" s="412">
        <f>W707*$AF$5</f>
        <v>919.80000000000007</v>
      </c>
      <c r="AG707" s="412">
        <f>W707*$AG$5</f>
        <v>459.90000000000003</v>
      </c>
      <c r="AH707" s="412">
        <f>W707*$AH$5</f>
        <v>459.90000000000003</v>
      </c>
      <c r="AI707" s="412">
        <f>W707*$AI$5</f>
        <v>229.95000000000002</v>
      </c>
      <c r="AJ707" s="412">
        <f>W707*$AJ$5</f>
        <v>459.90000000000003</v>
      </c>
      <c r="AK707" s="412">
        <f>W707*$AK$5</f>
        <v>459.90000000000003</v>
      </c>
      <c r="AL707" s="412">
        <f>W707*$AL$5</f>
        <v>1609.65</v>
      </c>
      <c r="AM707" s="413">
        <f>SUM(AD707:AI707)</f>
        <v>7076.7112499999994</v>
      </c>
      <c r="AN707" s="158">
        <f t="shared" si="782"/>
        <v>4000</v>
      </c>
      <c r="AO707" s="159">
        <v>0.2</v>
      </c>
      <c r="AP707" s="160">
        <f t="shared" si="783"/>
        <v>118515098.64599998</v>
      </c>
      <c r="AQ707" s="161">
        <f t="shared" si="784"/>
        <v>32920.863368668855</v>
      </c>
      <c r="AR707" s="162">
        <f t="shared" si="785"/>
        <v>6584.1726737337713</v>
      </c>
      <c r="AS707" s="163"/>
      <c r="AT707" s="233"/>
      <c r="AU707" s="187"/>
      <c r="AV707" s="414">
        <f>AR707/$AV$5</f>
        <v>0.93952235641178239</v>
      </c>
      <c r="AW707" s="415"/>
      <c r="AX707" s="146">
        <f t="shared" si="786"/>
        <v>0.93952235641178239</v>
      </c>
      <c r="AY707" s="168"/>
    </row>
    <row r="708" spans="1:51" s="139" customFormat="1" ht="11.25" hidden="1" x14ac:dyDescent="0.25">
      <c r="A708" s="1"/>
      <c r="B708" s="140">
        <v>32</v>
      </c>
      <c r="C708" s="239" t="s">
        <v>119</v>
      </c>
      <c r="D708" s="235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>
        <v>191554</v>
      </c>
      <c r="O708" s="236"/>
      <c r="P708" s="237"/>
      <c r="Q708" s="223">
        <f t="shared" si="777"/>
        <v>191554</v>
      </c>
      <c r="R708" s="147">
        <f>Q708*$R$10</f>
        <v>21070.94</v>
      </c>
      <c r="S708" s="147">
        <f>R708/$S$5</f>
        <v>57.728602739726021</v>
      </c>
      <c r="T708" s="148">
        <f>S708*$T$5*$T$10</f>
        <v>12642.563999999998</v>
      </c>
      <c r="U708" s="420"/>
      <c r="V708" s="407"/>
      <c r="W708" s="236"/>
      <c r="X708" s="236"/>
      <c r="Y708" s="408"/>
      <c r="Z708" s="409"/>
      <c r="AA708" s="409"/>
      <c r="AB708" s="410"/>
      <c r="AC708" s="155"/>
      <c r="AD708" s="156"/>
      <c r="AE708" s="156"/>
      <c r="AF708" s="156"/>
      <c r="AG708" s="156"/>
      <c r="AH708" s="156"/>
      <c r="AI708" s="156"/>
      <c r="AJ708" s="156"/>
      <c r="AK708" s="156"/>
      <c r="AL708" s="156"/>
      <c r="AM708" s="157">
        <f t="shared" si="781"/>
        <v>0</v>
      </c>
      <c r="AN708" s="158">
        <f t="shared" si="782"/>
        <v>4000</v>
      </c>
      <c r="AO708" s="159">
        <v>0.2</v>
      </c>
      <c r="AP708" s="160">
        <f t="shared" si="783"/>
        <v>0</v>
      </c>
      <c r="AQ708" s="161">
        <f t="shared" si="784"/>
        <v>0</v>
      </c>
      <c r="AR708" s="162">
        <f t="shared" si="785"/>
        <v>0</v>
      </c>
      <c r="AS708" s="163"/>
      <c r="AT708" s="164"/>
      <c r="AU708" s="165"/>
      <c r="AV708" s="166"/>
      <c r="AW708" s="167"/>
      <c r="AX708" s="146">
        <f t="shared" si="786"/>
        <v>0</v>
      </c>
      <c r="AY708" s="168"/>
    </row>
    <row r="709" spans="1:51" s="139" customFormat="1" ht="11.25" hidden="1" x14ac:dyDescent="0.25">
      <c r="A709" s="1"/>
      <c r="B709" s="140"/>
      <c r="C709" s="239"/>
      <c r="D709" s="235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7"/>
      <c r="Q709" s="223"/>
      <c r="R709" s="147"/>
      <c r="S709" s="147"/>
      <c r="T709" s="148"/>
      <c r="U709" s="420" t="s">
        <v>650</v>
      </c>
      <c r="V709" s="407"/>
      <c r="W709" s="236">
        <f>(125*0.25)*365</f>
        <v>11406.25</v>
      </c>
      <c r="X709" s="236"/>
      <c r="Y709" s="408"/>
      <c r="Z709" s="409"/>
      <c r="AA709" s="409"/>
      <c r="AB709" s="410"/>
      <c r="AC709" s="411">
        <f>W709*52%</f>
        <v>5931.25</v>
      </c>
      <c r="AD709" s="412">
        <f>W709*25%</f>
        <v>2851.5625</v>
      </c>
      <c r="AE709" s="412">
        <f>W709*9%</f>
        <v>1026.5625</v>
      </c>
      <c r="AF709" s="412">
        <f>W709*5%</f>
        <v>570.3125</v>
      </c>
      <c r="AG709" s="412">
        <f>W709*3%</f>
        <v>342.1875</v>
      </c>
      <c r="AH709" s="412">
        <f>W709*1%</f>
        <v>114.0625</v>
      </c>
      <c r="AI709" s="412">
        <f>W709*2%</f>
        <v>228.125</v>
      </c>
      <c r="AJ709" s="412">
        <f>W709*1%</f>
        <v>114.0625</v>
      </c>
      <c r="AK709" s="412">
        <f>W709*4%</f>
        <v>456.25</v>
      </c>
      <c r="AL709" s="412">
        <f>W709*1%</f>
        <v>114.0625</v>
      </c>
      <c r="AM709" s="413">
        <f>SUM(AD709:AI709)</f>
        <v>5132.8125</v>
      </c>
      <c r="AN709" s="158">
        <f t="shared" si="782"/>
        <v>4000</v>
      </c>
      <c r="AO709" s="159">
        <v>0.2</v>
      </c>
      <c r="AP709" s="160">
        <f t="shared" si="783"/>
        <v>85960237.5</v>
      </c>
      <c r="AQ709" s="161">
        <f t="shared" si="784"/>
        <v>23877.8456602275</v>
      </c>
      <c r="AR709" s="162">
        <f t="shared" si="785"/>
        <v>4775.5691320454998</v>
      </c>
      <c r="AS709" s="163"/>
      <c r="AT709" s="233"/>
      <c r="AU709" s="187"/>
      <c r="AV709" s="414">
        <f>AR709/$AV$5</f>
        <v>0.68144536701562497</v>
      </c>
      <c r="AW709" s="415"/>
      <c r="AX709" s="146">
        <f>SUM(AU709:AV709)</f>
        <v>0.68144536701562497</v>
      </c>
      <c r="AY709" s="168"/>
    </row>
    <row r="710" spans="1:51" s="139" customFormat="1" ht="11.25" hidden="1" x14ac:dyDescent="0.25">
      <c r="A710" s="1"/>
      <c r="B710" s="140">
        <v>33</v>
      </c>
      <c r="C710" s="239" t="s">
        <v>120</v>
      </c>
      <c r="D710" s="235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>
        <v>125566</v>
      </c>
      <c r="O710" s="236"/>
      <c r="P710" s="237"/>
      <c r="Q710" s="223">
        <f t="shared" si="777"/>
        <v>125566</v>
      </c>
      <c r="R710" s="147">
        <f>Q710*$R$10</f>
        <v>13812.26</v>
      </c>
      <c r="S710" s="147">
        <f>R710/$S$5</f>
        <v>37.841808219178084</v>
      </c>
      <c r="T710" s="148">
        <f>S710*$T$5*$T$10</f>
        <v>8287.3559999999998</v>
      </c>
      <c r="U710" s="420"/>
      <c r="V710" s="407"/>
      <c r="W710" s="236"/>
      <c r="X710" s="236"/>
      <c r="Y710" s="408"/>
      <c r="Z710" s="409"/>
      <c r="AA710" s="409"/>
      <c r="AB710" s="410"/>
      <c r="AC710" s="155"/>
      <c r="AD710" s="156"/>
      <c r="AE710" s="156"/>
      <c r="AF710" s="156"/>
      <c r="AG710" s="156"/>
      <c r="AH710" s="156"/>
      <c r="AI710" s="156"/>
      <c r="AJ710" s="156"/>
      <c r="AK710" s="156"/>
      <c r="AL710" s="156"/>
      <c r="AM710" s="157">
        <f t="shared" si="781"/>
        <v>0</v>
      </c>
      <c r="AN710" s="158">
        <f t="shared" si="782"/>
        <v>4000</v>
      </c>
      <c r="AO710" s="159">
        <v>0.2</v>
      </c>
      <c r="AP710" s="160">
        <f t="shared" si="783"/>
        <v>0</v>
      </c>
      <c r="AQ710" s="161">
        <f t="shared" si="784"/>
        <v>0</v>
      </c>
      <c r="AR710" s="162">
        <f t="shared" si="785"/>
        <v>0</v>
      </c>
      <c r="AS710" s="163"/>
      <c r="AT710" s="164"/>
      <c r="AU710" s="165"/>
      <c r="AV710" s="166"/>
      <c r="AW710" s="167"/>
      <c r="AX710" s="146">
        <f t="shared" si="786"/>
        <v>0</v>
      </c>
      <c r="AY710" s="168"/>
    </row>
    <row r="711" spans="1:51" s="190" customFormat="1" ht="16.7" hidden="1" customHeight="1" x14ac:dyDescent="0.25">
      <c r="A711" s="173"/>
      <c r="B711" s="120"/>
      <c r="C711" s="121" t="s">
        <v>121</v>
      </c>
      <c r="D711" s="240">
        <f t="shared" ref="D711:U711" si="789">SUM(D669:D710)</f>
        <v>0</v>
      </c>
      <c r="E711" s="240">
        <f t="shared" si="789"/>
        <v>0</v>
      </c>
      <c r="F711" s="240">
        <f t="shared" si="789"/>
        <v>0</v>
      </c>
      <c r="G711" s="240">
        <f t="shared" si="789"/>
        <v>0</v>
      </c>
      <c r="H711" s="240">
        <f t="shared" si="789"/>
        <v>0</v>
      </c>
      <c r="I711" s="240">
        <f t="shared" si="789"/>
        <v>0</v>
      </c>
      <c r="J711" s="240">
        <f t="shared" si="789"/>
        <v>0</v>
      </c>
      <c r="K711" s="240">
        <f t="shared" si="789"/>
        <v>0</v>
      </c>
      <c r="L711" s="240">
        <f t="shared" si="789"/>
        <v>0</v>
      </c>
      <c r="M711" s="240">
        <f t="shared" si="789"/>
        <v>0</v>
      </c>
      <c r="N711" s="240">
        <f t="shared" si="789"/>
        <v>12884194</v>
      </c>
      <c r="O711" s="240">
        <f t="shared" si="789"/>
        <v>0</v>
      </c>
      <c r="P711" s="240">
        <f t="shared" si="789"/>
        <v>0</v>
      </c>
      <c r="Q711" s="240">
        <f t="shared" si="789"/>
        <v>12884194</v>
      </c>
      <c r="R711" s="240">
        <f t="shared" si="789"/>
        <v>2006021.4460000002</v>
      </c>
      <c r="S711" s="240">
        <f t="shared" si="789"/>
        <v>5495.9491671232881</v>
      </c>
      <c r="T711" s="240">
        <f t="shared" si="789"/>
        <v>1525254.9889999998</v>
      </c>
      <c r="U711" s="424">
        <f t="shared" si="789"/>
        <v>0</v>
      </c>
      <c r="V711" s="425"/>
      <c r="W711" s="240">
        <f>SUM(W669:W710)</f>
        <v>664172.25</v>
      </c>
      <c r="X711" s="240">
        <f>SUM(X669:X710)</f>
        <v>0</v>
      </c>
      <c r="Y711" s="240">
        <f>SUM(Y669:Y710)</f>
        <v>0</v>
      </c>
      <c r="Z711" s="424"/>
      <c r="AA711" s="424"/>
      <c r="AB711" s="426"/>
      <c r="AC711" s="240">
        <f t="shared" ref="AC711:AM711" si="790">SUM(AC669:AC710)</f>
        <v>382914.92999999993</v>
      </c>
      <c r="AD711" s="244">
        <f t="shared" si="790"/>
        <v>90952.342499999999</v>
      </c>
      <c r="AE711" s="244">
        <f t="shared" si="790"/>
        <v>58367.551499999987</v>
      </c>
      <c r="AF711" s="244">
        <f t="shared" si="790"/>
        <v>26951.052499999998</v>
      </c>
      <c r="AG711" s="244">
        <f t="shared" si="790"/>
        <v>13667.6075</v>
      </c>
      <c r="AH711" s="244">
        <f t="shared" si="790"/>
        <v>12899.282499999999</v>
      </c>
      <c r="AI711" s="244">
        <f t="shared" si="790"/>
        <v>7025.8849999999993</v>
      </c>
      <c r="AJ711" s="244">
        <f t="shared" si="790"/>
        <v>12899.282499999999</v>
      </c>
      <c r="AK711" s="244">
        <f t="shared" si="790"/>
        <v>14051.769999999999</v>
      </c>
      <c r="AL711" s="244">
        <f t="shared" si="790"/>
        <v>44187.082500000004</v>
      </c>
      <c r="AM711" s="245">
        <f t="shared" si="790"/>
        <v>209863.72149999999</v>
      </c>
      <c r="AN711" s="261"/>
      <c r="AO711" s="262"/>
      <c r="AP711" s="184">
        <f>SUM(AP669:AP710)</f>
        <v>3514629716.7047997</v>
      </c>
      <c r="AQ711" s="184">
        <f>SUM(AQ669:AQ710)</f>
        <v>976286.11052088242</v>
      </c>
      <c r="AR711" s="184">
        <f>SUM(AR669:AR710)</f>
        <v>195257.2221041765</v>
      </c>
      <c r="AS711" s="185"/>
      <c r="AT711" s="186"/>
      <c r="AU711" s="246">
        <f>SUM(AU669:AU710)</f>
        <v>3.5</v>
      </c>
      <c r="AV711" s="246">
        <f>SUM(AV669:AV710)</f>
        <v>27.862046533130211</v>
      </c>
      <c r="AW711" s="246">
        <f>SUM(AW669:AW710)</f>
        <v>19.0887081937632</v>
      </c>
      <c r="AX711" s="185">
        <f>SUM(AX669:AX710)</f>
        <v>31.362046533130211</v>
      </c>
      <c r="AY711" s="189"/>
    </row>
    <row r="712" spans="1:51" s="139" customFormat="1" ht="10.9" hidden="1" customHeight="1" x14ac:dyDescent="0.25">
      <c r="B712" s="247"/>
      <c r="C712" s="152"/>
      <c r="D712" s="247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248"/>
      <c r="Q712" s="249"/>
      <c r="R712" s="250"/>
      <c r="S712" s="250"/>
      <c r="T712" s="251"/>
      <c r="U712" s="199"/>
      <c r="V712" s="179"/>
      <c r="W712" s="249"/>
      <c r="X712" s="249"/>
      <c r="Y712" s="152"/>
      <c r="Z712" s="153"/>
      <c r="AA712" s="153"/>
      <c r="AB712" s="154"/>
      <c r="AC712" s="247"/>
      <c r="AD712" s="252"/>
      <c r="AE712" s="252"/>
      <c r="AF712" s="252"/>
      <c r="AG712" s="252"/>
      <c r="AH712" s="252"/>
      <c r="AI712" s="252"/>
      <c r="AJ712" s="252"/>
      <c r="AK712" s="252"/>
      <c r="AL712" s="252"/>
      <c r="AM712" s="214"/>
      <c r="AN712" s="203"/>
      <c r="AO712" s="204"/>
      <c r="AP712" s="203"/>
      <c r="AQ712" s="205"/>
      <c r="AR712" s="206"/>
      <c r="AS712" s="253"/>
      <c r="AT712" s="254"/>
      <c r="AU712" s="255"/>
      <c r="AV712" s="256"/>
      <c r="AW712" s="257"/>
      <c r="AX712" s="214"/>
      <c r="AY712" s="212"/>
    </row>
    <row r="713" spans="1:51" s="139" customFormat="1" ht="15" hidden="1" customHeight="1" x14ac:dyDescent="0.25">
      <c r="A713" s="1"/>
      <c r="B713" s="120"/>
      <c r="C713" s="258" t="s">
        <v>122</v>
      </c>
      <c r="D713" s="122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213"/>
      <c r="Q713" s="76"/>
      <c r="R713" s="108"/>
      <c r="S713" s="108"/>
      <c r="T713" s="94"/>
      <c r="U713" s="120"/>
      <c r="V713" s="67"/>
      <c r="W713" s="123"/>
      <c r="X713" s="123"/>
      <c r="Y713" s="125"/>
      <c r="Z713" s="126"/>
      <c r="AA713" s="126"/>
      <c r="AB713" s="127"/>
      <c r="AC713" s="62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125"/>
      <c r="AN713" s="75"/>
      <c r="AO713" s="216"/>
      <c r="AP713" s="75"/>
      <c r="AQ713" s="51"/>
      <c r="AR713" s="259"/>
      <c r="AS713" s="218"/>
      <c r="AT713" s="219"/>
      <c r="AU713" s="220"/>
      <c r="AV713" s="135"/>
      <c r="AW713" s="136"/>
      <c r="AX713" s="137"/>
      <c r="AY713" s="138"/>
    </row>
    <row r="714" spans="1:51" ht="10.9" hidden="1" customHeight="1" x14ac:dyDescent="0.25">
      <c r="B714" s="140">
        <v>1</v>
      </c>
      <c r="C714" s="221" t="s">
        <v>123</v>
      </c>
      <c r="D714" s="235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>
        <v>76173</v>
      </c>
      <c r="O714" s="236"/>
      <c r="P714" s="237"/>
      <c r="Q714" s="223">
        <f t="shared" ref="Q714:Q734" si="791">MAX(D714:P714)</f>
        <v>76173</v>
      </c>
      <c r="R714" s="147">
        <f t="shared" ref="R714:R725" si="792">Q714*$R$10</f>
        <v>8379.0300000000007</v>
      </c>
      <c r="S714" s="147">
        <f t="shared" ref="S714:S726" si="793">R714/$S$5</f>
        <v>22.956246575342469</v>
      </c>
      <c r="T714" s="148">
        <f t="shared" ref="T714:T725" si="794">S714*$T$5*$T$10</f>
        <v>5027.4180000000006</v>
      </c>
      <c r="U714" s="420"/>
      <c r="V714" s="407"/>
      <c r="W714" s="222"/>
      <c r="X714" s="222"/>
      <c r="Y714" s="408"/>
      <c r="Z714" s="409"/>
      <c r="AA714" s="409"/>
      <c r="AB714" s="410"/>
      <c r="AC714" s="155"/>
      <c r="AD714" s="156"/>
      <c r="AE714" s="156"/>
      <c r="AF714" s="156"/>
      <c r="AG714" s="156"/>
      <c r="AH714" s="156"/>
      <c r="AI714" s="156"/>
      <c r="AJ714" s="156"/>
      <c r="AK714" s="156"/>
      <c r="AL714" s="156"/>
      <c r="AM714" s="157">
        <f t="shared" ref="AM714:AM734" si="795">SUM(AD714:AI714)</f>
        <v>0</v>
      </c>
      <c r="AN714" s="158">
        <f t="shared" ref="AN714:AN735" si="796">$AN$641</f>
        <v>4000</v>
      </c>
      <c r="AO714" s="159">
        <v>0.2</v>
      </c>
      <c r="AP714" s="160">
        <f t="shared" ref="AP714:AP735" si="797">AM714*AN714*$AP$5</f>
        <v>0</v>
      </c>
      <c r="AQ714" s="161">
        <f t="shared" ref="AQ714:AQ735" si="798">AP714*$AQ$5</f>
        <v>0</v>
      </c>
      <c r="AR714" s="162">
        <f t="shared" ref="AR714:AR735" si="799">AQ714*$AR$5</f>
        <v>0</v>
      </c>
      <c r="AS714" s="163"/>
      <c r="AT714" s="164"/>
      <c r="AU714" s="165"/>
      <c r="AV714" s="166"/>
      <c r="AW714" s="167"/>
      <c r="AX714" s="146">
        <f>SUM(AU714:AV714)</f>
        <v>0</v>
      </c>
      <c r="AY714" s="168"/>
    </row>
    <row r="715" spans="1:51" ht="10.9" hidden="1" customHeight="1" x14ac:dyDescent="0.25">
      <c r="B715" s="140">
        <v>2</v>
      </c>
      <c r="C715" s="221" t="s">
        <v>124</v>
      </c>
      <c r="D715" s="235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>
        <v>429246</v>
      </c>
      <c r="O715" s="236"/>
      <c r="P715" s="237"/>
      <c r="Q715" s="223">
        <f t="shared" si="791"/>
        <v>429246</v>
      </c>
      <c r="R715" s="147">
        <f t="shared" si="792"/>
        <v>47217.06</v>
      </c>
      <c r="S715" s="147">
        <f t="shared" si="793"/>
        <v>129.36180821917807</v>
      </c>
      <c r="T715" s="148">
        <f t="shared" si="794"/>
        <v>28330.235999999997</v>
      </c>
      <c r="U715" s="420"/>
      <c r="V715" s="407"/>
      <c r="W715" s="222"/>
      <c r="X715" s="222"/>
      <c r="Y715" s="408"/>
      <c r="Z715" s="409"/>
      <c r="AA715" s="409"/>
      <c r="AB715" s="410"/>
      <c r="AC715" s="155"/>
      <c r="AD715" s="156"/>
      <c r="AE715" s="156"/>
      <c r="AF715" s="156"/>
      <c r="AG715" s="156"/>
      <c r="AH715" s="156"/>
      <c r="AI715" s="156"/>
      <c r="AJ715" s="156"/>
      <c r="AK715" s="156"/>
      <c r="AL715" s="156"/>
      <c r="AM715" s="157">
        <f t="shared" si="795"/>
        <v>0</v>
      </c>
      <c r="AN715" s="158">
        <f t="shared" si="796"/>
        <v>4000</v>
      </c>
      <c r="AO715" s="159">
        <v>0.2</v>
      </c>
      <c r="AP715" s="160">
        <f t="shared" si="797"/>
        <v>0</v>
      </c>
      <c r="AQ715" s="161">
        <f t="shared" si="798"/>
        <v>0</v>
      </c>
      <c r="AR715" s="162">
        <f t="shared" si="799"/>
        <v>0</v>
      </c>
      <c r="AS715" s="163"/>
      <c r="AT715" s="164"/>
      <c r="AU715" s="165"/>
      <c r="AV715" s="166"/>
      <c r="AW715" s="167"/>
      <c r="AX715" s="146">
        <f t="shared" ref="AX715:AX734" si="800">SUM(AU715:AV715)</f>
        <v>0</v>
      </c>
      <c r="AY715" s="168"/>
    </row>
    <row r="716" spans="1:51" ht="10.9" hidden="1" customHeight="1" x14ac:dyDescent="0.25">
      <c r="B716" s="140">
        <v>3</v>
      </c>
      <c r="C716" s="221" t="s">
        <v>125</v>
      </c>
      <c r="D716" s="235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>
        <v>348566</v>
      </c>
      <c r="O716" s="236"/>
      <c r="P716" s="237"/>
      <c r="Q716" s="223">
        <f t="shared" si="791"/>
        <v>348566</v>
      </c>
      <c r="R716" s="147">
        <f t="shared" si="792"/>
        <v>38342.26</v>
      </c>
      <c r="S716" s="147">
        <f t="shared" si="793"/>
        <v>105.04728767123288</v>
      </c>
      <c r="T716" s="148">
        <f t="shared" si="794"/>
        <v>23005.356</v>
      </c>
      <c r="U716" s="420"/>
      <c r="V716" s="407"/>
      <c r="W716" s="222"/>
      <c r="X716" s="222"/>
      <c r="Y716" s="408"/>
      <c r="Z716" s="409"/>
      <c r="AA716" s="409"/>
      <c r="AB716" s="410"/>
      <c r="AC716" s="155"/>
      <c r="AD716" s="156"/>
      <c r="AE716" s="156"/>
      <c r="AF716" s="156"/>
      <c r="AG716" s="156"/>
      <c r="AH716" s="156"/>
      <c r="AI716" s="156"/>
      <c r="AJ716" s="156"/>
      <c r="AK716" s="156"/>
      <c r="AL716" s="156"/>
      <c r="AM716" s="157">
        <f t="shared" si="795"/>
        <v>0</v>
      </c>
      <c r="AN716" s="158">
        <f t="shared" si="796"/>
        <v>4000</v>
      </c>
      <c r="AO716" s="159">
        <v>0.2</v>
      </c>
      <c r="AP716" s="160">
        <f t="shared" si="797"/>
        <v>0</v>
      </c>
      <c r="AQ716" s="161">
        <f t="shared" si="798"/>
        <v>0</v>
      </c>
      <c r="AR716" s="162">
        <f t="shared" si="799"/>
        <v>0</v>
      </c>
      <c r="AS716" s="163"/>
      <c r="AT716" s="164"/>
      <c r="AU716" s="165"/>
      <c r="AV716" s="166"/>
      <c r="AW716" s="167"/>
      <c r="AX716" s="146">
        <f t="shared" si="800"/>
        <v>0</v>
      </c>
      <c r="AY716" s="168"/>
    </row>
    <row r="717" spans="1:51" ht="10.9" hidden="1" customHeight="1" x14ac:dyDescent="0.25">
      <c r="B717" s="140">
        <v>4</v>
      </c>
      <c r="C717" s="221" t="s">
        <v>126</v>
      </c>
      <c r="D717" s="235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>
        <v>201823</v>
      </c>
      <c r="O717" s="236"/>
      <c r="P717" s="237"/>
      <c r="Q717" s="223">
        <f t="shared" si="791"/>
        <v>201823</v>
      </c>
      <c r="R717" s="147">
        <f t="shared" si="792"/>
        <v>22200.53</v>
      </c>
      <c r="S717" s="147">
        <f t="shared" si="793"/>
        <v>60.823369863013696</v>
      </c>
      <c r="T717" s="148">
        <f t="shared" si="794"/>
        <v>13320.317999999999</v>
      </c>
      <c r="U717" s="420"/>
      <c r="V717" s="407"/>
      <c r="W717" s="222"/>
      <c r="X717" s="222"/>
      <c r="Y717" s="408"/>
      <c r="Z717" s="409"/>
      <c r="AA717" s="409"/>
      <c r="AB717" s="410"/>
      <c r="AC717" s="155"/>
      <c r="AD717" s="156"/>
      <c r="AE717" s="156"/>
      <c r="AF717" s="156"/>
      <c r="AG717" s="156"/>
      <c r="AH717" s="156"/>
      <c r="AI717" s="156"/>
      <c r="AJ717" s="156"/>
      <c r="AK717" s="156"/>
      <c r="AL717" s="156"/>
      <c r="AM717" s="157">
        <f t="shared" si="795"/>
        <v>0</v>
      </c>
      <c r="AN717" s="158">
        <f t="shared" si="796"/>
        <v>4000</v>
      </c>
      <c r="AO717" s="159">
        <v>0.2</v>
      </c>
      <c r="AP717" s="160">
        <f t="shared" si="797"/>
        <v>0</v>
      </c>
      <c r="AQ717" s="161">
        <f t="shared" si="798"/>
        <v>0</v>
      </c>
      <c r="AR717" s="162">
        <f t="shared" si="799"/>
        <v>0</v>
      </c>
      <c r="AS717" s="163"/>
      <c r="AT717" s="164"/>
      <c r="AU717" s="165"/>
      <c r="AV717" s="166"/>
      <c r="AW717" s="167"/>
      <c r="AX717" s="146">
        <f t="shared" si="800"/>
        <v>0</v>
      </c>
      <c r="AY717" s="168"/>
    </row>
    <row r="718" spans="1:51" ht="10.9" hidden="1" customHeight="1" x14ac:dyDescent="0.25">
      <c r="B718" s="140">
        <v>5</v>
      </c>
      <c r="C718" s="221" t="s">
        <v>127</v>
      </c>
      <c r="D718" s="235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>
        <v>338494</v>
      </c>
      <c r="O718" s="236"/>
      <c r="P718" s="237"/>
      <c r="Q718" s="223">
        <f t="shared" si="791"/>
        <v>338494</v>
      </c>
      <c r="R718" s="147">
        <f t="shared" si="792"/>
        <v>37234.340000000004</v>
      </c>
      <c r="S718" s="147">
        <f t="shared" si="793"/>
        <v>102.01189041095891</v>
      </c>
      <c r="T718" s="148">
        <f t="shared" si="794"/>
        <v>22340.604000000003</v>
      </c>
      <c r="U718" s="420"/>
      <c r="V718" s="407"/>
      <c r="W718" s="222"/>
      <c r="X718" s="222"/>
      <c r="Y718" s="408"/>
      <c r="Z718" s="409"/>
      <c r="AA718" s="409"/>
      <c r="AB718" s="410"/>
      <c r="AC718" s="155"/>
      <c r="AD718" s="156"/>
      <c r="AE718" s="156"/>
      <c r="AF718" s="156"/>
      <c r="AG718" s="156"/>
      <c r="AH718" s="156"/>
      <c r="AI718" s="156"/>
      <c r="AJ718" s="156"/>
      <c r="AK718" s="156"/>
      <c r="AL718" s="156"/>
      <c r="AM718" s="157">
        <f t="shared" si="795"/>
        <v>0</v>
      </c>
      <c r="AN718" s="158">
        <f t="shared" si="796"/>
        <v>4000</v>
      </c>
      <c r="AO718" s="159">
        <v>0.2</v>
      </c>
      <c r="AP718" s="160">
        <f t="shared" si="797"/>
        <v>0</v>
      </c>
      <c r="AQ718" s="161">
        <f t="shared" si="798"/>
        <v>0</v>
      </c>
      <c r="AR718" s="162">
        <f t="shared" si="799"/>
        <v>0</v>
      </c>
      <c r="AS718" s="163"/>
      <c r="AT718" s="164"/>
      <c r="AU718" s="165"/>
      <c r="AV718" s="166"/>
      <c r="AW718" s="167"/>
      <c r="AX718" s="146">
        <f t="shared" si="800"/>
        <v>0</v>
      </c>
      <c r="AY718" s="168"/>
    </row>
    <row r="719" spans="1:51" ht="10.9" hidden="1" customHeight="1" x14ac:dyDescent="0.25">
      <c r="B719" s="140">
        <v>6</v>
      </c>
      <c r="C719" s="221" t="s">
        <v>128</v>
      </c>
      <c r="D719" s="235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>
        <v>391056</v>
      </c>
      <c r="O719" s="236"/>
      <c r="P719" s="237"/>
      <c r="Q719" s="223">
        <f t="shared" si="791"/>
        <v>391056</v>
      </c>
      <c r="R719" s="147">
        <f t="shared" si="792"/>
        <v>43016.160000000003</v>
      </c>
      <c r="S719" s="147">
        <f t="shared" si="793"/>
        <v>117.85249315068494</v>
      </c>
      <c r="T719" s="148">
        <f t="shared" si="794"/>
        <v>25809.696</v>
      </c>
      <c r="U719" s="420"/>
      <c r="V719" s="407"/>
      <c r="W719" s="222"/>
      <c r="X719" s="222"/>
      <c r="Y719" s="408"/>
      <c r="Z719" s="409"/>
      <c r="AA719" s="409"/>
      <c r="AB719" s="410"/>
      <c r="AC719" s="155"/>
      <c r="AD719" s="156"/>
      <c r="AE719" s="156"/>
      <c r="AF719" s="156"/>
      <c r="AG719" s="156"/>
      <c r="AH719" s="156"/>
      <c r="AI719" s="156"/>
      <c r="AJ719" s="156"/>
      <c r="AK719" s="156"/>
      <c r="AL719" s="156"/>
      <c r="AM719" s="157">
        <f t="shared" si="795"/>
        <v>0</v>
      </c>
      <c r="AN719" s="158">
        <f t="shared" si="796"/>
        <v>4000</v>
      </c>
      <c r="AO719" s="159">
        <v>0.2</v>
      </c>
      <c r="AP719" s="160">
        <f t="shared" si="797"/>
        <v>0</v>
      </c>
      <c r="AQ719" s="161">
        <f t="shared" si="798"/>
        <v>0</v>
      </c>
      <c r="AR719" s="162">
        <f t="shared" si="799"/>
        <v>0</v>
      </c>
      <c r="AS719" s="163"/>
      <c r="AT719" s="164"/>
      <c r="AU719" s="165"/>
      <c r="AV719" s="166"/>
      <c r="AW719" s="167"/>
      <c r="AX719" s="146">
        <f t="shared" si="800"/>
        <v>0</v>
      </c>
      <c r="AY719" s="168"/>
    </row>
    <row r="720" spans="1:51" ht="10.9" hidden="1" customHeight="1" x14ac:dyDescent="0.25">
      <c r="B720" s="140">
        <v>7</v>
      </c>
      <c r="C720" s="221" t="s">
        <v>129</v>
      </c>
      <c r="D720" s="235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>
        <v>454853</v>
      </c>
      <c r="O720" s="236"/>
      <c r="P720" s="237"/>
      <c r="Q720" s="223">
        <f t="shared" si="791"/>
        <v>454853</v>
      </c>
      <c r="R720" s="147">
        <f t="shared" si="792"/>
        <v>50033.83</v>
      </c>
      <c r="S720" s="147">
        <f t="shared" si="793"/>
        <v>137.07898630136987</v>
      </c>
      <c r="T720" s="148">
        <f t="shared" si="794"/>
        <v>30020.297999999999</v>
      </c>
      <c r="U720" s="420"/>
      <c r="V720" s="407"/>
      <c r="W720" s="222"/>
      <c r="X720" s="222"/>
      <c r="Y720" s="408"/>
      <c r="Z720" s="409"/>
      <c r="AA720" s="409"/>
      <c r="AB720" s="410"/>
      <c r="AC720" s="155"/>
      <c r="AD720" s="156"/>
      <c r="AE720" s="156"/>
      <c r="AF720" s="156"/>
      <c r="AG720" s="156"/>
      <c r="AH720" s="156"/>
      <c r="AI720" s="156"/>
      <c r="AJ720" s="156"/>
      <c r="AK720" s="156"/>
      <c r="AL720" s="156"/>
      <c r="AM720" s="157">
        <f t="shared" si="795"/>
        <v>0</v>
      </c>
      <c r="AN720" s="158">
        <f t="shared" si="796"/>
        <v>4000</v>
      </c>
      <c r="AO720" s="159">
        <v>0.2</v>
      </c>
      <c r="AP720" s="160">
        <f t="shared" si="797"/>
        <v>0</v>
      </c>
      <c r="AQ720" s="161">
        <f t="shared" si="798"/>
        <v>0</v>
      </c>
      <c r="AR720" s="162">
        <f t="shared" si="799"/>
        <v>0</v>
      </c>
      <c r="AS720" s="163"/>
      <c r="AT720" s="164"/>
      <c r="AU720" s="165"/>
      <c r="AV720" s="166"/>
      <c r="AW720" s="167"/>
      <c r="AX720" s="146">
        <f t="shared" si="800"/>
        <v>0</v>
      </c>
      <c r="AY720" s="168"/>
    </row>
    <row r="721" spans="1:51" ht="10.9" hidden="1" customHeight="1" x14ac:dyDescent="0.25">
      <c r="B721" s="140">
        <v>8</v>
      </c>
      <c r="C721" s="221" t="s">
        <v>130</v>
      </c>
      <c r="D721" s="235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>
        <v>348555</v>
      </c>
      <c r="O721" s="236"/>
      <c r="P721" s="237"/>
      <c r="Q721" s="223">
        <f t="shared" si="791"/>
        <v>348555</v>
      </c>
      <c r="R721" s="147">
        <f t="shared" si="792"/>
        <v>38341.050000000003</v>
      </c>
      <c r="S721" s="147">
        <f t="shared" si="793"/>
        <v>105.04397260273973</v>
      </c>
      <c r="T721" s="148">
        <f t="shared" si="794"/>
        <v>23004.63</v>
      </c>
      <c r="U721" s="420"/>
      <c r="V721" s="407"/>
      <c r="W721" s="222"/>
      <c r="X721" s="222"/>
      <c r="Y721" s="408"/>
      <c r="Z721" s="409"/>
      <c r="AA721" s="409"/>
      <c r="AB721" s="410"/>
      <c r="AC721" s="155"/>
      <c r="AD721" s="156"/>
      <c r="AE721" s="156"/>
      <c r="AF721" s="156"/>
      <c r="AG721" s="156"/>
      <c r="AH721" s="156"/>
      <c r="AI721" s="156"/>
      <c r="AJ721" s="156"/>
      <c r="AK721" s="156"/>
      <c r="AL721" s="156"/>
      <c r="AM721" s="157">
        <f t="shared" si="795"/>
        <v>0</v>
      </c>
      <c r="AN721" s="158">
        <f t="shared" si="796"/>
        <v>4000</v>
      </c>
      <c r="AO721" s="159">
        <v>0.2</v>
      </c>
      <c r="AP721" s="160">
        <f t="shared" si="797"/>
        <v>0</v>
      </c>
      <c r="AQ721" s="161">
        <f t="shared" si="798"/>
        <v>0</v>
      </c>
      <c r="AR721" s="162">
        <f t="shared" si="799"/>
        <v>0</v>
      </c>
      <c r="AS721" s="163"/>
      <c r="AT721" s="164"/>
      <c r="AU721" s="165"/>
      <c r="AV721" s="166"/>
      <c r="AW721" s="167"/>
      <c r="AX721" s="146">
        <f t="shared" si="800"/>
        <v>0</v>
      </c>
      <c r="AY721" s="168"/>
    </row>
    <row r="722" spans="1:51" ht="10.9" hidden="1" customHeight="1" x14ac:dyDescent="0.25">
      <c r="B722" s="140">
        <v>9</v>
      </c>
      <c r="C722" s="221" t="s">
        <v>131</v>
      </c>
      <c r="D722" s="235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>
        <v>253299</v>
      </c>
      <c r="O722" s="236"/>
      <c r="P722" s="237"/>
      <c r="Q722" s="223">
        <f t="shared" si="791"/>
        <v>253299</v>
      </c>
      <c r="R722" s="147">
        <f t="shared" si="792"/>
        <v>27862.89</v>
      </c>
      <c r="S722" s="147">
        <f t="shared" si="793"/>
        <v>76.336684931506852</v>
      </c>
      <c r="T722" s="148">
        <f t="shared" si="794"/>
        <v>16717.734</v>
      </c>
      <c r="U722" s="420"/>
      <c r="V722" s="407"/>
      <c r="W722" s="222"/>
      <c r="X722" s="222"/>
      <c r="Y722" s="408"/>
      <c r="Z722" s="409"/>
      <c r="AA722" s="409"/>
      <c r="AB722" s="410"/>
      <c r="AC722" s="155"/>
      <c r="AD722" s="156"/>
      <c r="AE722" s="156"/>
      <c r="AF722" s="156"/>
      <c r="AG722" s="156"/>
      <c r="AH722" s="156"/>
      <c r="AI722" s="156"/>
      <c r="AJ722" s="156"/>
      <c r="AK722" s="156"/>
      <c r="AL722" s="156"/>
      <c r="AM722" s="157">
        <f t="shared" si="795"/>
        <v>0</v>
      </c>
      <c r="AN722" s="158">
        <f t="shared" si="796"/>
        <v>4000</v>
      </c>
      <c r="AO722" s="159">
        <v>0.2</v>
      </c>
      <c r="AP722" s="160">
        <f t="shared" si="797"/>
        <v>0</v>
      </c>
      <c r="AQ722" s="161">
        <f t="shared" si="798"/>
        <v>0</v>
      </c>
      <c r="AR722" s="162">
        <f t="shared" si="799"/>
        <v>0</v>
      </c>
      <c r="AS722" s="163"/>
      <c r="AT722" s="164"/>
      <c r="AU722" s="165"/>
      <c r="AV722" s="166"/>
      <c r="AW722" s="167"/>
      <c r="AX722" s="146">
        <f t="shared" si="800"/>
        <v>0</v>
      </c>
      <c r="AY722" s="168"/>
    </row>
    <row r="723" spans="1:51" ht="10.9" hidden="1" customHeight="1" x14ac:dyDescent="0.25">
      <c r="B723" s="140">
        <v>10</v>
      </c>
      <c r="C723" s="221" t="s">
        <v>132</v>
      </c>
      <c r="D723" s="235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>
        <v>144281</v>
      </c>
      <c r="O723" s="236"/>
      <c r="P723" s="237"/>
      <c r="Q723" s="223">
        <f t="shared" si="791"/>
        <v>144281</v>
      </c>
      <c r="R723" s="147">
        <f t="shared" si="792"/>
        <v>15870.91</v>
      </c>
      <c r="S723" s="147">
        <f t="shared" si="793"/>
        <v>43.481945205479448</v>
      </c>
      <c r="T723" s="148">
        <f t="shared" si="794"/>
        <v>9522.5459999999985</v>
      </c>
      <c r="U723" s="420"/>
      <c r="V723" s="407"/>
      <c r="W723" s="222"/>
      <c r="X723" s="222"/>
      <c r="Y723" s="408"/>
      <c r="Z723" s="409"/>
      <c r="AA723" s="409"/>
      <c r="AB723" s="410"/>
      <c r="AC723" s="155"/>
      <c r="AD723" s="156"/>
      <c r="AE723" s="156"/>
      <c r="AF723" s="156"/>
      <c r="AG723" s="156"/>
      <c r="AH723" s="156"/>
      <c r="AI723" s="156"/>
      <c r="AJ723" s="156"/>
      <c r="AK723" s="156"/>
      <c r="AL723" s="156"/>
      <c r="AM723" s="157">
        <f t="shared" si="795"/>
        <v>0</v>
      </c>
      <c r="AN723" s="158">
        <f t="shared" si="796"/>
        <v>4000</v>
      </c>
      <c r="AO723" s="159">
        <v>0.2</v>
      </c>
      <c r="AP723" s="160">
        <f t="shared" si="797"/>
        <v>0</v>
      </c>
      <c r="AQ723" s="161">
        <f t="shared" si="798"/>
        <v>0</v>
      </c>
      <c r="AR723" s="162">
        <f t="shared" si="799"/>
        <v>0</v>
      </c>
      <c r="AS723" s="163"/>
      <c r="AT723" s="164"/>
      <c r="AU723" s="165"/>
      <c r="AV723" s="166"/>
      <c r="AW723" s="167"/>
      <c r="AX723" s="146">
        <f t="shared" si="800"/>
        <v>0</v>
      </c>
      <c r="AY723" s="168"/>
    </row>
    <row r="724" spans="1:51" ht="10.9" hidden="1" customHeight="1" x14ac:dyDescent="0.25">
      <c r="B724" s="140">
        <v>11</v>
      </c>
      <c r="C724" s="221" t="s">
        <v>133</v>
      </c>
      <c r="D724" s="235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>
        <v>191422</v>
      </c>
      <c r="O724" s="236"/>
      <c r="P724" s="237"/>
      <c r="Q724" s="223">
        <f t="shared" si="791"/>
        <v>191422</v>
      </c>
      <c r="R724" s="147">
        <f t="shared" si="792"/>
        <v>21056.420000000002</v>
      </c>
      <c r="S724" s="147">
        <f t="shared" si="793"/>
        <v>57.688821917808227</v>
      </c>
      <c r="T724" s="148">
        <f t="shared" si="794"/>
        <v>12633.852000000001</v>
      </c>
      <c r="U724" s="420"/>
      <c r="V724" s="407"/>
      <c r="W724" s="222"/>
      <c r="X724" s="222"/>
      <c r="Y724" s="408"/>
      <c r="Z724" s="409"/>
      <c r="AA724" s="409"/>
      <c r="AB724" s="410"/>
      <c r="AC724" s="155"/>
      <c r="AD724" s="156"/>
      <c r="AE724" s="156"/>
      <c r="AF724" s="156"/>
      <c r="AG724" s="156"/>
      <c r="AH724" s="156"/>
      <c r="AI724" s="156"/>
      <c r="AJ724" s="156"/>
      <c r="AK724" s="156"/>
      <c r="AL724" s="156"/>
      <c r="AM724" s="157">
        <f t="shared" si="795"/>
        <v>0</v>
      </c>
      <c r="AN724" s="158">
        <f t="shared" si="796"/>
        <v>4000</v>
      </c>
      <c r="AO724" s="159">
        <v>0.2</v>
      </c>
      <c r="AP724" s="160">
        <f t="shared" si="797"/>
        <v>0</v>
      </c>
      <c r="AQ724" s="161">
        <f t="shared" si="798"/>
        <v>0</v>
      </c>
      <c r="AR724" s="162">
        <f t="shared" si="799"/>
        <v>0</v>
      </c>
      <c r="AS724" s="163"/>
      <c r="AT724" s="164"/>
      <c r="AU724" s="165"/>
      <c r="AV724" s="166"/>
      <c r="AW724" s="167"/>
      <c r="AX724" s="146">
        <f t="shared" si="800"/>
        <v>0</v>
      </c>
      <c r="AY724" s="168"/>
    </row>
    <row r="725" spans="1:51" ht="10.9" hidden="1" customHeight="1" x14ac:dyDescent="0.25">
      <c r="B725" s="140">
        <v>12</v>
      </c>
      <c r="C725" s="221" t="s">
        <v>134</v>
      </c>
      <c r="D725" s="235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>
        <v>365129</v>
      </c>
      <c r="O725" s="236"/>
      <c r="P725" s="237"/>
      <c r="Q725" s="223">
        <f t="shared" si="791"/>
        <v>365129</v>
      </c>
      <c r="R725" s="147">
        <f t="shared" si="792"/>
        <v>40164.19</v>
      </c>
      <c r="S725" s="147">
        <f t="shared" si="793"/>
        <v>110.03887671232877</v>
      </c>
      <c r="T725" s="148">
        <f t="shared" si="794"/>
        <v>24098.513999999999</v>
      </c>
      <c r="U725" s="420"/>
      <c r="V725" s="407"/>
      <c r="W725" s="222"/>
      <c r="X725" s="222"/>
      <c r="Y725" s="408"/>
      <c r="Z725" s="409"/>
      <c r="AA725" s="409"/>
      <c r="AB725" s="410"/>
      <c r="AC725" s="155"/>
      <c r="AD725" s="156"/>
      <c r="AE725" s="156"/>
      <c r="AF725" s="156"/>
      <c r="AG725" s="156"/>
      <c r="AH725" s="156"/>
      <c r="AI725" s="156"/>
      <c r="AJ725" s="156"/>
      <c r="AK725" s="156"/>
      <c r="AL725" s="156"/>
      <c r="AM725" s="157">
        <f t="shared" si="795"/>
        <v>0</v>
      </c>
      <c r="AN725" s="158">
        <f t="shared" si="796"/>
        <v>4000</v>
      </c>
      <c r="AO725" s="159">
        <v>0.2</v>
      </c>
      <c r="AP725" s="160">
        <f t="shared" si="797"/>
        <v>0</v>
      </c>
      <c r="AQ725" s="161">
        <f t="shared" si="798"/>
        <v>0</v>
      </c>
      <c r="AR725" s="162">
        <f t="shared" si="799"/>
        <v>0</v>
      </c>
      <c r="AS725" s="163"/>
      <c r="AT725" s="164"/>
      <c r="AU725" s="165"/>
      <c r="AV725" s="166"/>
      <c r="AW725" s="167"/>
      <c r="AX725" s="146">
        <f t="shared" si="800"/>
        <v>0</v>
      </c>
      <c r="AY725" s="168"/>
    </row>
    <row r="726" spans="1:51" ht="10.9" hidden="1" customHeight="1" x14ac:dyDescent="0.25">
      <c r="B726" s="140">
        <v>13</v>
      </c>
      <c r="C726" s="238" t="s">
        <v>135</v>
      </c>
      <c r="D726" s="235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>
        <v>833562</v>
      </c>
      <c r="O726" s="236"/>
      <c r="P726" s="237"/>
      <c r="Q726" s="304">
        <f t="shared" si="791"/>
        <v>833562</v>
      </c>
      <c r="R726" s="147">
        <f>Q726*$R$9</f>
        <v>121700.052</v>
      </c>
      <c r="S726" s="147">
        <f t="shared" si="793"/>
        <v>333.4248</v>
      </c>
      <c r="T726" s="148">
        <f>S726*$T$5*$T$9</f>
        <v>85190.036399999997</v>
      </c>
      <c r="U726" s="420"/>
      <c r="V726" s="407"/>
      <c r="W726" s="222"/>
      <c r="X726" s="222"/>
      <c r="Y726" s="408"/>
      <c r="Z726" s="409"/>
      <c r="AA726" s="409"/>
      <c r="AB726" s="410"/>
      <c r="AC726" s="155"/>
      <c r="AD726" s="156"/>
      <c r="AE726" s="156"/>
      <c r="AF726" s="156"/>
      <c r="AG726" s="156"/>
      <c r="AH726" s="156"/>
      <c r="AI726" s="156"/>
      <c r="AJ726" s="156"/>
      <c r="AK726" s="156"/>
      <c r="AL726" s="156"/>
      <c r="AM726" s="157">
        <f t="shared" si="795"/>
        <v>0</v>
      </c>
      <c r="AN726" s="158">
        <f t="shared" si="796"/>
        <v>4000</v>
      </c>
      <c r="AO726" s="159">
        <v>0.2</v>
      </c>
      <c r="AP726" s="160">
        <f t="shared" si="797"/>
        <v>0</v>
      </c>
      <c r="AQ726" s="161">
        <f t="shared" si="798"/>
        <v>0</v>
      </c>
      <c r="AR726" s="162">
        <f t="shared" si="799"/>
        <v>0</v>
      </c>
      <c r="AS726" s="163"/>
      <c r="AT726" s="233"/>
      <c r="AU726" s="187"/>
      <c r="AV726" s="166"/>
      <c r="AW726" s="167"/>
      <c r="AX726" s="146">
        <f t="shared" si="800"/>
        <v>0</v>
      </c>
      <c r="AY726" s="168"/>
    </row>
    <row r="727" spans="1:51" ht="10.9" hidden="1" customHeight="1" x14ac:dyDescent="0.25">
      <c r="B727" s="140"/>
      <c r="C727" s="238"/>
      <c r="D727" s="235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7"/>
      <c r="Q727" s="223"/>
      <c r="R727" s="167"/>
      <c r="S727" s="147"/>
      <c r="T727" s="146"/>
      <c r="U727" s="420" t="s">
        <v>651</v>
      </c>
      <c r="V727" s="407">
        <v>30</v>
      </c>
      <c r="W727" s="222">
        <f>317*365</f>
        <v>115705</v>
      </c>
      <c r="X727" s="222"/>
      <c r="Y727" s="408" t="s">
        <v>652</v>
      </c>
      <c r="Z727" s="409" t="s">
        <v>647</v>
      </c>
      <c r="AA727" s="409"/>
      <c r="AB727" s="410" t="s">
        <v>647</v>
      </c>
      <c r="AC727" s="411">
        <f>W727*$AC$5</f>
        <v>67108.899999999994</v>
      </c>
      <c r="AD727" s="412">
        <f>W727*$AD$5</f>
        <v>15041.65</v>
      </c>
      <c r="AE727" s="412">
        <f>W727*$AE$5</f>
        <v>10153.113749999999</v>
      </c>
      <c r="AF727" s="412">
        <f>W727*$AF$5</f>
        <v>4628.2</v>
      </c>
      <c r="AG727" s="412">
        <f>W727*$AG$5</f>
        <v>2314.1</v>
      </c>
      <c r="AH727" s="412">
        <f>W727*$AH$5</f>
        <v>2314.1</v>
      </c>
      <c r="AI727" s="412">
        <f>W727*$AI$5</f>
        <v>1157.05</v>
      </c>
      <c r="AJ727" s="412">
        <f>W727*$AJ$5</f>
        <v>2314.1</v>
      </c>
      <c r="AK727" s="412">
        <f>W727*$AK$5</f>
        <v>2314.1</v>
      </c>
      <c r="AL727" s="412">
        <f>W727*$AL$5</f>
        <v>8099.35</v>
      </c>
      <c r="AM727" s="413">
        <f t="shared" si="795"/>
        <v>35608.213750000003</v>
      </c>
      <c r="AN727" s="158">
        <f t="shared" si="796"/>
        <v>4000</v>
      </c>
      <c r="AO727" s="159">
        <v>0.2</v>
      </c>
      <c r="AP727" s="160">
        <f t="shared" si="797"/>
        <v>596337877.31400001</v>
      </c>
      <c r="AQ727" s="161">
        <f t="shared" si="798"/>
        <v>165649.42361695282</v>
      </c>
      <c r="AR727" s="162">
        <f t="shared" si="799"/>
        <v>33129.884723390562</v>
      </c>
      <c r="AS727" s="163"/>
      <c r="AT727" s="233"/>
      <c r="AU727" s="165">
        <v>0.75</v>
      </c>
      <c r="AV727" s="414">
        <f>AR727/$AV$5</f>
        <v>4.727437888611667</v>
      </c>
      <c r="AW727" s="415">
        <f>AV727</f>
        <v>4.727437888611667</v>
      </c>
      <c r="AX727" s="146">
        <f>SUM(AU727:AV727)</f>
        <v>5.477437888611667</v>
      </c>
      <c r="AY727" s="168"/>
    </row>
    <row r="728" spans="1:51" ht="10.9" hidden="1" customHeight="1" x14ac:dyDescent="0.25">
      <c r="B728" s="140">
        <v>14</v>
      </c>
      <c r="C728" s="221" t="s">
        <v>136</v>
      </c>
      <c r="D728" s="235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>
        <v>59396</v>
      </c>
      <c r="O728" s="236"/>
      <c r="P728" s="237"/>
      <c r="Q728" s="223">
        <f t="shared" si="791"/>
        <v>59396</v>
      </c>
      <c r="R728" s="147">
        <f t="shared" ref="R728:R734" si="801">Q728*$R$10</f>
        <v>6533.56</v>
      </c>
      <c r="S728" s="147">
        <f>R728/$S$5</f>
        <v>17.900164383561645</v>
      </c>
      <c r="T728" s="148">
        <f>S728*$T$5*$T$10</f>
        <v>3920.136</v>
      </c>
      <c r="U728" s="420"/>
      <c r="V728" s="407"/>
      <c r="W728" s="222"/>
      <c r="X728" s="222"/>
      <c r="Y728" s="408"/>
      <c r="Z728" s="409"/>
      <c r="AA728" s="409"/>
      <c r="AB728" s="410"/>
      <c r="AC728" s="155"/>
      <c r="AD728" s="156"/>
      <c r="AE728" s="156"/>
      <c r="AF728" s="156"/>
      <c r="AG728" s="156"/>
      <c r="AH728" s="156"/>
      <c r="AI728" s="156"/>
      <c r="AJ728" s="156"/>
      <c r="AK728" s="156"/>
      <c r="AL728" s="156"/>
      <c r="AM728" s="157">
        <f t="shared" si="795"/>
        <v>0</v>
      </c>
      <c r="AN728" s="158">
        <f t="shared" si="796"/>
        <v>4000</v>
      </c>
      <c r="AO728" s="159">
        <v>0.2</v>
      </c>
      <c r="AP728" s="160">
        <f t="shared" si="797"/>
        <v>0</v>
      </c>
      <c r="AQ728" s="161">
        <f t="shared" si="798"/>
        <v>0</v>
      </c>
      <c r="AR728" s="162">
        <f t="shared" si="799"/>
        <v>0</v>
      </c>
      <c r="AS728" s="163"/>
      <c r="AT728" s="164"/>
      <c r="AU728" s="165"/>
      <c r="AV728" s="166"/>
      <c r="AW728" s="167"/>
      <c r="AX728" s="146">
        <f t="shared" si="800"/>
        <v>0</v>
      </c>
      <c r="AY728" s="168"/>
    </row>
    <row r="729" spans="1:51" ht="10.9" hidden="1" customHeight="1" x14ac:dyDescent="0.25">
      <c r="B729" s="140">
        <v>15</v>
      </c>
      <c r="C729" s="221" t="s">
        <v>137</v>
      </c>
      <c r="D729" s="235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>
        <v>56866</v>
      </c>
      <c r="O729" s="236"/>
      <c r="P729" s="237"/>
      <c r="Q729" s="223">
        <f t="shared" si="791"/>
        <v>56866</v>
      </c>
      <c r="R729" s="147">
        <f t="shared" si="801"/>
        <v>6255.26</v>
      </c>
      <c r="S729" s="147">
        <f>R729/$S$5</f>
        <v>17.137698630136988</v>
      </c>
      <c r="T729" s="148">
        <f>S729*$T$5*$T$10</f>
        <v>3753.1560000000004</v>
      </c>
      <c r="U729" s="420"/>
      <c r="V729" s="407"/>
      <c r="W729" s="222"/>
      <c r="X729" s="222"/>
      <c r="Y729" s="408"/>
      <c r="Z729" s="409"/>
      <c r="AA729" s="409"/>
      <c r="AB729" s="410"/>
      <c r="AC729" s="155"/>
      <c r="AD729" s="156"/>
      <c r="AE729" s="156"/>
      <c r="AF729" s="156"/>
      <c r="AG729" s="156"/>
      <c r="AH729" s="156"/>
      <c r="AI729" s="156"/>
      <c r="AJ729" s="156"/>
      <c r="AK729" s="156"/>
      <c r="AL729" s="156"/>
      <c r="AM729" s="157">
        <f t="shared" si="795"/>
        <v>0</v>
      </c>
      <c r="AN729" s="158">
        <f t="shared" si="796"/>
        <v>4000</v>
      </c>
      <c r="AO729" s="159">
        <v>0.2</v>
      </c>
      <c r="AP729" s="160">
        <f t="shared" si="797"/>
        <v>0</v>
      </c>
      <c r="AQ729" s="161">
        <f t="shared" si="798"/>
        <v>0</v>
      </c>
      <c r="AR729" s="162">
        <f t="shared" si="799"/>
        <v>0</v>
      </c>
      <c r="AS729" s="163"/>
      <c r="AT729" s="164"/>
      <c r="AU729" s="165"/>
      <c r="AV729" s="166"/>
      <c r="AW729" s="167"/>
      <c r="AX729" s="146">
        <f t="shared" si="800"/>
        <v>0</v>
      </c>
      <c r="AY729" s="168"/>
    </row>
    <row r="730" spans="1:51" ht="10.9" hidden="1" customHeight="1" x14ac:dyDescent="0.25">
      <c r="B730" s="140">
        <v>16</v>
      </c>
      <c r="C730" s="221" t="s">
        <v>138</v>
      </c>
      <c r="D730" s="235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>
        <v>47008</v>
      </c>
      <c r="O730" s="236"/>
      <c r="P730" s="237"/>
      <c r="Q730" s="223">
        <f t="shared" si="791"/>
        <v>47008</v>
      </c>
      <c r="R730" s="147">
        <f t="shared" si="801"/>
        <v>5170.88</v>
      </c>
      <c r="S730" s="147">
        <f>R730/$S$5</f>
        <v>14.166794520547946</v>
      </c>
      <c r="T730" s="148">
        <f>S730*$T$5*$T$10</f>
        <v>3102.5279999999998</v>
      </c>
      <c r="U730" s="420"/>
      <c r="V730" s="407"/>
      <c r="W730" s="222"/>
      <c r="X730" s="222"/>
      <c r="Y730" s="408"/>
      <c r="Z730" s="409"/>
      <c r="AA730" s="409"/>
      <c r="AB730" s="410"/>
      <c r="AC730" s="155"/>
      <c r="AD730" s="156"/>
      <c r="AE730" s="156"/>
      <c r="AF730" s="156"/>
      <c r="AG730" s="156"/>
      <c r="AH730" s="156"/>
      <c r="AI730" s="156"/>
      <c r="AJ730" s="156"/>
      <c r="AK730" s="156"/>
      <c r="AL730" s="156"/>
      <c r="AM730" s="157">
        <f t="shared" si="795"/>
        <v>0</v>
      </c>
      <c r="AN730" s="158">
        <f t="shared" si="796"/>
        <v>4000</v>
      </c>
      <c r="AO730" s="159">
        <v>0.2</v>
      </c>
      <c r="AP730" s="160">
        <f t="shared" si="797"/>
        <v>0</v>
      </c>
      <c r="AQ730" s="161">
        <f t="shared" si="798"/>
        <v>0</v>
      </c>
      <c r="AR730" s="162">
        <f t="shared" si="799"/>
        <v>0</v>
      </c>
      <c r="AS730" s="163"/>
      <c r="AT730" s="164"/>
      <c r="AU730" s="165"/>
      <c r="AV730" s="166"/>
      <c r="AW730" s="167"/>
      <c r="AX730" s="146">
        <f t="shared" si="800"/>
        <v>0</v>
      </c>
      <c r="AY730" s="168"/>
    </row>
    <row r="731" spans="1:51" ht="10.9" hidden="1" customHeight="1" x14ac:dyDescent="0.25">
      <c r="B731" s="140">
        <v>17</v>
      </c>
      <c r="C731" s="221" t="s">
        <v>139</v>
      </c>
      <c r="D731" s="235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>
        <v>111312</v>
      </c>
      <c r="O731" s="236"/>
      <c r="P731" s="237"/>
      <c r="Q731" s="223">
        <f t="shared" si="791"/>
        <v>111312</v>
      </c>
      <c r="R731" s="147">
        <f t="shared" si="801"/>
        <v>12244.32</v>
      </c>
      <c r="S731" s="147">
        <f>R731/$S$5</f>
        <v>33.546082191780819</v>
      </c>
      <c r="T731" s="148">
        <f>S731*$T$5*$T$10</f>
        <v>7346.5919999999996</v>
      </c>
      <c r="U731" s="420"/>
      <c r="V731" s="407"/>
      <c r="W731" s="222"/>
      <c r="X731" s="222"/>
      <c r="Y731" s="408"/>
      <c r="Z731" s="409"/>
      <c r="AA731" s="409"/>
      <c r="AB731" s="410"/>
      <c r="AC731" s="155"/>
      <c r="AD731" s="156"/>
      <c r="AE731" s="156"/>
      <c r="AF731" s="156"/>
      <c r="AG731" s="156"/>
      <c r="AH731" s="156"/>
      <c r="AI731" s="156"/>
      <c r="AJ731" s="156"/>
      <c r="AK731" s="156"/>
      <c r="AL731" s="156"/>
      <c r="AM731" s="157">
        <f t="shared" si="795"/>
        <v>0</v>
      </c>
      <c r="AN731" s="158">
        <f t="shared" si="796"/>
        <v>4000</v>
      </c>
      <c r="AO731" s="159">
        <v>0.2</v>
      </c>
      <c r="AP731" s="160">
        <f t="shared" si="797"/>
        <v>0</v>
      </c>
      <c r="AQ731" s="161">
        <f t="shared" si="798"/>
        <v>0</v>
      </c>
      <c r="AR731" s="162">
        <f t="shared" si="799"/>
        <v>0</v>
      </c>
      <c r="AS731" s="163"/>
      <c r="AT731" s="164"/>
      <c r="AU731" s="165"/>
      <c r="AV731" s="166"/>
      <c r="AW731" s="167"/>
      <c r="AX731" s="146">
        <f t="shared" si="800"/>
        <v>0</v>
      </c>
      <c r="AY731" s="168"/>
    </row>
    <row r="732" spans="1:51" ht="10.9" hidden="1" customHeight="1" x14ac:dyDescent="0.25">
      <c r="B732" s="140">
        <v>18</v>
      </c>
      <c r="C732" s="221" t="s">
        <v>140</v>
      </c>
      <c r="D732" s="235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>
        <v>116825</v>
      </c>
      <c r="O732" s="236"/>
      <c r="P732" s="237"/>
      <c r="Q732" s="223">
        <f t="shared" si="791"/>
        <v>116825</v>
      </c>
      <c r="R732" s="147">
        <f t="shared" si="801"/>
        <v>12850.75</v>
      </c>
      <c r="S732" s="147">
        <f>R732/$S$5</f>
        <v>35.207534246575342</v>
      </c>
      <c r="T732" s="148">
        <f>S732*$T$5*$T$10</f>
        <v>7710.45</v>
      </c>
      <c r="U732" s="420"/>
      <c r="V732" s="407"/>
      <c r="W732" s="222"/>
      <c r="X732" s="222"/>
      <c r="Y732" s="408"/>
      <c r="Z732" s="409"/>
      <c r="AA732" s="409"/>
      <c r="AB732" s="410"/>
      <c r="AC732" s="155"/>
      <c r="AD732" s="156"/>
      <c r="AE732" s="156"/>
      <c r="AF732" s="156"/>
      <c r="AG732" s="156"/>
      <c r="AH732" s="156"/>
      <c r="AI732" s="156"/>
      <c r="AJ732" s="156"/>
      <c r="AK732" s="156"/>
      <c r="AL732" s="156"/>
      <c r="AM732" s="157">
        <f t="shared" si="795"/>
        <v>0</v>
      </c>
      <c r="AN732" s="158">
        <f t="shared" si="796"/>
        <v>4000</v>
      </c>
      <c r="AO732" s="159">
        <v>0.2</v>
      </c>
      <c r="AP732" s="160">
        <f t="shared" si="797"/>
        <v>0</v>
      </c>
      <c r="AQ732" s="161">
        <f t="shared" si="798"/>
        <v>0</v>
      </c>
      <c r="AR732" s="162">
        <f t="shared" si="799"/>
        <v>0</v>
      </c>
      <c r="AS732" s="163"/>
      <c r="AT732" s="164"/>
      <c r="AU732" s="165"/>
      <c r="AV732" s="166"/>
      <c r="AW732" s="167"/>
      <c r="AX732" s="146">
        <f t="shared" si="800"/>
        <v>0</v>
      </c>
      <c r="AY732" s="168"/>
    </row>
    <row r="733" spans="1:51" ht="10.9" hidden="1" customHeight="1" x14ac:dyDescent="0.25">
      <c r="B733" s="140"/>
      <c r="C733" s="221"/>
      <c r="D733" s="235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7"/>
      <c r="Q733" s="223"/>
      <c r="R733" s="147"/>
      <c r="S733" s="147"/>
      <c r="T733" s="148"/>
      <c r="U733" s="420" t="s">
        <v>653</v>
      </c>
      <c r="V733" s="407"/>
      <c r="W733" s="222">
        <f>(187.7*0.25)*365</f>
        <v>17127.625</v>
      </c>
      <c r="X733" s="222"/>
      <c r="Y733" s="408"/>
      <c r="Z733" s="409"/>
      <c r="AA733" s="409"/>
      <c r="AB733" s="410"/>
      <c r="AC733" s="411">
        <f>W733*52%</f>
        <v>8906.3649999999998</v>
      </c>
      <c r="AD733" s="412">
        <f>W733*25%</f>
        <v>4281.90625</v>
      </c>
      <c r="AE733" s="412">
        <f>W733*9%</f>
        <v>1541.4862499999999</v>
      </c>
      <c r="AF733" s="412">
        <f>W733*5%</f>
        <v>856.38125000000002</v>
      </c>
      <c r="AG733" s="412">
        <f>W733*3%</f>
        <v>513.82875000000001</v>
      </c>
      <c r="AH733" s="412">
        <f>W733*1%</f>
        <v>171.27625</v>
      </c>
      <c r="AI733" s="412">
        <f>W733*2%</f>
        <v>342.55250000000001</v>
      </c>
      <c r="AJ733" s="412">
        <f>W733*1%</f>
        <v>171.27625</v>
      </c>
      <c r="AK733" s="412">
        <f>W733*4%</f>
        <v>685.10500000000002</v>
      </c>
      <c r="AL733" s="412">
        <f>W733*1%</f>
        <v>171.27625</v>
      </c>
      <c r="AM733" s="413">
        <f>SUM(AD733:AI733)</f>
        <v>7707.4312499999996</v>
      </c>
      <c r="AN733" s="158">
        <f t="shared" si="796"/>
        <v>4000</v>
      </c>
      <c r="AO733" s="159">
        <v>0.2</v>
      </c>
      <c r="AP733" s="160">
        <f t="shared" si="797"/>
        <v>129077892.63</v>
      </c>
      <c r="AQ733" s="161">
        <f t="shared" si="798"/>
        <v>35854.973043397615</v>
      </c>
      <c r="AR733" s="162">
        <f t="shared" si="799"/>
        <v>7170.9946086795235</v>
      </c>
      <c r="AS733" s="163"/>
      <c r="AT733" s="233"/>
      <c r="AU733" s="187"/>
      <c r="AV733" s="414">
        <f>AR733/$AV$5</f>
        <v>1.0232583631106626</v>
      </c>
      <c r="AW733" s="415"/>
      <c r="AX733" s="146">
        <f>SUM(AU733:AV733)</f>
        <v>1.0232583631106626</v>
      </c>
      <c r="AY733" s="168"/>
    </row>
    <row r="734" spans="1:51" ht="10.9" hidden="1" customHeight="1" x14ac:dyDescent="0.25">
      <c r="B734" s="140">
        <v>19</v>
      </c>
      <c r="C734" s="221" t="s">
        <v>141</v>
      </c>
      <c r="D734" s="235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>
        <v>79043</v>
      </c>
      <c r="O734" s="236"/>
      <c r="P734" s="237"/>
      <c r="Q734" s="223">
        <f t="shared" si="791"/>
        <v>79043</v>
      </c>
      <c r="R734" s="147">
        <f t="shared" si="801"/>
        <v>8694.73</v>
      </c>
      <c r="S734" s="147">
        <f>R734/$S$5</f>
        <v>23.821178082191778</v>
      </c>
      <c r="T734" s="148">
        <f>S734*$T$5*$T$10</f>
        <v>5216.8379999999997</v>
      </c>
      <c r="U734" s="420"/>
      <c r="V734" s="407"/>
      <c r="W734" s="222"/>
      <c r="X734" s="222"/>
      <c r="Y734" s="408"/>
      <c r="Z734" s="409"/>
      <c r="AA734" s="409"/>
      <c r="AB734" s="410"/>
      <c r="AC734" s="155"/>
      <c r="AD734" s="156"/>
      <c r="AE734" s="156"/>
      <c r="AF734" s="156"/>
      <c r="AG734" s="156"/>
      <c r="AH734" s="156"/>
      <c r="AI734" s="156"/>
      <c r="AJ734" s="156"/>
      <c r="AK734" s="156"/>
      <c r="AL734" s="156"/>
      <c r="AM734" s="157">
        <f t="shared" si="795"/>
        <v>0</v>
      </c>
      <c r="AN734" s="158">
        <f t="shared" si="796"/>
        <v>4000</v>
      </c>
      <c r="AO734" s="159">
        <v>0.2</v>
      </c>
      <c r="AP734" s="160">
        <f t="shared" si="797"/>
        <v>0</v>
      </c>
      <c r="AQ734" s="161">
        <f t="shared" si="798"/>
        <v>0</v>
      </c>
      <c r="AR734" s="162">
        <f t="shared" si="799"/>
        <v>0</v>
      </c>
      <c r="AS734" s="163"/>
      <c r="AT734" s="164"/>
      <c r="AU734" s="165"/>
      <c r="AV734" s="166"/>
      <c r="AW734" s="167"/>
      <c r="AX734" s="146">
        <f t="shared" si="800"/>
        <v>0</v>
      </c>
      <c r="AY734" s="168"/>
    </row>
    <row r="735" spans="1:51" ht="10.9" hidden="1" customHeight="1" x14ac:dyDescent="0.25">
      <c r="B735" s="140"/>
      <c r="C735" s="221"/>
      <c r="D735" s="235"/>
      <c r="E735" s="300"/>
      <c r="F735" s="300"/>
      <c r="G735" s="300"/>
      <c r="H735" s="300"/>
      <c r="I735" s="300"/>
      <c r="J735" s="300"/>
      <c r="K735" s="300"/>
      <c r="L735" s="300"/>
      <c r="M735" s="300"/>
      <c r="N735" s="300"/>
      <c r="O735" s="300"/>
      <c r="P735" s="427"/>
      <c r="Q735" s="166"/>
      <c r="R735" s="167"/>
      <c r="S735" s="167"/>
      <c r="T735" s="428"/>
      <c r="U735" s="420" t="s">
        <v>654</v>
      </c>
      <c r="V735" s="407">
        <v>1.5</v>
      </c>
      <c r="W735" s="222">
        <f>(117*0.25)*365</f>
        <v>10676.25</v>
      </c>
      <c r="X735" s="222"/>
      <c r="Y735" s="408"/>
      <c r="Z735" s="409"/>
      <c r="AA735" s="409"/>
      <c r="AB735" s="410"/>
      <c r="AC735" s="411">
        <f>W735*52%</f>
        <v>5551.6500000000005</v>
      </c>
      <c r="AD735" s="412">
        <f>W735*25%</f>
        <v>2669.0625</v>
      </c>
      <c r="AE735" s="412">
        <f>W735*9%</f>
        <v>960.86249999999995</v>
      </c>
      <c r="AF735" s="412">
        <f>W735*5%</f>
        <v>533.8125</v>
      </c>
      <c r="AG735" s="412">
        <f>W735*3%</f>
        <v>320.28749999999997</v>
      </c>
      <c r="AH735" s="412">
        <f>W735*1%</f>
        <v>106.7625</v>
      </c>
      <c r="AI735" s="412">
        <f>W735*2%</f>
        <v>213.52500000000001</v>
      </c>
      <c r="AJ735" s="412">
        <f>W735*1%</f>
        <v>106.7625</v>
      </c>
      <c r="AK735" s="412">
        <f>W735*4%</f>
        <v>427.05</v>
      </c>
      <c r="AL735" s="412">
        <f>W735*1%</f>
        <v>106.7625</v>
      </c>
      <c r="AM735" s="413">
        <f>SUM(AD735:AI735)</f>
        <v>4804.3125</v>
      </c>
      <c r="AN735" s="158">
        <f t="shared" si="796"/>
        <v>4000</v>
      </c>
      <c r="AO735" s="159">
        <v>0.2</v>
      </c>
      <c r="AP735" s="160">
        <f t="shared" si="797"/>
        <v>80458782.299999997</v>
      </c>
      <c r="AQ735" s="161">
        <f t="shared" si="798"/>
        <v>22349.663537972938</v>
      </c>
      <c r="AR735" s="162">
        <f t="shared" si="799"/>
        <v>4469.9327075945876</v>
      </c>
      <c r="AS735" s="163"/>
      <c r="AT735" s="233"/>
      <c r="AU735" s="187"/>
      <c r="AV735" s="414">
        <f>AR735/$AV$5</f>
        <v>0.63783286352662494</v>
      </c>
      <c r="AW735" s="415"/>
      <c r="AX735" s="146">
        <f>SUM(AU735:AV735)</f>
        <v>0.63783286352662494</v>
      </c>
      <c r="AY735" s="168"/>
    </row>
    <row r="736" spans="1:51" s="263" customFormat="1" ht="16.7" hidden="1" customHeight="1" x14ac:dyDescent="0.25">
      <c r="A736" s="173"/>
      <c r="B736" s="225"/>
      <c r="C736" s="121" t="s">
        <v>142</v>
      </c>
      <c r="D736" s="240">
        <f t="shared" ref="D736:AM736" si="802">SUM(D714:D735)</f>
        <v>0</v>
      </c>
      <c r="E736" s="240">
        <f t="shared" si="802"/>
        <v>0</v>
      </c>
      <c r="F736" s="240">
        <f t="shared" si="802"/>
        <v>0</v>
      </c>
      <c r="G736" s="240">
        <f t="shared" si="802"/>
        <v>0</v>
      </c>
      <c r="H736" s="240">
        <f t="shared" si="802"/>
        <v>0</v>
      </c>
      <c r="I736" s="240">
        <f t="shared" si="802"/>
        <v>0</v>
      </c>
      <c r="J736" s="240">
        <f t="shared" si="802"/>
        <v>0</v>
      </c>
      <c r="K736" s="240">
        <f t="shared" si="802"/>
        <v>0</v>
      </c>
      <c r="L736" s="240">
        <f t="shared" si="802"/>
        <v>0</v>
      </c>
      <c r="M736" s="240">
        <f t="shared" si="802"/>
        <v>0</v>
      </c>
      <c r="N736" s="240">
        <f t="shared" si="802"/>
        <v>4846909</v>
      </c>
      <c r="O736" s="240">
        <f t="shared" si="802"/>
        <v>0</v>
      </c>
      <c r="P736" s="240">
        <f t="shared" si="802"/>
        <v>0</v>
      </c>
      <c r="Q736" s="240">
        <f t="shared" si="802"/>
        <v>4846909</v>
      </c>
      <c r="R736" s="240">
        <f t="shared" si="802"/>
        <v>563168.22199999983</v>
      </c>
      <c r="S736" s="240">
        <f t="shared" si="802"/>
        <v>1542.9266356164385</v>
      </c>
      <c r="T736" s="240">
        <f t="shared" si="802"/>
        <v>350070.93840000004</v>
      </c>
      <c r="U736" s="240">
        <f t="shared" si="802"/>
        <v>0</v>
      </c>
      <c r="V736" s="240">
        <f t="shared" si="802"/>
        <v>31.5</v>
      </c>
      <c r="W736" s="240">
        <f t="shared" si="802"/>
        <v>143508.875</v>
      </c>
      <c r="X736" s="240">
        <f t="shared" si="802"/>
        <v>0</v>
      </c>
      <c r="Y736" s="240">
        <f t="shared" si="802"/>
        <v>0</v>
      </c>
      <c r="Z736" s="240">
        <f t="shared" si="802"/>
        <v>0</v>
      </c>
      <c r="AA736" s="240">
        <f t="shared" si="802"/>
        <v>0</v>
      </c>
      <c r="AB736" s="240">
        <f t="shared" si="802"/>
        <v>0</v>
      </c>
      <c r="AC736" s="240">
        <f t="shared" si="802"/>
        <v>81566.914999999994</v>
      </c>
      <c r="AD736" s="240">
        <f t="shared" si="802"/>
        <v>21992.618750000001</v>
      </c>
      <c r="AE736" s="240">
        <f t="shared" si="802"/>
        <v>12655.462499999998</v>
      </c>
      <c r="AF736" s="240">
        <f t="shared" si="802"/>
        <v>6018.3937500000002</v>
      </c>
      <c r="AG736" s="240">
        <f t="shared" si="802"/>
        <v>3148.2162499999999</v>
      </c>
      <c r="AH736" s="240">
        <f t="shared" si="802"/>
        <v>2592.1387499999996</v>
      </c>
      <c r="AI736" s="240">
        <f t="shared" si="802"/>
        <v>1713.1275000000001</v>
      </c>
      <c r="AJ736" s="240">
        <f t="shared" si="802"/>
        <v>2592.1387499999996</v>
      </c>
      <c r="AK736" s="240">
        <f t="shared" si="802"/>
        <v>3426.2550000000001</v>
      </c>
      <c r="AL736" s="240">
        <f t="shared" si="802"/>
        <v>8377.3887500000019</v>
      </c>
      <c r="AM736" s="240">
        <f t="shared" si="802"/>
        <v>48119.957500000004</v>
      </c>
      <c r="AN736" s="240"/>
      <c r="AO736" s="240"/>
      <c r="AP736" s="240">
        <f t="shared" ref="AP736:AX736" si="803">SUM(AP714:AP735)</f>
        <v>805874552.24399996</v>
      </c>
      <c r="AQ736" s="240">
        <f t="shared" si="803"/>
        <v>223854.06019832336</v>
      </c>
      <c r="AR736" s="240">
        <f t="shared" si="803"/>
        <v>44770.81203966467</v>
      </c>
      <c r="AS736" s="240">
        <f t="shared" si="803"/>
        <v>0</v>
      </c>
      <c r="AT736" s="240">
        <f t="shared" si="803"/>
        <v>0</v>
      </c>
      <c r="AU736" s="240">
        <f t="shared" si="803"/>
        <v>0.75</v>
      </c>
      <c r="AV736" s="240">
        <f t="shared" si="803"/>
        <v>6.3885291152489545</v>
      </c>
      <c r="AW736" s="240">
        <f t="shared" si="803"/>
        <v>4.727437888611667</v>
      </c>
      <c r="AX736" s="240">
        <f t="shared" si="803"/>
        <v>7.1385291152489545</v>
      </c>
      <c r="AY736" s="189"/>
    </row>
    <row r="737" spans="1:51" s="139" customFormat="1" ht="10.9" hidden="1" customHeight="1" x14ac:dyDescent="0.25">
      <c r="B737" s="247"/>
      <c r="C737" s="152"/>
      <c r="D737" s="247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248"/>
      <c r="Q737" s="249"/>
      <c r="R737" s="250"/>
      <c r="S737" s="250"/>
      <c r="T737" s="251"/>
      <c r="U737" s="199"/>
      <c r="V737" s="179"/>
      <c r="W737" s="249"/>
      <c r="X737" s="249"/>
      <c r="Y737" s="152"/>
      <c r="Z737" s="153"/>
      <c r="AA737" s="153"/>
      <c r="AB737" s="154"/>
      <c r="AC737" s="247"/>
      <c r="AD737" s="252"/>
      <c r="AE737" s="252"/>
      <c r="AF737" s="252"/>
      <c r="AG737" s="252"/>
      <c r="AH737" s="252"/>
      <c r="AI737" s="252"/>
      <c r="AJ737" s="252"/>
      <c r="AK737" s="252"/>
      <c r="AL737" s="252"/>
      <c r="AM737" s="214"/>
      <c r="AN737" s="203"/>
      <c r="AO737" s="204"/>
      <c r="AP737" s="203"/>
      <c r="AQ737" s="205"/>
      <c r="AR737" s="206"/>
      <c r="AS737" s="253"/>
      <c r="AT737" s="254"/>
      <c r="AU737" s="255"/>
      <c r="AV737" s="256"/>
      <c r="AW737" s="257"/>
      <c r="AX737" s="214"/>
      <c r="AY737" s="212"/>
    </row>
    <row r="738" spans="1:51" s="139" customFormat="1" ht="15" hidden="1" customHeight="1" x14ac:dyDescent="0.25">
      <c r="A738" s="1"/>
      <c r="B738" s="120"/>
      <c r="C738" s="258" t="s">
        <v>143</v>
      </c>
      <c r="D738" s="122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213"/>
      <c r="Q738" s="76"/>
      <c r="R738" s="108"/>
      <c r="S738" s="108"/>
      <c r="T738" s="94"/>
      <c r="U738" s="120"/>
      <c r="V738" s="67"/>
      <c r="W738" s="123"/>
      <c r="X738" s="123"/>
      <c r="Y738" s="125"/>
      <c r="Z738" s="126"/>
      <c r="AA738" s="126"/>
      <c r="AB738" s="127"/>
      <c r="AC738" s="62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125"/>
      <c r="AN738" s="75"/>
      <c r="AO738" s="216"/>
      <c r="AP738" s="75"/>
      <c r="AQ738" s="51"/>
      <c r="AR738" s="259"/>
      <c r="AS738" s="218"/>
      <c r="AT738" s="219"/>
      <c r="AU738" s="220"/>
      <c r="AV738" s="135"/>
      <c r="AW738" s="136"/>
      <c r="AX738" s="137"/>
      <c r="AY738" s="138"/>
    </row>
    <row r="739" spans="1:51" ht="10.9" hidden="1" customHeight="1" x14ac:dyDescent="0.25">
      <c r="B739" s="140">
        <v>1</v>
      </c>
      <c r="C739" s="63" t="s">
        <v>144</v>
      </c>
      <c r="D739" s="235"/>
      <c r="E739" s="236"/>
      <c r="F739" s="236"/>
      <c r="G739" s="236"/>
      <c r="H739" s="236"/>
      <c r="I739" s="236"/>
      <c r="J739" s="236"/>
      <c r="K739" s="236">
        <v>270177</v>
      </c>
      <c r="L739" s="236">
        <v>274757</v>
      </c>
      <c r="M739" s="236">
        <v>279234</v>
      </c>
      <c r="N739" s="236">
        <v>291044</v>
      </c>
      <c r="O739" s="236"/>
      <c r="P739" s="237"/>
      <c r="Q739" s="223">
        <f t="shared" ref="Q739:Q752" si="804">MAX(D739:P739)</f>
        <v>291044</v>
      </c>
      <c r="R739" s="147">
        <f>Q739*$R$10</f>
        <v>32014.84</v>
      </c>
      <c r="S739" s="147">
        <f t="shared" ref="S739:S746" si="805">R739/$S$5</f>
        <v>87.711890410958901</v>
      </c>
      <c r="T739" s="148">
        <f>S739*$T$5*$T$10</f>
        <v>19208.903999999999</v>
      </c>
      <c r="U739" s="420"/>
      <c r="V739" s="407"/>
      <c r="W739" s="222"/>
      <c r="X739" s="222"/>
      <c r="Y739" s="408"/>
      <c r="Z739" s="409"/>
      <c r="AA739" s="409"/>
      <c r="AB739" s="410"/>
      <c r="AC739" s="155"/>
      <c r="AD739" s="156"/>
      <c r="AE739" s="156"/>
      <c r="AF739" s="156"/>
      <c r="AG739" s="156"/>
      <c r="AH739" s="156"/>
      <c r="AI739" s="156"/>
      <c r="AJ739" s="156"/>
      <c r="AK739" s="156"/>
      <c r="AL739" s="156"/>
      <c r="AM739" s="157">
        <f t="shared" ref="AM739:AM752" si="806">SUM(AD739:AI739)</f>
        <v>0</v>
      </c>
      <c r="AN739" s="158">
        <f t="shared" ref="AN739:AN753" si="807">$AN$641</f>
        <v>4000</v>
      </c>
      <c r="AO739" s="159">
        <v>0.2</v>
      </c>
      <c r="AP739" s="160">
        <f t="shared" ref="AP739:AP746" si="808">AM739*AN739*$AP$5</f>
        <v>0</v>
      </c>
      <c r="AQ739" s="161">
        <f t="shared" ref="AQ739:AQ746" si="809">AP739*$AQ$5</f>
        <v>0</v>
      </c>
      <c r="AR739" s="162">
        <f t="shared" ref="AR739:AR746" si="810">AQ739*$AR$5</f>
        <v>0</v>
      </c>
      <c r="AS739" s="163"/>
      <c r="AT739" s="164"/>
      <c r="AU739" s="165"/>
      <c r="AV739" s="166"/>
      <c r="AW739" s="167"/>
      <c r="AX739" s="146">
        <f>SUM(AU739:AV739)</f>
        <v>0</v>
      </c>
      <c r="AY739" s="168"/>
    </row>
    <row r="740" spans="1:51" ht="10.9" hidden="1" customHeight="1" x14ac:dyDescent="0.25">
      <c r="B740" s="140">
        <v>2</v>
      </c>
      <c r="C740" s="63" t="s">
        <v>145</v>
      </c>
      <c r="D740" s="235"/>
      <c r="E740" s="236"/>
      <c r="F740" s="236"/>
      <c r="G740" s="236"/>
      <c r="H740" s="236"/>
      <c r="I740" s="236"/>
      <c r="J740" s="236"/>
      <c r="K740" s="236">
        <v>317549</v>
      </c>
      <c r="L740" s="236">
        <v>322759</v>
      </c>
      <c r="M740" s="236">
        <v>330410</v>
      </c>
      <c r="N740" s="236">
        <v>362961</v>
      </c>
      <c r="O740" s="236"/>
      <c r="P740" s="237"/>
      <c r="Q740" s="223">
        <f t="shared" si="804"/>
        <v>362961</v>
      </c>
      <c r="R740" s="147">
        <f>Q740*$R$10</f>
        <v>39925.71</v>
      </c>
      <c r="S740" s="147">
        <f t="shared" si="805"/>
        <v>109.38550684931506</v>
      </c>
      <c r="T740" s="148">
        <f>S740*$T$5*$T$10</f>
        <v>23955.425999999999</v>
      </c>
      <c r="U740" s="420"/>
      <c r="V740" s="407"/>
      <c r="W740" s="222"/>
      <c r="X740" s="222"/>
      <c r="Y740" s="408"/>
      <c r="Z740" s="409"/>
      <c r="AA740" s="409"/>
      <c r="AB740" s="410"/>
      <c r="AC740" s="155"/>
      <c r="AD740" s="156"/>
      <c r="AE740" s="156"/>
      <c r="AF740" s="156"/>
      <c r="AG740" s="156"/>
      <c r="AH740" s="156"/>
      <c r="AI740" s="156"/>
      <c r="AJ740" s="156"/>
      <c r="AK740" s="156"/>
      <c r="AL740" s="156"/>
      <c r="AM740" s="157">
        <f t="shared" si="806"/>
        <v>0</v>
      </c>
      <c r="AN740" s="158">
        <f t="shared" si="807"/>
        <v>4000</v>
      </c>
      <c r="AO740" s="159">
        <v>0.2</v>
      </c>
      <c r="AP740" s="160">
        <f t="shared" si="808"/>
        <v>0</v>
      </c>
      <c r="AQ740" s="161">
        <f t="shared" si="809"/>
        <v>0</v>
      </c>
      <c r="AR740" s="162">
        <f t="shared" si="810"/>
        <v>0</v>
      </c>
      <c r="AS740" s="163"/>
      <c r="AT740" s="164"/>
      <c r="AU740" s="165"/>
      <c r="AV740" s="166"/>
      <c r="AW740" s="167"/>
      <c r="AX740" s="146">
        <f t="shared" ref="AX740:AX752" si="811">SUM(AU740:AV740)</f>
        <v>0</v>
      </c>
      <c r="AY740" s="168"/>
    </row>
    <row r="741" spans="1:51" ht="10.9" hidden="1" customHeight="1" x14ac:dyDescent="0.25">
      <c r="B741" s="140">
        <v>3</v>
      </c>
      <c r="C741" s="63" t="s">
        <v>146</v>
      </c>
      <c r="D741" s="235"/>
      <c r="E741" s="236"/>
      <c r="F741" s="236"/>
      <c r="G741" s="236"/>
      <c r="H741" s="236"/>
      <c r="I741" s="236"/>
      <c r="J741" s="236"/>
      <c r="K741" s="236">
        <v>658079</v>
      </c>
      <c r="L741" s="236">
        <v>670814</v>
      </c>
      <c r="M741" s="236">
        <v>683354</v>
      </c>
      <c r="N741" s="236">
        <v>662305</v>
      </c>
      <c r="O741" s="236"/>
      <c r="P741" s="237"/>
      <c r="Q741" s="223">
        <f t="shared" si="804"/>
        <v>683354</v>
      </c>
      <c r="R741" s="147">
        <f>Q741*$R$9</f>
        <v>99769.683999999994</v>
      </c>
      <c r="S741" s="147">
        <f t="shared" si="805"/>
        <v>273.34159999999997</v>
      </c>
      <c r="T741" s="148">
        <f>S741*$T$5*$T$9</f>
        <v>69838.778799999985</v>
      </c>
      <c r="U741" s="420"/>
      <c r="V741" s="407"/>
      <c r="W741" s="222"/>
      <c r="X741" s="222"/>
      <c r="Y741" s="408"/>
      <c r="Z741" s="409"/>
      <c r="AA741" s="409"/>
      <c r="AB741" s="410"/>
      <c r="AC741" s="155"/>
      <c r="AD741" s="156"/>
      <c r="AE741" s="156"/>
      <c r="AF741" s="156"/>
      <c r="AG741" s="156"/>
      <c r="AH741" s="156"/>
      <c r="AI741" s="156"/>
      <c r="AJ741" s="156"/>
      <c r="AK741" s="156"/>
      <c r="AL741" s="156"/>
      <c r="AM741" s="157">
        <f t="shared" si="806"/>
        <v>0</v>
      </c>
      <c r="AN741" s="158">
        <f t="shared" si="807"/>
        <v>4000</v>
      </c>
      <c r="AO741" s="159">
        <v>0.2</v>
      </c>
      <c r="AP741" s="160">
        <f t="shared" si="808"/>
        <v>0</v>
      </c>
      <c r="AQ741" s="161">
        <f t="shared" si="809"/>
        <v>0</v>
      </c>
      <c r="AR741" s="162">
        <f t="shared" si="810"/>
        <v>0</v>
      </c>
      <c r="AS741" s="163"/>
      <c r="AT741" s="164"/>
      <c r="AU741" s="165"/>
      <c r="AV741" s="166"/>
      <c r="AW741" s="167"/>
      <c r="AX741" s="146">
        <f t="shared" si="811"/>
        <v>0</v>
      </c>
      <c r="AY741" s="168"/>
    </row>
    <row r="742" spans="1:51" ht="10.9" hidden="1" customHeight="1" x14ac:dyDescent="0.25">
      <c r="B742" s="140">
        <v>4</v>
      </c>
      <c r="C742" s="63" t="s">
        <v>147</v>
      </c>
      <c r="D742" s="235"/>
      <c r="E742" s="236"/>
      <c r="F742" s="236"/>
      <c r="G742" s="236"/>
      <c r="H742" s="236"/>
      <c r="I742" s="236"/>
      <c r="J742" s="236"/>
      <c r="K742" s="236">
        <v>271662</v>
      </c>
      <c r="L742" s="236">
        <v>280197</v>
      </c>
      <c r="M742" s="236">
        <v>285813</v>
      </c>
      <c r="N742" s="236">
        <v>303021</v>
      </c>
      <c r="O742" s="236"/>
      <c r="P742" s="237"/>
      <c r="Q742" s="223">
        <f t="shared" si="804"/>
        <v>303021</v>
      </c>
      <c r="R742" s="147">
        <f>Q742*$R$10</f>
        <v>33332.31</v>
      </c>
      <c r="S742" s="147">
        <f t="shared" si="805"/>
        <v>91.321397260273969</v>
      </c>
      <c r="T742" s="148">
        <f>S742*$T$5*$T$10</f>
        <v>19999.385999999999</v>
      </c>
      <c r="U742" s="420"/>
      <c r="V742" s="407"/>
      <c r="W742" s="222"/>
      <c r="X742" s="222"/>
      <c r="Y742" s="408"/>
      <c r="Z742" s="409"/>
      <c r="AA742" s="409"/>
      <c r="AB742" s="410"/>
      <c r="AC742" s="155"/>
      <c r="AD742" s="156"/>
      <c r="AE742" s="156"/>
      <c r="AF742" s="156"/>
      <c r="AG742" s="156"/>
      <c r="AH742" s="156"/>
      <c r="AI742" s="156"/>
      <c r="AJ742" s="156"/>
      <c r="AK742" s="156"/>
      <c r="AL742" s="156"/>
      <c r="AM742" s="157">
        <f t="shared" si="806"/>
        <v>0</v>
      </c>
      <c r="AN742" s="158">
        <f t="shared" si="807"/>
        <v>4000</v>
      </c>
      <c r="AO742" s="159">
        <v>0.2</v>
      </c>
      <c r="AP742" s="160">
        <f t="shared" si="808"/>
        <v>0</v>
      </c>
      <c r="AQ742" s="161">
        <f t="shared" si="809"/>
        <v>0</v>
      </c>
      <c r="AR742" s="162">
        <f t="shared" si="810"/>
        <v>0</v>
      </c>
      <c r="AS742" s="163"/>
      <c r="AT742" s="164"/>
      <c r="AU742" s="165"/>
      <c r="AV742" s="166"/>
      <c r="AW742" s="167"/>
      <c r="AX742" s="146">
        <f t="shared" si="811"/>
        <v>0</v>
      </c>
      <c r="AY742" s="168"/>
    </row>
    <row r="743" spans="1:51" ht="10.9" hidden="1" customHeight="1" x14ac:dyDescent="0.25">
      <c r="B743" s="140">
        <v>5</v>
      </c>
      <c r="C743" s="63" t="s">
        <v>148</v>
      </c>
      <c r="D743" s="235"/>
      <c r="E743" s="236"/>
      <c r="F743" s="236"/>
      <c r="G743" s="236"/>
      <c r="H743" s="236"/>
      <c r="I743" s="236"/>
      <c r="J743" s="236"/>
      <c r="K743" s="236">
        <v>318585</v>
      </c>
      <c r="L743" s="236">
        <v>322417</v>
      </c>
      <c r="M743" s="236">
        <v>332562</v>
      </c>
      <c r="N743" s="236">
        <v>377232</v>
      </c>
      <c r="O743" s="236"/>
      <c r="P743" s="237"/>
      <c r="Q743" s="223">
        <f t="shared" si="804"/>
        <v>377232</v>
      </c>
      <c r="R743" s="147">
        <f>Q743*$R$10</f>
        <v>41495.519999999997</v>
      </c>
      <c r="S743" s="147">
        <f t="shared" si="805"/>
        <v>113.68635616438355</v>
      </c>
      <c r="T743" s="148">
        <f>S743*$T$5*$T$10</f>
        <v>24897.311999999998</v>
      </c>
      <c r="U743" s="420"/>
      <c r="V743" s="407"/>
      <c r="W743" s="222"/>
      <c r="X743" s="222"/>
      <c r="Y743" s="408"/>
      <c r="Z743" s="409"/>
      <c r="AA743" s="409"/>
      <c r="AB743" s="410"/>
      <c r="AC743" s="155"/>
      <c r="AD743" s="156"/>
      <c r="AE743" s="156"/>
      <c r="AF743" s="156"/>
      <c r="AG743" s="156"/>
      <c r="AH743" s="156"/>
      <c r="AI743" s="156"/>
      <c r="AJ743" s="156"/>
      <c r="AK743" s="156"/>
      <c r="AL743" s="156"/>
      <c r="AM743" s="157">
        <f t="shared" si="806"/>
        <v>0</v>
      </c>
      <c r="AN743" s="158">
        <f t="shared" si="807"/>
        <v>4000</v>
      </c>
      <c r="AO743" s="159">
        <v>0.2</v>
      </c>
      <c r="AP743" s="160">
        <f t="shared" si="808"/>
        <v>0</v>
      </c>
      <c r="AQ743" s="161">
        <f t="shared" si="809"/>
        <v>0</v>
      </c>
      <c r="AR743" s="162">
        <f t="shared" si="810"/>
        <v>0</v>
      </c>
      <c r="AS743" s="163"/>
      <c r="AT743" s="164"/>
      <c r="AU743" s="165"/>
      <c r="AV743" s="166"/>
      <c r="AW743" s="167"/>
      <c r="AX743" s="146">
        <f t="shared" si="811"/>
        <v>0</v>
      </c>
      <c r="AY743" s="168"/>
    </row>
    <row r="744" spans="1:51" ht="10.9" hidden="1" customHeight="1" x14ac:dyDescent="0.25">
      <c r="B744" s="140">
        <v>6</v>
      </c>
      <c r="C744" s="63" t="s">
        <v>149</v>
      </c>
      <c r="D744" s="235"/>
      <c r="E744" s="236"/>
      <c r="F744" s="236"/>
      <c r="G744" s="236"/>
      <c r="H744" s="236"/>
      <c r="I744" s="236"/>
      <c r="J744" s="236"/>
      <c r="K744" s="236">
        <v>590467</v>
      </c>
      <c r="L744" s="236">
        <v>598764</v>
      </c>
      <c r="M744" s="236">
        <v>615126</v>
      </c>
      <c r="N744" s="236">
        <v>686030</v>
      </c>
      <c r="O744" s="236"/>
      <c r="P744" s="237"/>
      <c r="Q744" s="223">
        <f t="shared" si="804"/>
        <v>686030</v>
      </c>
      <c r="R744" s="147">
        <f>Q744*$R$9</f>
        <v>100160.37999999999</v>
      </c>
      <c r="S744" s="147">
        <f t="shared" si="805"/>
        <v>274.41199999999998</v>
      </c>
      <c r="T744" s="148">
        <f>S744*$T$5*$T$9</f>
        <v>70112.265999999989</v>
      </c>
      <c r="U744" s="420"/>
      <c r="V744" s="407"/>
      <c r="W744" s="222"/>
      <c r="X744" s="222"/>
      <c r="Y744" s="408"/>
      <c r="Z744" s="409"/>
      <c r="AA744" s="409"/>
      <c r="AB744" s="410"/>
      <c r="AC744" s="155"/>
      <c r="AD744" s="156"/>
      <c r="AE744" s="156"/>
      <c r="AF744" s="156"/>
      <c r="AG744" s="156"/>
      <c r="AH744" s="156"/>
      <c r="AI744" s="156"/>
      <c r="AJ744" s="156"/>
      <c r="AK744" s="156"/>
      <c r="AL744" s="156"/>
      <c r="AM744" s="157">
        <f t="shared" si="806"/>
        <v>0</v>
      </c>
      <c r="AN744" s="158">
        <f t="shared" si="807"/>
        <v>4000</v>
      </c>
      <c r="AO744" s="159">
        <v>0.2</v>
      </c>
      <c r="AP744" s="160">
        <f t="shared" si="808"/>
        <v>0</v>
      </c>
      <c r="AQ744" s="161">
        <f t="shared" si="809"/>
        <v>0</v>
      </c>
      <c r="AR744" s="162">
        <f t="shared" si="810"/>
        <v>0</v>
      </c>
      <c r="AS744" s="163"/>
      <c r="AT744" s="164"/>
      <c r="AU744" s="165"/>
      <c r="AV744" s="166"/>
      <c r="AW744" s="167"/>
      <c r="AX744" s="146">
        <f t="shared" si="811"/>
        <v>0</v>
      </c>
      <c r="AY744" s="168"/>
    </row>
    <row r="745" spans="1:51" ht="10.9" hidden="1" customHeight="1" x14ac:dyDescent="0.25">
      <c r="B745" s="140">
        <v>7</v>
      </c>
      <c r="C745" s="63" t="s">
        <v>150</v>
      </c>
      <c r="D745" s="235"/>
      <c r="E745" s="236"/>
      <c r="F745" s="236"/>
      <c r="G745" s="236"/>
      <c r="H745" s="236"/>
      <c r="I745" s="236"/>
      <c r="J745" s="236"/>
      <c r="K745" s="236">
        <v>383417</v>
      </c>
      <c r="L745" s="236">
        <v>398089</v>
      </c>
      <c r="M745" s="236">
        <v>413056</v>
      </c>
      <c r="N745" s="236">
        <v>475011</v>
      </c>
      <c r="O745" s="236"/>
      <c r="P745" s="237"/>
      <c r="Q745" s="223">
        <f t="shared" si="804"/>
        <v>475011</v>
      </c>
      <c r="R745" s="147">
        <f>Q745*$R$10</f>
        <v>52251.21</v>
      </c>
      <c r="S745" s="147">
        <f t="shared" si="805"/>
        <v>143.154</v>
      </c>
      <c r="T745" s="148">
        <f>S745*$T$5*$T$10</f>
        <v>31350.725999999999</v>
      </c>
      <c r="U745" s="420"/>
      <c r="V745" s="407"/>
      <c r="W745" s="222"/>
      <c r="X745" s="222"/>
      <c r="Y745" s="408"/>
      <c r="Z745" s="409"/>
      <c r="AA745" s="409"/>
      <c r="AB745" s="410"/>
      <c r="AC745" s="155"/>
      <c r="AD745" s="156"/>
      <c r="AE745" s="156"/>
      <c r="AF745" s="156"/>
      <c r="AG745" s="156"/>
      <c r="AH745" s="156"/>
      <c r="AI745" s="156"/>
      <c r="AJ745" s="156"/>
      <c r="AK745" s="156"/>
      <c r="AL745" s="156"/>
      <c r="AM745" s="157">
        <f t="shared" si="806"/>
        <v>0</v>
      </c>
      <c r="AN745" s="158">
        <f t="shared" si="807"/>
        <v>4000</v>
      </c>
      <c r="AO745" s="159">
        <v>0.2</v>
      </c>
      <c r="AP745" s="160">
        <f t="shared" si="808"/>
        <v>0</v>
      </c>
      <c r="AQ745" s="161">
        <f t="shared" si="809"/>
        <v>0</v>
      </c>
      <c r="AR745" s="162">
        <f t="shared" si="810"/>
        <v>0</v>
      </c>
      <c r="AS745" s="163"/>
      <c r="AT745" s="164"/>
      <c r="AU745" s="165"/>
      <c r="AV745" s="166"/>
      <c r="AW745" s="167"/>
      <c r="AX745" s="146">
        <f t="shared" si="811"/>
        <v>0</v>
      </c>
      <c r="AY745" s="168"/>
    </row>
    <row r="746" spans="1:51" ht="10.9" hidden="1" customHeight="1" x14ac:dyDescent="0.25">
      <c r="B746" s="140">
        <v>8</v>
      </c>
      <c r="C746" s="258" t="s">
        <v>151</v>
      </c>
      <c r="D746" s="235"/>
      <c r="E746" s="236"/>
      <c r="F746" s="236"/>
      <c r="G746" s="236"/>
      <c r="H746" s="236"/>
      <c r="I746" s="236"/>
      <c r="J746" s="236"/>
      <c r="K746" s="236">
        <v>738996</v>
      </c>
      <c r="L746" s="236">
        <v>747797</v>
      </c>
      <c r="M746" s="236">
        <v>551880</v>
      </c>
      <c r="N746" s="236">
        <v>498384</v>
      </c>
      <c r="O746" s="236"/>
      <c r="P746" s="237"/>
      <c r="Q746" s="304">
        <f t="shared" si="804"/>
        <v>747797</v>
      </c>
      <c r="R746" s="147">
        <f>Q746*$R$9</f>
        <v>109178.36199999999</v>
      </c>
      <c r="S746" s="147">
        <f t="shared" si="805"/>
        <v>299.11879999999996</v>
      </c>
      <c r="T746" s="148">
        <f>S746*$T$5*$T$9</f>
        <v>76424.853399999993</v>
      </c>
      <c r="U746" s="420"/>
      <c r="V746" s="407"/>
      <c r="W746" s="222"/>
      <c r="X746" s="222"/>
      <c r="Y746" s="408"/>
      <c r="Z746" s="409"/>
      <c r="AA746" s="409"/>
      <c r="AB746" s="410"/>
      <c r="AC746" s="155"/>
      <c r="AD746" s="156"/>
      <c r="AE746" s="156"/>
      <c r="AF746" s="156"/>
      <c r="AG746" s="156"/>
      <c r="AH746" s="156"/>
      <c r="AI746" s="156"/>
      <c r="AJ746" s="156"/>
      <c r="AK746" s="156"/>
      <c r="AL746" s="156"/>
      <c r="AM746" s="157">
        <f t="shared" si="806"/>
        <v>0</v>
      </c>
      <c r="AN746" s="158">
        <f t="shared" si="807"/>
        <v>4000</v>
      </c>
      <c r="AO746" s="159">
        <v>0.2</v>
      </c>
      <c r="AP746" s="160">
        <f t="shared" si="808"/>
        <v>0</v>
      </c>
      <c r="AQ746" s="161">
        <f t="shared" si="809"/>
        <v>0</v>
      </c>
      <c r="AR746" s="162">
        <f t="shared" si="810"/>
        <v>0</v>
      </c>
      <c r="AS746" s="163"/>
      <c r="AT746" s="233"/>
      <c r="AU746" s="187"/>
      <c r="AV746" s="166"/>
      <c r="AW746" s="167"/>
      <c r="AX746" s="146">
        <f t="shared" si="811"/>
        <v>0</v>
      </c>
      <c r="AY746" s="168"/>
    </row>
    <row r="747" spans="1:51" ht="10.9" hidden="1" customHeight="1" x14ac:dyDescent="0.25">
      <c r="B747" s="140"/>
      <c r="C747" s="258"/>
      <c r="D747" s="235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7"/>
      <c r="Q747" s="304"/>
      <c r="R747" s="231"/>
      <c r="S747" s="429"/>
      <c r="T747" s="146"/>
      <c r="U747" s="420" t="s">
        <v>655</v>
      </c>
      <c r="V747" s="407"/>
      <c r="W747" s="222"/>
      <c r="X747" s="222"/>
      <c r="Y747" s="408"/>
      <c r="Z747" s="409"/>
      <c r="AA747" s="409"/>
      <c r="AB747" s="410"/>
      <c r="AC747" s="155"/>
      <c r="AD747" s="156"/>
      <c r="AE747" s="156"/>
      <c r="AF747" s="156"/>
      <c r="AG747" s="156"/>
      <c r="AH747" s="156"/>
      <c r="AI747" s="156"/>
      <c r="AJ747" s="156"/>
      <c r="AK747" s="156"/>
      <c r="AL747" s="156"/>
      <c r="AM747" s="157"/>
      <c r="AN747" s="158"/>
      <c r="AO747" s="159"/>
      <c r="AP747" s="160"/>
      <c r="AQ747" s="161"/>
      <c r="AR747" s="162"/>
      <c r="AS747" s="163"/>
      <c r="AT747" s="233"/>
      <c r="AU747" s="187"/>
      <c r="AV747" s="166"/>
      <c r="AW747" s="167"/>
      <c r="AX747" s="146"/>
      <c r="AY747" s="168"/>
    </row>
    <row r="748" spans="1:51" ht="10.9" hidden="1" customHeight="1" x14ac:dyDescent="0.25">
      <c r="B748" s="140">
        <v>9</v>
      </c>
      <c r="C748" s="63" t="s">
        <v>152</v>
      </c>
      <c r="D748" s="235"/>
      <c r="E748" s="236"/>
      <c r="F748" s="236"/>
      <c r="G748" s="236"/>
      <c r="H748" s="236"/>
      <c r="I748" s="236"/>
      <c r="J748" s="236"/>
      <c r="K748" s="236">
        <v>511000</v>
      </c>
      <c r="L748" s="236">
        <v>551402</v>
      </c>
      <c r="M748" s="236">
        <v>565558</v>
      </c>
      <c r="N748" s="236">
        <v>552433</v>
      </c>
      <c r="O748" s="236"/>
      <c r="P748" s="237"/>
      <c r="Q748" s="223">
        <f t="shared" si="804"/>
        <v>565558</v>
      </c>
      <c r="R748" s="147">
        <f>Q748*$R$9</f>
        <v>82571.467999999993</v>
      </c>
      <c r="S748" s="147">
        <f>R748/$S$5</f>
        <v>226.22319999999999</v>
      </c>
      <c r="T748" s="148">
        <f>S748*$T$5*$T$9</f>
        <v>57800.027599999994</v>
      </c>
      <c r="U748" s="420"/>
      <c r="V748" s="407"/>
      <c r="W748" s="222"/>
      <c r="X748" s="222"/>
      <c r="Y748" s="408"/>
      <c r="Z748" s="409"/>
      <c r="AA748" s="409"/>
      <c r="AB748" s="410"/>
      <c r="AC748" s="155"/>
      <c r="AD748" s="156"/>
      <c r="AE748" s="156"/>
      <c r="AF748" s="156"/>
      <c r="AG748" s="156"/>
      <c r="AH748" s="156"/>
      <c r="AI748" s="156"/>
      <c r="AJ748" s="156"/>
      <c r="AK748" s="156"/>
      <c r="AL748" s="156"/>
      <c r="AM748" s="157">
        <f t="shared" si="806"/>
        <v>0</v>
      </c>
      <c r="AN748" s="158">
        <f t="shared" si="807"/>
        <v>4000</v>
      </c>
      <c r="AO748" s="159">
        <v>0.2</v>
      </c>
      <c r="AP748" s="160">
        <f t="shared" ref="AP748:AP753" si="812">AM748*AN748*$AP$5</f>
        <v>0</v>
      </c>
      <c r="AQ748" s="161">
        <f t="shared" ref="AQ748:AQ753" si="813">AP748*$AQ$5</f>
        <v>0</v>
      </c>
      <c r="AR748" s="162">
        <f t="shared" ref="AR748:AR753" si="814">AQ748*$AR$5</f>
        <v>0</v>
      </c>
      <c r="AS748" s="163"/>
      <c r="AT748" s="164"/>
      <c r="AU748" s="165"/>
      <c r="AV748" s="166"/>
      <c r="AW748" s="167"/>
      <c r="AX748" s="146">
        <f t="shared" si="811"/>
        <v>0</v>
      </c>
      <c r="AY748" s="168"/>
    </row>
    <row r="749" spans="1:51" ht="10.9" hidden="1" customHeight="1" x14ac:dyDescent="0.25">
      <c r="B749" s="140">
        <v>10</v>
      </c>
      <c r="C749" s="63" t="s">
        <v>153</v>
      </c>
      <c r="D749" s="235"/>
      <c r="E749" s="236"/>
      <c r="F749" s="236"/>
      <c r="G749" s="236"/>
      <c r="H749" s="236"/>
      <c r="I749" s="236"/>
      <c r="J749" s="236"/>
      <c r="K749" s="236"/>
      <c r="L749" s="236"/>
      <c r="M749" s="236">
        <v>204335</v>
      </c>
      <c r="N749" s="236">
        <v>176371</v>
      </c>
      <c r="O749" s="236"/>
      <c r="P749" s="237"/>
      <c r="Q749" s="223">
        <f t="shared" si="804"/>
        <v>204335</v>
      </c>
      <c r="R749" s="147">
        <f>Q749*$R$10</f>
        <v>22476.85</v>
      </c>
      <c r="S749" s="147">
        <f>R749/$S$5</f>
        <v>61.580410958904103</v>
      </c>
      <c r="T749" s="148">
        <f>S749*$T$5*$T$10</f>
        <v>13486.109999999999</v>
      </c>
      <c r="U749" s="420"/>
      <c r="V749" s="407"/>
      <c r="W749" s="222"/>
      <c r="X749" s="222"/>
      <c r="Y749" s="408"/>
      <c r="Z749" s="409"/>
      <c r="AA749" s="409"/>
      <c r="AB749" s="410"/>
      <c r="AC749" s="155"/>
      <c r="AD749" s="156"/>
      <c r="AE749" s="156"/>
      <c r="AF749" s="156"/>
      <c r="AG749" s="156"/>
      <c r="AH749" s="156"/>
      <c r="AI749" s="156"/>
      <c r="AJ749" s="156"/>
      <c r="AK749" s="156"/>
      <c r="AL749" s="156"/>
      <c r="AM749" s="157">
        <f t="shared" si="806"/>
        <v>0</v>
      </c>
      <c r="AN749" s="158">
        <f t="shared" si="807"/>
        <v>4000</v>
      </c>
      <c r="AO749" s="159">
        <v>0.2</v>
      </c>
      <c r="AP749" s="160">
        <f t="shared" si="812"/>
        <v>0</v>
      </c>
      <c r="AQ749" s="161">
        <f t="shared" si="813"/>
        <v>0</v>
      </c>
      <c r="AR749" s="162">
        <f t="shared" si="814"/>
        <v>0</v>
      </c>
      <c r="AS749" s="163"/>
      <c r="AT749" s="164"/>
      <c r="AU749" s="165"/>
      <c r="AV749" s="166"/>
      <c r="AW749" s="167"/>
      <c r="AX749" s="146">
        <f t="shared" si="811"/>
        <v>0</v>
      </c>
      <c r="AY749" s="168"/>
    </row>
    <row r="750" spans="1:51" ht="10.9" hidden="1" customHeight="1" x14ac:dyDescent="0.25">
      <c r="B750" s="140">
        <v>11</v>
      </c>
      <c r="C750" s="258" t="s">
        <v>154</v>
      </c>
      <c r="D750" s="235"/>
      <c r="E750" s="236"/>
      <c r="F750" s="236"/>
      <c r="G750" s="236"/>
      <c r="H750" s="236"/>
      <c r="I750" s="236"/>
      <c r="J750" s="236"/>
      <c r="K750" s="236">
        <v>779899</v>
      </c>
      <c r="L750" s="236">
        <v>785380</v>
      </c>
      <c r="M750" s="236">
        <v>802788</v>
      </c>
      <c r="N750" s="236">
        <v>903902</v>
      </c>
      <c r="O750" s="236"/>
      <c r="P750" s="237"/>
      <c r="Q750" s="304">
        <f t="shared" si="804"/>
        <v>903902</v>
      </c>
      <c r="R750" s="147">
        <f>Q750*$R$9</f>
        <v>131969.69199999998</v>
      </c>
      <c r="S750" s="147">
        <f>R750/$S$5</f>
        <v>361.56079999999997</v>
      </c>
      <c r="T750" s="148">
        <f>S750*$T$5*$T$9</f>
        <v>92378.784399999975</v>
      </c>
      <c r="U750" s="420"/>
      <c r="V750" s="407"/>
      <c r="W750" s="222"/>
      <c r="X750" s="222"/>
      <c r="Y750" s="408"/>
      <c r="Z750" s="409"/>
      <c r="AA750" s="409"/>
      <c r="AB750" s="410"/>
      <c r="AC750" s="155"/>
      <c r="AD750" s="156"/>
      <c r="AE750" s="156"/>
      <c r="AF750" s="156"/>
      <c r="AG750" s="156"/>
      <c r="AH750" s="156"/>
      <c r="AI750" s="156"/>
      <c r="AJ750" s="156"/>
      <c r="AK750" s="156"/>
      <c r="AL750" s="156"/>
      <c r="AM750" s="157">
        <f t="shared" si="806"/>
        <v>0</v>
      </c>
      <c r="AN750" s="158">
        <f t="shared" si="807"/>
        <v>4000</v>
      </c>
      <c r="AO750" s="159">
        <v>0.2</v>
      </c>
      <c r="AP750" s="160">
        <f t="shared" si="812"/>
        <v>0</v>
      </c>
      <c r="AQ750" s="161">
        <f t="shared" si="813"/>
        <v>0</v>
      </c>
      <c r="AR750" s="162">
        <f t="shared" si="814"/>
        <v>0</v>
      </c>
      <c r="AS750" s="163"/>
      <c r="AT750" s="233"/>
      <c r="AU750" s="187"/>
      <c r="AV750" s="166"/>
      <c r="AW750" s="167"/>
      <c r="AX750" s="146">
        <f t="shared" si="811"/>
        <v>0</v>
      </c>
      <c r="AY750" s="168"/>
    </row>
    <row r="751" spans="1:51" ht="10.9" hidden="1" customHeight="1" x14ac:dyDescent="0.25">
      <c r="B751" s="140"/>
      <c r="C751" s="258"/>
      <c r="D751" s="235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7"/>
      <c r="Q751" s="223"/>
      <c r="R751" s="167"/>
      <c r="S751" s="147"/>
      <c r="T751" s="146"/>
      <c r="U751" s="420" t="s">
        <v>656</v>
      </c>
      <c r="V751" s="407">
        <v>7</v>
      </c>
      <c r="W751" s="222">
        <f>300*365</f>
        <v>109500</v>
      </c>
      <c r="X751" s="222"/>
      <c r="Y751" s="408" t="s">
        <v>657</v>
      </c>
      <c r="Z751" s="409" t="s">
        <v>647</v>
      </c>
      <c r="AA751" s="409"/>
      <c r="AB751" s="410" t="s">
        <v>647</v>
      </c>
      <c r="AC751" s="411">
        <f>W751*53%</f>
        <v>58035</v>
      </c>
      <c r="AD751" s="412">
        <f>W751*25%</f>
        <v>27375</v>
      </c>
      <c r="AE751" s="412">
        <f>W751*9%</f>
        <v>9855</v>
      </c>
      <c r="AF751" s="412">
        <f>W751*5%</f>
        <v>5475</v>
      </c>
      <c r="AG751" s="412">
        <f>W751*3%</f>
        <v>3285</v>
      </c>
      <c r="AH751" s="412">
        <f>W751*1%</f>
        <v>1095</v>
      </c>
      <c r="AI751" s="412">
        <f>W751*1%</f>
        <v>1095</v>
      </c>
      <c r="AJ751" s="412">
        <f>W751*1%</f>
        <v>1095</v>
      </c>
      <c r="AK751" s="412">
        <f>W751*4%</f>
        <v>4380</v>
      </c>
      <c r="AL751" s="412">
        <f>W751*0.3%</f>
        <v>328.5</v>
      </c>
      <c r="AM751" s="413">
        <f>SUM(AD751:AI751)</f>
        <v>48180</v>
      </c>
      <c r="AN751" s="158">
        <f t="shared" si="807"/>
        <v>4000</v>
      </c>
      <c r="AO751" s="159">
        <v>0.2</v>
      </c>
      <c r="AP751" s="160">
        <f t="shared" si="812"/>
        <v>806880096</v>
      </c>
      <c r="AQ751" s="161">
        <f t="shared" si="813"/>
        <v>224133.37793066879</v>
      </c>
      <c r="AR751" s="162">
        <f t="shared" si="814"/>
        <v>44826.675586133759</v>
      </c>
      <c r="AS751" s="163"/>
      <c r="AT751" s="233"/>
      <c r="AU751" s="187">
        <v>0.5</v>
      </c>
      <c r="AV751" s="414">
        <f>AR751/$AV$5</f>
        <v>6.3965005117200002</v>
      </c>
      <c r="AW751" s="415">
        <f>AV751</f>
        <v>6.3965005117200002</v>
      </c>
      <c r="AX751" s="146">
        <f t="shared" si="811"/>
        <v>6.8965005117200002</v>
      </c>
      <c r="AY751" s="168"/>
    </row>
    <row r="752" spans="1:51" ht="10.9" hidden="1" customHeight="1" x14ac:dyDescent="0.25">
      <c r="B752" s="140">
        <v>12</v>
      </c>
      <c r="C752" s="63" t="s">
        <v>155</v>
      </c>
      <c r="D752" s="235"/>
      <c r="E752" s="236"/>
      <c r="F752" s="236"/>
      <c r="G752" s="236"/>
      <c r="H752" s="236"/>
      <c r="I752" s="236"/>
      <c r="J752" s="236"/>
      <c r="K752" s="236">
        <v>231121</v>
      </c>
      <c r="L752" s="236">
        <v>236778</v>
      </c>
      <c r="M752" s="236">
        <v>242417</v>
      </c>
      <c r="N752" s="236">
        <v>254337</v>
      </c>
      <c r="O752" s="236"/>
      <c r="P752" s="237"/>
      <c r="Q752" s="223">
        <f t="shared" si="804"/>
        <v>254337</v>
      </c>
      <c r="R752" s="147">
        <f>Q752*$R$10</f>
        <v>27977.07</v>
      </c>
      <c r="S752" s="147">
        <f>R752/$S$5</f>
        <v>76.649506849315074</v>
      </c>
      <c r="T752" s="148">
        <f>S752*$T$5*$T$10</f>
        <v>16786.242000000002</v>
      </c>
      <c r="U752" s="420"/>
      <c r="V752" s="407"/>
      <c r="W752" s="222"/>
      <c r="X752" s="222"/>
      <c r="Y752" s="408"/>
      <c r="Z752" s="409"/>
      <c r="AA752" s="409"/>
      <c r="AB752" s="410"/>
      <c r="AC752" s="155"/>
      <c r="AD752" s="156"/>
      <c r="AE752" s="156"/>
      <c r="AF752" s="156"/>
      <c r="AG752" s="156"/>
      <c r="AH752" s="156"/>
      <c r="AI752" s="156"/>
      <c r="AJ752" s="156"/>
      <c r="AK752" s="156"/>
      <c r="AL752" s="156"/>
      <c r="AM752" s="157">
        <f t="shared" si="806"/>
        <v>0</v>
      </c>
      <c r="AN752" s="158">
        <f t="shared" si="807"/>
        <v>4000</v>
      </c>
      <c r="AO752" s="159">
        <v>0.2</v>
      </c>
      <c r="AP752" s="160">
        <f t="shared" si="812"/>
        <v>0</v>
      </c>
      <c r="AQ752" s="161">
        <f t="shared" si="813"/>
        <v>0</v>
      </c>
      <c r="AR752" s="162">
        <f t="shared" si="814"/>
        <v>0</v>
      </c>
      <c r="AS752" s="163"/>
      <c r="AT752" s="164"/>
      <c r="AU752" s="165"/>
      <c r="AV752" s="166"/>
      <c r="AW752" s="167"/>
      <c r="AX752" s="146">
        <f t="shared" si="811"/>
        <v>0</v>
      </c>
      <c r="AY752" s="168"/>
    </row>
    <row r="753" spans="1:51" ht="10.9" hidden="1" customHeight="1" x14ac:dyDescent="0.25">
      <c r="B753" s="140"/>
      <c r="C753" s="63"/>
      <c r="D753" s="235"/>
      <c r="E753" s="300"/>
      <c r="F753" s="300"/>
      <c r="G753" s="300"/>
      <c r="H753" s="300"/>
      <c r="I753" s="300"/>
      <c r="J753" s="300"/>
      <c r="K753" s="300"/>
      <c r="L753" s="300"/>
      <c r="M753" s="300"/>
      <c r="N753" s="300"/>
      <c r="O753" s="300"/>
      <c r="P753" s="427"/>
      <c r="Q753" s="166"/>
      <c r="R753" s="167"/>
      <c r="S753" s="167"/>
      <c r="T753" s="428"/>
      <c r="U753" s="420" t="s">
        <v>658</v>
      </c>
      <c r="V753" s="407">
        <v>5</v>
      </c>
      <c r="W753" s="430">
        <f>(144*0.25)*365</f>
        <v>13140</v>
      </c>
      <c r="X753" s="430"/>
      <c r="Y753" s="427"/>
      <c r="Z753" s="431"/>
      <c r="AA753" s="431"/>
      <c r="AB753" s="432"/>
      <c r="AC753" s="411">
        <f>W753*52%</f>
        <v>6832.8</v>
      </c>
      <c r="AD753" s="412">
        <f>W753*25%</f>
        <v>3285</v>
      </c>
      <c r="AE753" s="412">
        <f>W753*9%</f>
        <v>1182.5999999999999</v>
      </c>
      <c r="AF753" s="412">
        <f>W753*5%</f>
        <v>657</v>
      </c>
      <c r="AG753" s="412">
        <f>W753*3%</f>
        <v>394.2</v>
      </c>
      <c r="AH753" s="412">
        <f>W753*1%</f>
        <v>131.4</v>
      </c>
      <c r="AI753" s="412">
        <f>W753*2%</f>
        <v>262.8</v>
      </c>
      <c r="AJ753" s="412">
        <f>W753*1%</f>
        <v>131.4</v>
      </c>
      <c r="AK753" s="412">
        <f>W753*4%</f>
        <v>525.6</v>
      </c>
      <c r="AL753" s="412">
        <f>W753*1%</f>
        <v>131.4</v>
      </c>
      <c r="AM753" s="413">
        <f>SUM(AD753:AI753)</f>
        <v>5913</v>
      </c>
      <c r="AN753" s="158">
        <f t="shared" si="807"/>
        <v>4000</v>
      </c>
      <c r="AO753" s="159">
        <v>0.2</v>
      </c>
      <c r="AP753" s="160">
        <f t="shared" si="812"/>
        <v>99026193.599999994</v>
      </c>
      <c r="AQ753" s="161">
        <f t="shared" si="813"/>
        <v>27507.278200582077</v>
      </c>
      <c r="AR753" s="162">
        <f t="shared" si="814"/>
        <v>5501.4556401164155</v>
      </c>
      <c r="AS753" s="163"/>
      <c r="AT753" s="233"/>
      <c r="AU753" s="187"/>
      <c r="AV753" s="414">
        <f>AR753/$AV$5</f>
        <v>0.78502506280199991</v>
      </c>
      <c r="AW753" s="415"/>
      <c r="AX753" s="146">
        <f>SUM(AU753:AV753)</f>
        <v>0.78502506280199991</v>
      </c>
      <c r="AY753" s="168"/>
    </row>
    <row r="754" spans="1:51" s="263" customFormat="1" ht="17.25" hidden="1" customHeight="1" x14ac:dyDescent="0.25">
      <c r="A754" s="173"/>
      <c r="B754" s="225"/>
      <c r="C754" s="258" t="s">
        <v>156</v>
      </c>
      <c r="D754" s="240">
        <f t="shared" ref="D754:S754" si="815">SUM(D739:D753)</f>
        <v>0</v>
      </c>
      <c r="E754" s="240">
        <f t="shared" si="815"/>
        <v>0</v>
      </c>
      <c r="F754" s="240">
        <f t="shared" si="815"/>
        <v>0</v>
      </c>
      <c r="G754" s="240">
        <f t="shared" si="815"/>
        <v>0</v>
      </c>
      <c r="H754" s="240">
        <f t="shared" si="815"/>
        <v>0</v>
      </c>
      <c r="I754" s="240">
        <f t="shared" si="815"/>
        <v>0</v>
      </c>
      <c r="J754" s="240">
        <f t="shared" si="815"/>
        <v>0</v>
      </c>
      <c r="K754" s="240">
        <f t="shared" si="815"/>
        <v>5070952</v>
      </c>
      <c r="L754" s="240">
        <f t="shared" si="815"/>
        <v>5189154</v>
      </c>
      <c r="M754" s="240">
        <f t="shared" si="815"/>
        <v>5306533</v>
      </c>
      <c r="N754" s="240">
        <f t="shared" si="815"/>
        <v>5543031</v>
      </c>
      <c r="O754" s="240">
        <f t="shared" si="815"/>
        <v>0</v>
      </c>
      <c r="P754" s="240">
        <f t="shared" si="815"/>
        <v>0</v>
      </c>
      <c r="Q754" s="240">
        <f t="shared" si="815"/>
        <v>5854582</v>
      </c>
      <c r="R754" s="240">
        <f t="shared" si="815"/>
        <v>773123.09599999979</v>
      </c>
      <c r="S754" s="240">
        <f t="shared" si="815"/>
        <v>2118.1454684931505</v>
      </c>
      <c r="T754" s="240">
        <f>SUM(T739:T753)</f>
        <v>516238.81619999994</v>
      </c>
      <c r="U754" s="240">
        <f t="shared" ref="U754:AX754" si="816">SUM(U739:U753)</f>
        <v>0</v>
      </c>
      <c r="V754" s="240">
        <f t="shared" si="816"/>
        <v>12</v>
      </c>
      <c r="W754" s="240">
        <f t="shared" si="816"/>
        <v>122640</v>
      </c>
      <c r="X754" s="240">
        <f t="shared" si="816"/>
        <v>0</v>
      </c>
      <c r="Y754" s="240">
        <f t="shared" si="816"/>
        <v>0</v>
      </c>
      <c r="Z754" s="240">
        <f t="shared" si="816"/>
        <v>0</v>
      </c>
      <c r="AA754" s="240">
        <f t="shared" si="816"/>
        <v>0</v>
      </c>
      <c r="AB754" s="240">
        <f t="shared" si="816"/>
        <v>0</v>
      </c>
      <c r="AC754" s="240">
        <f t="shared" si="816"/>
        <v>64867.8</v>
      </c>
      <c r="AD754" s="240">
        <f t="shared" si="816"/>
        <v>30660</v>
      </c>
      <c r="AE754" s="240">
        <f t="shared" si="816"/>
        <v>11037.6</v>
      </c>
      <c r="AF754" s="240">
        <f t="shared" si="816"/>
        <v>6132</v>
      </c>
      <c r="AG754" s="240">
        <f t="shared" si="816"/>
        <v>3679.2</v>
      </c>
      <c r="AH754" s="240">
        <f t="shared" si="816"/>
        <v>1226.4000000000001</v>
      </c>
      <c r="AI754" s="240">
        <f t="shared" si="816"/>
        <v>1357.8</v>
      </c>
      <c r="AJ754" s="240">
        <f t="shared" si="816"/>
        <v>1226.4000000000001</v>
      </c>
      <c r="AK754" s="240">
        <f t="shared" si="816"/>
        <v>4905.6000000000004</v>
      </c>
      <c r="AL754" s="240">
        <f t="shared" si="816"/>
        <v>459.9</v>
      </c>
      <c r="AM754" s="240">
        <f t="shared" si="816"/>
        <v>54093</v>
      </c>
      <c r="AN754" s="240"/>
      <c r="AO754" s="240"/>
      <c r="AP754" s="240">
        <f t="shared" si="816"/>
        <v>905906289.60000002</v>
      </c>
      <c r="AQ754" s="240">
        <f t="shared" si="816"/>
        <v>251640.65613125087</v>
      </c>
      <c r="AR754" s="240">
        <f t="shared" si="816"/>
        <v>50328.131226250174</v>
      </c>
      <c r="AS754" s="240">
        <f t="shared" si="816"/>
        <v>0</v>
      </c>
      <c r="AT754" s="240">
        <f t="shared" si="816"/>
        <v>0</v>
      </c>
      <c r="AU754" s="240">
        <f t="shared" si="816"/>
        <v>0.5</v>
      </c>
      <c r="AV754" s="240">
        <f t="shared" si="816"/>
        <v>7.1815255745220004</v>
      </c>
      <c r="AW754" s="240">
        <f t="shared" si="816"/>
        <v>6.3965005117200002</v>
      </c>
      <c r="AX754" s="240">
        <f t="shared" si="816"/>
        <v>7.6815255745220004</v>
      </c>
      <c r="AY754" s="189"/>
    </row>
    <row r="755" spans="1:51" s="139" customFormat="1" ht="10.9" hidden="1" customHeight="1" x14ac:dyDescent="0.25">
      <c r="B755" s="247"/>
      <c r="C755" s="152"/>
      <c r="D755" s="247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248"/>
      <c r="Q755" s="249"/>
      <c r="R755" s="250"/>
      <c r="S755" s="250"/>
      <c r="T755" s="251"/>
      <c r="U755" s="199"/>
      <c r="V755" s="179"/>
      <c r="W755" s="249"/>
      <c r="X755" s="249"/>
      <c r="Y755" s="152"/>
      <c r="Z755" s="153"/>
      <c r="AA755" s="153"/>
      <c r="AB755" s="154"/>
      <c r="AC755" s="247"/>
      <c r="AD755" s="252"/>
      <c r="AE755" s="252"/>
      <c r="AF755" s="252"/>
      <c r="AG755" s="252"/>
      <c r="AH755" s="252"/>
      <c r="AI755" s="252"/>
      <c r="AJ755" s="252"/>
      <c r="AK755" s="252"/>
      <c r="AL755" s="252"/>
      <c r="AM755" s="214"/>
      <c r="AN755" s="203"/>
      <c r="AO755" s="204"/>
      <c r="AP755" s="203"/>
      <c r="AQ755" s="205"/>
      <c r="AR755" s="206"/>
      <c r="AS755" s="253"/>
      <c r="AT755" s="254"/>
      <c r="AU755" s="255"/>
      <c r="AV755" s="256"/>
      <c r="AW755" s="257"/>
      <c r="AX755" s="214"/>
      <c r="AY755" s="212"/>
    </row>
    <row r="756" spans="1:51" s="139" customFormat="1" ht="15" hidden="1" customHeight="1" x14ac:dyDescent="0.25">
      <c r="A756" s="1"/>
      <c r="B756" s="120"/>
      <c r="C756" s="258" t="s">
        <v>157</v>
      </c>
      <c r="D756" s="122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213"/>
      <c r="Q756" s="76"/>
      <c r="R756" s="108"/>
      <c r="S756" s="108"/>
      <c r="T756" s="94"/>
      <c r="U756" s="120"/>
      <c r="V756" s="67"/>
      <c r="W756" s="123"/>
      <c r="X756" s="123"/>
      <c r="Y756" s="125"/>
      <c r="Z756" s="126"/>
      <c r="AA756" s="126"/>
      <c r="AB756" s="127"/>
      <c r="AC756" s="62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125"/>
      <c r="AN756" s="75"/>
      <c r="AO756" s="216"/>
      <c r="AP756" s="75"/>
      <c r="AQ756" s="51"/>
      <c r="AR756" s="259"/>
      <c r="AS756" s="218"/>
      <c r="AT756" s="219"/>
      <c r="AU756" s="220"/>
      <c r="AV756" s="135"/>
      <c r="AW756" s="136"/>
      <c r="AX756" s="137"/>
      <c r="AY756" s="138"/>
    </row>
    <row r="757" spans="1:51" ht="10.9" hidden="1" customHeight="1" x14ac:dyDescent="0.25">
      <c r="B757" s="140">
        <v>1</v>
      </c>
      <c r="C757" s="221" t="s">
        <v>158</v>
      </c>
      <c r="D757" s="235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>
        <v>223397</v>
      </c>
      <c r="P757" s="237"/>
      <c r="Q757" s="223">
        <f t="shared" ref="Q757:Q764" si="817">MAX(D757:P757)</f>
        <v>223397</v>
      </c>
      <c r="R757" s="147">
        <f t="shared" ref="R757:R762" si="818">Q757*$R$10</f>
        <v>24573.670000000002</v>
      </c>
      <c r="S757" s="147">
        <f t="shared" ref="S757:S762" si="819">R757/$S$5</f>
        <v>67.325123287671232</v>
      </c>
      <c r="T757" s="148">
        <f t="shared" ref="T757:T762" si="820">S757*$T$5*$T$10</f>
        <v>14744.201999999997</v>
      </c>
      <c r="U757" s="420"/>
      <c r="V757" s="407"/>
      <c r="W757" s="222"/>
      <c r="X757" s="222"/>
      <c r="Y757" s="408"/>
      <c r="Z757" s="409"/>
      <c r="AA757" s="409"/>
      <c r="AB757" s="410"/>
      <c r="AC757" s="155"/>
      <c r="AD757" s="156"/>
      <c r="AE757" s="156"/>
      <c r="AF757" s="156"/>
      <c r="AG757" s="156"/>
      <c r="AH757" s="156"/>
      <c r="AI757" s="156"/>
      <c r="AJ757" s="156"/>
      <c r="AK757" s="156"/>
      <c r="AL757" s="156"/>
      <c r="AM757" s="157">
        <f t="shared" ref="AM757:AM764" si="821">SUM(AD757:AI757)</f>
        <v>0</v>
      </c>
      <c r="AN757" s="158">
        <f t="shared" ref="AN757:AN765" si="822">$AN$641</f>
        <v>4000</v>
      </c>
      <c r="AO757" s="159">
        <v>0.2</v>
      </c>
      <c r="AP757" s="160">
        <f t="shared" ref="AP757:AP765" si="823">AM757*AN757*$AP$5</f>
        <v>0</v>
      </c>
      <c r="AQ757" s="161">
        <f t="shared" ref="AQ757:AQ765" si="824">AP757*$AQ$5</f>
        <v>0</v>
      </c>
      <c r="AR757" s="162">
        <f t="shared" ref="AR757:AR765" si="825">AQ757*$AR$5</f>
        <v>0</v>
      </c>
      <c r="AS757" s="163"/>
      <c r="AT757" s="164"/>
      <c r="AU757" s="165"/>
      <c r="AV757" s="166"/>
      <c r="AW757" s="167"/>
      <c r="AX757" s="146">
        <f>SUM(AU757:AV757)</f>
        <v>0</v>
      </c>
      <c r="AY757" s="168"/>
    </row>
    <row r="758" spans="1:51" ht="10.9" hidden="1" customHeight="1" x14ac:dyDescent="0.25">
      <c r="B758" s="140">
        <v>2</v>
      </c>
      <c r="C758" s="221" t="s">
        <v>159</v>
      </c>
      <c r="D758" s="235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>
        <v>149554</v>
      </c>
      <c r="P758" s="237"/>
      <c r="Q758" s="223">
        <f t="shared" si="817"/>
        <v>149554</v>
      </c>
      <c r="R758" s="147">
        <f t="shared" si="818"/>
        <v>16450.939999999999</v>
      </c>
      <c r="S758" s="147">
        <f t="shared" si="819"/>
        <v>45.071068493150683</v>
      </c>
      <c r="T758" s="148">
        <f t="shared" si="820"/>
        <v>9870.5639999999985</v>
      </c>
      <c r="U758" s="420"/>
      <c r="V758" s="407"/>
      <c r="W758" s="222"/>
      <c r="X758" s="222"/>
      <c r="Y758" s="408"/>
      <c r="Z758" s="409"/>
      <c r="AA758" s="409"/>
      <c r="AB758" s="410"/>
      <c r="AC758" s="155"/>
      <c r="AD758" s="156"/>
      <c r="AE758" s="156"/>
      <c r="AF758" s="156"/>
      <c r="AG758" s="156"/>
      <c r="AH758" s="156"/>
      <c r="AI758" s="156"/>
      <c r="AJ758" s="156"/>
      <c r="AK758" s="156"/>
      <c r="AL758" s="156"/>
      <c r="AM758" s="157">
        <f t="shared" si="821"/>
        <v>0</v>
      </c>
      <c r="AN758" s="158">
        <f t="shared" si="822"/>
        <v>4000</v>
      </c>
      <c r="AO758" s="159">
        <v>0.2</v>
      </c>
      <c r="AP758" s="160">
        <f t="shared" si="823"/>
        <v>0</v>
      </c>
      <c r="AQ758" s="161">
        <f t="shared" si="824"/>
        <v>0</v>
      </c>
      <c r="AR758" s="162">
        <f t="shared" si="825"/>
        <v>0</v>
      </c>
      <c r="AS758" s="163"/>
      <c r="AT758" s="164"/>
      <c r="AU758" s="165"/>
      <c r="AV758" s="166"/>
      <c r="AW758" s="167"/>
      <c r="AX758" s="146">
        <f t="shared" ref="AX758:AX765" si="826">SUM(AU758:AV758)</f>
        <v>0</v>
      </c>
      <c r="AY758" s="168"/>
    </row>
    <row r="759" spans="1:51" ht="10.9" hidden="1" customHeight="1" x14ac:dyDescent="0.25">
      <c r="B759" s="140">
        <v>3</v>
      </c>
      <c r="C759" s="221" t="s">
        <v>160</v>
      </c>
      <c r="D759" s="235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>
        <v>72521</v>
      </c>
      <c r="P759" s="237"/>
      <c r="Q759" s="223">
        <f t="shared" si="817"/>
        <v>72521</v>
      </c>
      <c r="R759" s="147">
        <f t="shared" si="818"/>
        <v>7977.31</v>
      </c>
      <c r="S759" s="147">
        <f t="shared" si="819"/>
        <v>21.855643835616441</v>
      </c>
      <c r="T759" s="148">
        <f t="shared" si="820"/>
        <v>4786.3860000000004</v>
      </c>
      <c r="U759" s="420"/>
      <c r="V759" s="407"/>
      <c r="W759" s="222"/>
      <c r="X759" s="222"/>
      <c r="Y759" s="408"/>
      <c r="Z759" s="409"/>
      <c r="AA759" s="409"/>
      <c r="AB759" s="410"/>
      <c r="AC759" s="155"/>
      <c r="AD759" s="156"/>
      <c r="AE759" s="156"/>
      <c r="AF759" s="156"/>
      <c r="AG759" s="156"/>
      <c r="AH759" s="156"/>
      <c r="AI759" s="156"/>
      <c r="AJ759" s="156"/>
      <c r="AK759" s="156"/>
      <c r="AL759" s="156"/>
      <c r="AM759" s="157">
        <f t="shared" si="821"/>
        <v>0</v>
      </c>
      <c r="AN759" s="158">
        <f t="shared" si="822"/>
        <v>4000</v>
      </c>
      <c r="AO759" s="159">
        <v>0.2</v>
      </c>
      <c r="AP759" s="160">
        <f t="shared" si="823"/>
        <v>0</v>
      </c>
      <c r="AQ759" s="161">
        <f t="shared" si="824"/>
        <v>0</v>
      </c>
      <c r="AR759" s="162">
        <f t="shared" si="825"/>
        <v>0</v>
      </c>
      <c r="AS759" s="163"/>
      <c r="AT759" s="164"/>
      <c r="AU759" s="165"/>
      <c r="AV759" s="166"/>
      <c r="AW759" s="167"/>
      <c r="AX759" s="146">
        <f t="shared" si="826"/>
        <v>0</v>
      </c>
      <c r="AY759" s="168"/>
    </row>
    <row r="760" spans="1:51" ht="10.9" hidden="1" customHeight="1" x14ac:dyDescent="0.25">
      <c r="B760" s="140">
        <v>4</v>
      </c>
      <c r="C760" s="221" t="s">
        <v>161</v>
      </c>
      <c r="D760" s="235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>
        <v>90641</v>
      </c>
      <c r="P760" s="237"/>
      <c r="Q760" s="223">
        <f t="shared" si="817"/>
        <v>90641</v>
      </c>
      <c r="R760" s="147">
        <f t="shared" si="818"/>
        <v>9970.51</v>
      </c>
      <c r="S760" s="147">
        <f t="shared" si="819"/>
        <v>27.316465753424659</v>
      </c>
      <c r="T760" s="148">
        <f t="shared" si="820"/>
        <v>5982.3059999999996</v>
      </c>
      <c r="U760" s="420"/>
      <c r="V760" s="407"/>
      <c r="W760" s="222"/>
      <c r="X760" s="222"/>
      <c r="Y760" s="408"/>
      <c r="Z760" s="409"/>
      <c r="AA760" s="409"/>
      <c r="AB760" s="410"/>
      <c r="AC760" s="155"/>
      <c r="AD760" s="156"/>
      <c r="AE760" s="156"/>
      <c r="AF760" s="156"/>
      <c r="AG760" s="156"/>
      <c r="AH760" s="156"/>
      <c r="AI760" s="156"/>
      <c r="AJ760" s="156"/>
      <c r="AK760" s="156"/>
      <c r="AL760" s="156"/>
      <c r="AM760" s="157">
        <f t="shared" si="821"/>
        <v>0</v>
      </c>
      <c r="AN760" s="158">
        <f t="shared" si="822"/>
        <v>4000</v>
      </c>
      <c r="AO760" s="159">
        <v>0.2</v>
      </c>
      <c r="AP760" s="160">
        <f t="shared" si="823"/>
        <v>0</v>
      </c>
      <c r="AQ760" s="161">
        <f t="shared" si="824"/>
        <v>0</v>
      </c>
      <c r="AR760" s="162">
        <f t="shared" si="825"/>
        <v>0</v>
      </c>
      <c r="AS760" s="163"/>
      <c r="AT760" s="164"/>
      <c r="AU760" s="165"/>
      <c r="AV760" s="166"/>
      <c r="AW760" s="167"/>
      <c r="AX760" s="146">
        <f t="shared" si="826"/>
        <v>0</v>
      </c>
      <c r="AY760" s="168"/>
    </row>
    <row r="761" spans="1:51" ht="10.9" hidden="1" customHeight="1" x14ac:dyDescent="0.25">
      <c r="B761" s="140">
        <v>5</v>
      </c>
      <c r="C761" s="221" t="s">
        <v>162</v>
      </c>
      <c r="D761" s="235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>
        <v>39318</v>
      </c>
      <c r="P761" s="237"/>
      <c r="Q761" s="223">
        <f t="shared" si="817"/>
        <v>39318</v>
      </c>
      <c r="R761" s="147">
        <f t="shared" si="818"/>
        <v>4324.9800000000005</v>
      </c>
      <c r="S761" s="147">
        <f t="shared" si="819"/>
        <v>11.849260273972604</v>
      </c>
      <c r="T761" s="148">
        <f t="shared" si="820"/>
        <v>2594.9880000000003</v>
      </c>
      <c r="U761" s="420"/>
      <c r="V761" s="407"/>
      <c r="W761" s="222"/>
      <c r="X761" s="222"/>
      <c r="Y761" s="408"/>
      <c r="Z761" s="409"/>
      <c r="AA761" s="409"/>
      <c r="AB761" s="410"/>
      <c r="AC761" s="155"/>
      <c r="AD761" s="156"/>
      <c r="AE761" s="156"/>
      <c r="AF761" s="156"/>
      <c r="AG761" s="156"/>
      <c r="AH761" s="156"/>
      <c r="AI761" s="156"/>
      <c r="AJ761" s="156"/>
      <c r="AK761" s="156"/>
      <c r="AL761" s="156"/>
      <c r="AM761" s="157">
        <f t="shared" si="821"/>
        <v>0</v>
      </c>
      <c r="AN761" s="158">
        <f t="shared" si="822"/>
        <v>4000</v>
      </c>
      <c r="AO761" s="159">
        <v>0.2</v>
      </c>
      <c r="AP761" s="160">
        <f t="shared" si="823"/>
        <v>0</v>
      </c>
      <c r="AQ761" s="161">
        <f t="shared" si="824"/>
        <v>0</v>
      </c>
      <c r="AR761" s="162">
        <f t="shared" si="825"/>
        <v>0</v>
      </c>
      <c r="AS761" s="163"/>
      <c r="AT761" s="164"/>
      <c r="AU761" s="165"/>
      <c r="AV761" s="166"/>
      <c r="AW761" s="167"/>
      <c r="AX761" s="146">
        <f t="shared" si="826"/>
        <v>0</v>
      </c>
      <c r="AY761" s="168"/>
    </row>
    <row r="762" spans="1:51" ht="10.9" hidden="1" customHeight="1" x14ac:dyDescent="0.25">
      <c r="B762" s="140">
        <v>6</v>
      </c>
      <c r="C762" s="221" t="s">
        <v>163</v>
      </c>
      <c r="D762" s="235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>
        <v>196910</v>
      </c>
      <c r="P762" s="237"/>
      <c r="Q762" s="223">
        <f t="shared" si="817"/>
        <v>196910</v>
      </c>
      <c r="R762" s="147">
        <f t="shared" si="818"/>
        <v>21660.1</v>
      </c>
      <c r="S762" s="147">
        <f t="shared" si="819"/>
        <v>59.342739726027396</v>
      </c>
      <c r="T762" s="148">
        <f t="shared" si="820"/>
        <v>12996.06</v>
      </c>
      <c r="U762" s="420"/>
      <c r="V762" s="407"/>
      <c r="W762" s="222"/>
      <c r="X762" s="222"/>
      <c r="Y762" s="408"/>
      <c r="Z762" s="409"/>
      <c r="AA762" s="409"/>
      <c r="AB762" s="410"/>
      <c r="AC762" s="155"/>
      <c r="AD762" s="156"/>
      <c r="AE762" s="156"/>
      <c r="AF762" s="156"/>
      <c r="AG762" s="156"/>
      <c r="AH762" s="156"/>
      <c r="AI762" s="156"/>
      <c r="AJ762" s="156"/>
      <c r="AK762" s="156"/>
      <c r="AL762" s="156"/>
      <c r="AM762" s="157">
        <f t="shared" si="821"/>
        <v>0</v>
      </c>
      <c r="AN762" s="158">
        <f t="shared" si="822"/>
        <v>4000</v>
      </c>
      <c r="AO762" s="159">
        <v>0.2</v>
      </c>
      <c r="AP762" s="160">
        <f t="shared" si="823"/>
        <v>0</v>
      </c>
      <c r="AQ762" s="161">
        <f t="shared" si="824"/>
        <v>0</v>
      </c>
      <c r="AR762" s="162">
        <f t="shared" si="825"/>
        <v>0</v>
      </c>
      <c r="AS762" s="163"/>
      <c r="AT762" s="164"/>
      <c r="AU762" s="165"/>
      <c r="AV762" s="166"/>
      <c r="AW762" s="167"/>
      <c r="AX762" s="146">
        <f t="shared" si="826"/>
        <v>0</v>
      </c>
      <c r="AY762" s="168"/>
    </row>
    <row r="763" spans="1:51" ht="10.9" hidden="1" customHeight="1" x14ac:dyDescent="0.25">
      <c r="B763" s="140"/>
      <c r="C763" s="221"/>
      <c r="D763" s="235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7"/>
      <c r="Q763" s="223"/>
      <c r="R763" s="147"/>
      <c r="S763" s="147"/>
      <c r="T763" s="148"/>
      <c r="U763" s="420" t="s">
        <v>659</v>
      </c>
      <c r="V763" s="407"/>
      <c r="W763" s="222">
        <f>(176*0.25)*365</f>
        <v>16060</v>
      </c>
      <c r="X763" s="222"/>
      <c r="Y763" s="408"/>
      <c r="Z763" s="409"/>
      <c r="AA763" s="409"/>
      <c r="AB763" s="410"/>
      <c r="AC763" s="411">
        <f>W763*52%</f>
        <v>8351.2000000000007</v>
      </c>
      <c r="AD763" s="412">
        <f>W763*25%</f>
        <v>4015</v>
      </c>
      <c r="AE763" s="412">
        <f>W763*9%</f>
        <v>1445.3999999999999</v>
      </c>
      <c r="AF763" s="412">
        <f>W763*5%</f>
        <v>803</v>
      </c>
      <c r="AG763" s="412">
        <f>W763*3%</f>
        <v>481.79999999999995</v>
      </c>
      <c r="AH763" s="412">
        <f>W763*1%</f>
        <v>160.6</v>
      </c>
      <c r="AI763" s="412">
        <f>W763*2%</f>
        <v>321.2</v>
      </c>
      <c r="AJ763" s="412">
        <f>W763*1%</f>
        <v>160.6</v>
      </c>
      <c r="AK763" s="412">
        <f>W763*4%</f>
        <v>642.4</v>
      </c>
      <c r="AL763" s="412">
        <f>W763*1%</f>
        <v>160.6</v>
      </c>
      <c r="AM763" s="413">
        <f>SUM(AD763:AI763)</f>
        <v>7227</v>
      </c>
      <c r="AN763" s="158">
        <f t="shared" si="822"/>
        <v>4000</v>
      </c>
      <c r="AO763" s="159">
        <v>0.2</v>
      </c>
      <c r="AP763" s="160">
        <f t="shared" si="823"/>
        <v>121032014.39999999</v>
      </c>
      <c r="AQ763" s="161">
        <f t="shared" si="824"/>
        <v>33620.006689600319</v>
      </c>
      <c r="AR763" s="162">
        <f t="shared" si="825"/>
        <v>6724.0013379200645</v>
      </c>
      <c r="AS763" s="163"/>
      <c r="AT763" s="233"/>
      <c r="AU763" s="187"/>
      <c r="AV763" s="414">
        <f>AR763/$AV$5</f>
        <v>0.95947507675800003</v>
      </c>
      <c r="AW763" s="415"/>
      <c r="AX763" s="146">
        <f>SUM(AU763:AV763)</f>
        <v>0.95947507675800003</v>
      </c>
      <c r="AY763" s="168"/>
    </row>
    <row r="764" spans="1:51" ht="10.9" hidden="1" customHeight="1" x14ac:dyDescent="0.25">
      <c r="B764" s="140">
        <v>7</v>
      </c>
      <c r="C764" s="238" t="s">
        <v>164</v>
      </c>
      <c r="D764" s="235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>
        <v>992425</v>
      </c>
      <c r="P764" s="237"/>
      <c r="Q764" s="304">
        <f t="shared" si="817"/>
        <v>992425</v>
      </c>
      <c r="R764" s="147">
        <f>Q764*$R$7</f>
        <v>235204.72499999998</v>
      </c>
      <c r="S764" s="147">
        <f>R764/$S$5</f>
        <v>644.39650684931496</v>
      </c>
      <c r="T764" s="148">
        <f>S764*$T$5*$T$7</f>
        <v>211684.25249999994</v>
      </c>
      <c r="U764" s="420"/>
      <c r="V764" s="407"/>
      <c r="W764" s="222"/>
      <c r="X764" s="222"/>
      <c r="Y764" s="408"/>
      <c r="Z764" s="409"/>
      <c r="AA764" s="409"/>
      <c r="AB764" s="410"/>
      <c r="AC764" s="155"/>
      <c r="AD764" s="156"/>
      <c r="AE764" s="156"/>
      <c r="AF764" s="156"/>
      <c r="AG764" s="156"/>
      <c r="AH764" s="156"/>
      <c r="AI764" s="156"/>
      <c r="AJ764" s="156"/>
      <c r="AK764" s="156"/>
      <c r="AL764" s="156"/>
      <c r="AM764" s="157">
        <f t="shared" si="821"/>
        <v>0</v>
      </c>
      <c r="AN764" s="158">
        <f t="shared" si="822"/>
        <v>4000</v>
      </c>
      <c r="AO764" s="159">
        <v>0.2</v>
      </c>
      <c r="AP764" s="160">
        <f t="shared" si="823"/>
        <v>0</v>
      </c>
      <c r="AQ764" s="161">
        <f t="shared" si="824"/>
        <v>0</v>
      </c>
      <c r="AR764" s="162">
        <f t="shared" si="825"/>
        <v>0</v>
      </c>
      <c r="AS764" s="163"/>
      <c r="AT764" s="233"/>
      <c r="AU764" s="187"/>
      <c r="AV764" s="166"/>
      <c r="AW764" s="167"/>
      <c r="AX764" s="146">
        <f t="shared" si="826"/>
        <v>0</v>
      </c>
      <c r="AY764" s="168"/>
    </row>
    <row r="765" spans="1:51" ht="10.9" hidden="1" customHeight="1" x14ac:dyDescent="0.25">
      <c r="B765" s="140"/>
      <c r="C765" s="238"/>
      <c r="D765" s="235"/>
      <c r="E765" s="300"/>
      <c r="F765" s="300"/>
      <c r="G765" s="300"/>
      <c r="H765" s="300"/>
      <c r="I765" s="300"/>
      <c r="J765" s="300"/>
      <c r="K765" s="300"/>
      <c r="L765" s="300"/>
      <c r="M765" s="300"/>
      <c r="N765" s="300"/>
      <c r="O765" s="300"/>
      <c r="P765" s="427"/>
      <c r="Q765" s="166"/>
      <c r="R765" s="167"/>
      <c r="S765" s="167"/>
      <c r="T765" s="146"/>
      <c r="U765" s="420" t="s">
        <v>660</v>
      </c>
      <c r="V765" s="407">
        <v>47</v>
      </c>
      <c r="W765" s="222">
        <f>615*365</f>
        <v>224475</v>
      </c>
      <c r="X765" s="222"/>
      <c r="Y765" s="408" t="s">
        <v>661</v>
      </c>
      <c r="Z765" s="409" t="s">
        <v>647</v>
      </c>
      <c r="AA765" s="409"/>
      <c r="AB765" s="410" t="s">
        <v>647</v>
      </c>
      <c r="AC765" s="411">
        <f>W765*39%</f>
        <v>87545.25</v>
      </c>
      <c r="AD765" s="412">
        <f>W765*27%</f>
        <v>60608.250000000007</v>
      </c>
      <c r="AE765" s="412">
        <f>W765*9%</f>
        <v>20202.75</v>
      </c>
      <c r="AF765" s="412">
        <f>W765*7%</f>
        <v>15713.250000000002</v>
      </c>
      <c r="AG765" s="412">
        <f>W765*6%</f>
        <v>13468.5</v>
      </c>
      <c r="AH765" s="412">
        <f>W765*1%</f>
        <v>2244.75</v>
      </c>
      <c r="AI765" s="412">
        <f>W765*2%</f>
        <v>4489.5</v>
      </c>
      <c r="AJ765" s="412">
        <f>W765*1%</f>
        <v>2244.75</v>
      </c>
      <c r="AK765" s="412">
        <f>W765*5%</f>
        <v>11223.75</v>
      </c>
      <c r="AL765" s="412">
        <f>W765*2%</f>
        <v>4489.5</v>
      </c>
      <c r="AM765" s="413">
        <f>SUM(AD765:AI765)</f>
        <v>116727</v>
      </c>
      <c r="AN765" s="158">
        <f t="shared" si="822"/>
        <v>4000</v>
      </c>
      <c r="AO765" s="159">
        <v>0.2</v>
      </c>
      <c r="AP765" s="160">
        <f t="shared" si="823"/>
        <v>1954850414.3999999</v>
      </c>
      <c r="AQ765" s="161">
        <f t="shared" si="824"/>
        <v>543014.04744112026</v>
      </c>
      <c r="AR765" s="162">
        <f t="shared" si="825"/>
        <v>108602.80948822405</v>
      </c>
      <c r="AS765" s="163"/>
      <c r="AT765" s="233"/>
      <c r="AU765" s="187">
        <v>0.75</v>
      </c>
      <c r="AV765" s="414">
        <f>AR765/$AV$5</f>
        <v>15.496976239757998</v>
      </c>
      <c r="AW765" s="415">
        <f>AV765</f>
        <v>15.496976239757998</v>
      </c>
      <c r="AX765" s="146">
        <f t="shared" si="826"/>
        <v>16.246976239757998</v>
      </c>
      <c r="AY765" s="168"/>
    </row>
    <row r="766" spans="1:51" s="263" customFormat="1" ht="17.25" hidden="1" customHeight="1" x14ac:dyDescent="0.25">
      <c r="A766" s="173"/>
      <c r="B766" s="225"/>
      <c r="C766" s="258" t="s">
        <v>165</v>
      </c>
      <c r="D766" s="240">
        <f>SUM(D757:D764)</f>
        <v>0</v>
      </c>
      <c r="E766" s="240">
        <f t="shared" ref="E766:T766" si="827">SUM(E757:E764)</f>
        <v>0</v>
      </c>
      <c r="F766" s="240">
        <f t="shared" si="827"/>
        <v>0</v>
      </c>
      <c r="G766" s="240">
        <f t="shared" si="827"/>
        <v>0</v>
      </c>
      <c r="H766" s="240">
        <f t="shared" si="827"/>
        <v>0</v>
      </c>
      <c r="I766" s="240">
        <f t="shared" si="827"/>
        <v>0</v>
      </c>
      <c r="J766" s="240">
        <f t="shared" si="827"/>
        <v>0</v>
      </c>
      <c r="K766" s="240">
        <f t="shared" si="827"/>
        <v>0</v>
      </c>
      <c r="L766" s="240">
        <f t="shared" si="827"/>
        <v>0</v>
      </c>
      <c r="M766" s="240">
        <f t="shared" si="827"/>
        <v>0</v>
      </c>
      <c r="N766" s="240">
        <f t="shared" si="827"/>
        <v>0</v>
      </c>
      <c r="O766" s="240">
        <f t="shared" si="827"/>
        <v>1764766</v>
      </c>
      <c r="P766" s="240">
        <f t="shared" si="827"/>
        <v>0</v>
      </c>
      <c r="Q766" s="240">
        <f t="shared" si="827"/>
        <v>1764766</v>
      </c>
      <c r="R766" s="240">
        <f t="shared" si="827"/>
        <v>320162.23499999999</v>
      </c>
      <c r="S766" s="240">
        <f t="shared" si="827"/>
        <v>877.15680821917795</v>
      </c>
      <c r="T766" s="240">
        <f t="shared" si="827"/>
        <v>262658.75849999994</v>
      </c>
      <c r="U766" s="424"/>
      <c r="V766" s="417"/>
      <c r="W766" s="304"/>
      <c r="X766" s="304"/>
      <c r="Y766" s="245"/>
      <c r="Z766" s="418"/>
      <c r="AA766" s="418"/>
      <c r="AB766" s="419"/>
      <c r="AC766" s="240">
        <f>SUM(AC757:AC764)</f>
        <v>8351.2000000000007</v>
      </c>
      <c r="AD766" s="244">
        <f t="shared" ref="AD766:AM766" si="828">SUM(AD757:AD764)</f>
        <v>4015</v>
      </c>
      <c r="AE766" s="244">
        <f t="shared" si="828"/>
        <v>1445.3999999999999</v>
      </c>
      <c r="AF766" s="244">
        <f t="shared" si="828"/>
        <v>803</v>
      </c>
      <c r="AG766" s="244">
        <f t="shared" si="828"/>
        <v>481.79999999999995</v>
      </c>
      <c r="AH766" s="244">
        <f t="shared" si="828"/>
        <v>160.6</v>
      </c>
      <c r="AI766" s="244">
        <f t="shared" si="828"/>
        <v>321.2</v>
      </c>
      <c r="AJ766" s="244">
        <f t="shared" si="828"/>
        <v>160.6</v>
      </c>
      <c r="AK766" s="244">
        <f t="shared" si="828"/>
        <v>642.4</v>
      </c>
      <c r="AL766" s="244">
        <f t="shared" si="828"/>
        <v>160.6</v>
      </c>
      <c r="AM766" s="245">
        <f t="shared" si="828"/>
        <v>7227</v>
      </c>
      <c r="AN766" s="261"/>
      <c r="AO766" s="262"/>
      <c r="AP766" s="184">
        <f>SUM(AP757:AP765)</f>
        <v>2075882428.8</v>
      </c>
      <c r="AQ766" s="184">
        <f t="shared" ref="AQ766:AX766" si="829">SUM(AQ757:AQ765)</f>
        <v>576634.05413072056</v>
      </c>
      <c r="AR766" s="184">
        <f t="shared" si="829"/>
        <v>115326.81082614412</v>
      </c>
      <c r="AS766" s="184"/>
      <c r="AT766" s="433"/>
      <c r="AU766" s="304">
        <f t="shared" si="829"/>
        <v>0.75</v>
      </c>
      <c r="AV766" s="188">
        <f t="shared" si="829"/>
        <v>16.456451316515999</v>
      </c>
      <c r="AW766" s="188">
        <f t="shared" si="829"/>
        <v>15.496976239757998</v>
      </c>
      <c r="AX766" s="184">
        <f t="shared" si="829"/>
        <v>17.206451316515999</v>
      </c>
      <c r="AY766" s="189"/>
    </row>
    <row r="767" spans="1:51" s="139" customFormat="1" ht="10.9" hidden="1" customHeight="1" x14ac:dyDescent="0.25">
      <c r="B767" s="247"/>
      <c r="C767" s="152"/>
      <c r="D767" s="247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248"/>
      <c r="Q767" s="249"/>
      <c r="R767" s="250"/>
      <c r="S767" s="250"/>
      <c r="T767" s="251"/>
      <c r="U767" s="199"/>
      <c r="V767" s="179"/>
      <c r="W767" s="249"/>
      <c r="X767" s="249"/>
      <c r="Y767" s="152"/>
      <c r="Z767" s="153"/>
      <c r="AA767" s="153"/>
      <c r="AB767" s="154"/>
      <c r="AC767" s="247"/>
      <c r="AD767" s="252"/>
      <c r="AE767" s="252"/>
      <c r="AF767" s="252"/>
      <c r="AG767" s="252"/>
      <c r="AH767" s="252"/>
      <c r="AI767" s="252"/>
      <c r="AJ767" s="252"/>
      <c r="AK767" s="252"/>
      <c r="AL767" s="252"/>
      <c r="AM767" s="434"/>
      <c r="AN767" s="203"/>
      <c r="AO767" s="204"/>
      <c r="AP767" s="203"/>
      <c r="AQ767" s="205"/>
      <c r="AR767" s="206"/>
      <c r="AS767" s="253"/>
      <c r="AT767" s="254"/>
      <c r="AU767" s="255"/>
      <c r="AV767" s="256"/>
      <c r="AW767" s="257"/>
      <c r="AX767" s="214"/>
      <c r="AY767" s="212"/>
    </row>
    <row r="768" spans="1:51" s="139" customFormat="1" ht="15" hidden="1" customHeight="1" x14ac:dyDescent="0.25">
      <c r="A768" s="1"/>
      <c r="B768" s="120"/>
      <c r="C768" s="258" t="s">
        <v>166</v>
      </c>
      <c r="D768" s="122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213"/>
      <c r="Q768" s="76"/>
      <c r="R768" s="108"/>
      <c r="S768" s="108"/>
      <c r="T768" s="94"/>
      <c r="U768" s="120"/>
      <c r="V768" s="67"/>
      <c r="W768" s="123"/>
      <c r="X768" s="123"/>
      <c r="Y768" s="125"/>
      <c r="Z768" s="126"/>
      <c r="AA768" s="126"/>
      <c r="AB768" s="127"/>
      <c r="AC768" s="62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125"/>
      <c r="AN768" s="75"/>
      <c r="AO768" s="216"/>
      <c r="AP768" s="75"/>
      <c r="AQ768" s="51"/>
      <c r="AR768" s="259"/>
      <c r="AS768" s="218"/>
      <c r="AT768" s="219"/>
      <c r="AU768" s="220"/>
      <c r="AV768" s="135"/>
      <c r="AW768" s="136"/>
      <c r="AX768" s="137"/>
      <c r="AY768" s="138"/>
    </row>
    <row r="769" spans="1:51" ht="10.9" hidden="1" customHeight="1" x14ac:dyDescent="0.25">
      <c r="B769" s="140">
        <v>1</v>
      </c>
      <c r="C769" s="221" t="s">
        <v>167</v>
      </c>
      <c r="D769" s="235"/>
      <c r="E769" s="236"/>
      <c r="F769" s="236"/>
      <c r="G769" s="236"/>
      <c r="H769" s="236"/>
      <c r="I769" s="236"/>
      <c r="J769" s="236">
        <v>306494</v>
      </c>
      <c r="K769" s="236">
        <v>308291</v>
      </c>
      <c r="L769" s="236">
        <v>310093</v>
      </c>
      <c r="M769" s="236">
        <v>233719</v>
      </c>
      <c r="N769" s="236">
        <v>229495</v>
      </c>
      <c r="O769" s="236"/>
      <c r="P769" s="237"/>
      <c r="Q769" s="223">
        <f t="shared" ref="Q769:Q780" si="830">MAX(D769:P769)</f>
        <v>310093</v>
      </c>
      <c r="R769" s="147">
        <f t="shared" ref="R769:R777" si="831">Q769*$R$10</f>
        <v>34110.230000000003</v>
      </c>
      <c r="S769" s="147">
        <f t="shared" ref="S769:S778" si="832">R769/$S$5</f>
        <v>93.452684931506852</v>
      </c>
      <c r="T769" s="148">
        <f t="shared" ref="T769:T777" si="833">S769*$T$5*$T$10</f>
        <v>20466.138000000003</v>
      </c>
      <c r="U769" s="420"/>
      <c r="V769" s="407"/>
      <c r="W769" s="222"/>
      <c r="X769" s="222"/>
      <c r="Y769" s="408"/>
      <c r="Z769" s="409"/>
      <c r="AA769" s="409"/>
      <c r="AB769" s="410"/>
      <c r="AC769" s="155"/>
      <c r="AD769" s="156"/>
      <c r="AE769" s="156"/>
      <c r="AF769" s="156"/>
      <c r="AG769" s="156"/>
      <c r="AH769" s="156"/>
      <c r="AI769" s="156"/>
      <c r="AJ769" s="156"/>
      <c r="AK769" s="156"/>
      <c r="AL769" s="156"/>
      <c r="AM769" s="157">
        <f t="shared" ref="AM769:AM780" si="834">SUM(AD769:AI769)</f>
        <v>0</v>
      </c>
      <c r="AN769" s="158">
        <f t="shared" ref="AN769:AN780" si="835">$AN$641</f>
        <v>4000</v>
      </c>
      <c r="AO769" s="159">
        <v>0.2</v>
      </c>
      <c r="AP769" s="160">
        <f t="shared" ref="AP769:AP780" si="836">AM769*AN769*$AP$5</f>
        <v>0</v>
      </c>
      <c r="AQ769" s="161">
        <f t="shared" ref="AQ769:AQ780" si="837">AP769*$AQ$5</f>
        <v>0</v>
      </c>
      <c r="AR769" s="162">
        <f t="shared" ref="AR769:AR780" si="838">AQ769*$AR$5</f>
        <v>0</v>
      </c>
      <c r="AS769" s="163"/>
      <c r="AT769" s="164"/>
      <c r="AU769" s="165"/>
      <c r="AV769" s="166"/>
      <c r="AW769" s="167"/>
      <c r="AX769" s="146">
        <f>SUM(AU769:AV769)</f>
        <v>0</v>
      </c>
      <c r="AY769" s="168"/>
    </row>
    <row r="770" spans="1:51" ht="10.9" hidden="1" customHeight="1" x14ac:dyDescent="0.25">
      <c r="B770" s="140">
        <v>2</v>
      </c>
      <c r="C770" s="221" t="s">
        <v>168</v>
      </c>
      <c r="D770" s="235"/>
      <c r="E770" s="236"/>
      <c r="F770" s="236"/>
      <c r="G770" s="236"/>
      <c r="H770" s="236"/>
      <c r="I770" s="236"/>
      <c r="J770" s="236">
        <v>277595</v>
      </c>
      <c r="K770" s="236">
        <v>281476</v>
      </c>
      <c r="L770" s="236">
        <v>286578</v>
      </c>
      <c r="M770" s="236">
        <v>292013</v>
      </c>
      <c r="N770" s="236">
        <v>333206</v>
      </c>
      <c r="O770" s="236"/>
      <c r="P770" s="237"/>
      <c r="Q770" s="223">
        <f t="shared" si="830"/>
        <v>333206</v>
      </c>
      <c r="R770" s="147">
        <f t="shared" si="831"/>
        <v>36652.660000000003</v>
      </c>
      <c r="S770" s="147">
        <f t="shared" si="832"/>
        <v>100.41824657534248</v>
      </c>
      <c r="T770" s="148">
        <f t="shared" si="833"/>
        <v>21991.596000000001</v>
      </c>
      <c r="U770" s="420"/>
      <c r="V770" s="407"/>
      <c r="W770" s="222"/>
      <c r="X770" s="222"/>
      <c r="Y770" s="408"/>
      <c r="Z770" s="409"/>
      <c r="AA770" s="409"/>
      <c r="AB770" s="410"/>
      <c r="AC770" s="155"/>
      <c r="AD770" s="156"/>
      <c r="AE770" s="156"/>
      <c r="AF770" s="156"/>
      <c r="AG770" s="156"/>
      <c r="AH770" s="156"/>
      <c r="AI770" s="156"/>
      <c r="AJ770" s="156"/>
      <c r="AK770" s="156"/>
      <c r="AL770" s="156"/>
      <c r="AM770" s="157">
        <f t="shared" si="834"/>
        <v>0</v>
      </c>
      <c r="AN770" s="158">
        <f t="shared" si="835"/>
        <v>4000</v>
      </c>
      <c r="AO770" s="159">
        <v>0.2</v>
      </c>
      <c r="AP770" s="160">
        <f t="shared" si="836"/>
        <v>0</v>
      </c>
      <c r="AQ770" s="161">
        <f t="shared" si="837"/>
        <v>0</v>
      </c>
      <c r="AR770" s="162">
        <f t="shared" si="838"/>
        <v>0</v>
      </c>
      <c r="AS770" s="163"/>
      <c r="AT770" s="164"/>
      <c r="AU770" s="165"/>
      <c r="AV770" s="166"/>
      <c r="AW770" s="167"/>
      <c r="AX770" s="146">
        <f t="shared" ref="AX770:AX780" si="839">SUM(AU770:AV770)</f>
        <v>0</v>
      </c>
      <c r="AY770" s="168"/>
    </row>
    <row r="771" spans="1:51" ht="10.9" hidden="1" customHeight="1" x14ac:dyDescent="0.25">
      <c r="B771" s="140">
        <v>3</v>
      </c>
      <c r="C771" s="221" t="s">
        <v>169</v>
      </c>
      <c r="D771" s="235"/>
      <c r="E771" s="236"/>
      <c r="F771" s="236"/>
      <c r="G771" s="236"/>
      <c r="H771" s="236"/>
      <c r="I771" s="236"/>
      <c r="J771" s="236">
        <v>205090</v>
      </c>
      <c r="K771" s="236">
        <v>209851</v>
      </c>
      <c r="L771" s="236">
        <v>214036</v>
      </c>
      <c r="M771" s="236">
        <v>218228</v>
      </c>
      <c r="N771" s="236">
        <v>246245</v>
      </c>
      <c r="O771" s="236"/>
      <c r="P771" s="237"/>
      <c r="Q771" s="223">
        <f t="shared" si="830"/>
        <v>246245</v>
      </c>
      <c r="R771" s="147">
        <f t="shared" si="831"/>
        <v>27086.95</v>
      </c>
      <c r="S771" s="147">
        <f t="shared" si="832"/>
        <v>74.210821917808218</v>
      </c>
      <c r="T771" s="148">
        <f t="shared" si="833"/>
        <v>16252.17</v>
      </c>
      <c r="U771" s="420"/>
      <c r="V771" s="407"/>
      <c r="W771" s="222"/>
      <c r="X771" s="222"/>
      <c r="Y771" s="408"/>
      <c r="Z771" s="409"/>
      <c r="AA771" s="409"/>
      <c r="AB771" s="410"/>
      <c r="AC771" s="155"/>
      <c r="AD771" s="156"/>
      <c r="AE771" s="156"/>
      <c r="AF771" s="156"/>
      <c r="AG771" s="156"/>
      <c r="AH771" s="156"/>
      <c r="AI771" s="156"/>
      <c r="AJ771" s="156"/>
      <c r="AK771" s="156"/>
      <c r="AL771" s="156"/>
      <c r="AM771" s="157">
        <f t="shared" si="834"/>
        <v>0</v>
      </c>
      <c r="AN771" s="158">
        <f t="shared" si="835"/>
        <v>4000</v>
      </c>
      <c r="AO771" s="159">
        <v>0.2</v>
      </c>
      <c r="AP771" s="160">
        <f t="shared" si="836"/>
        <v>0</v>
      </c>
      <c r="AQ771" s="161">
        <f t="shared" si="837"/>
        <v>0</v>
      </c>
      <c r="AR771" s="162">
        <f t="shared" si="838"/>
        <v>0</v>
      </c>
      <c r="AS771" s="163"/>
      <c r="AT771" s="164"/>
      <c r="AU771" s="165"/>
      <c r="AV771" s="166"/>
      <c r="AW771" s="167"/>
      <c r="AX771" s="146">
        <f t="shared" si="839"/>
        <v>0</v>
      </c>
      <c r="AY771" s="168"/>
    </row>
    <row r="772" spans="1:51" ht="10.9" hidden="1" customHeight="1" x14ac:dyDescent="0.25">
      <c r="B772" s="140">
        <v>4</v>
      </c>
      <c r="C772" s="221" t="s">
        <v>170</v>
      </c>
      <c r="D772" s="235"/>
      <c r="E772" s="236"/>
      <c r="F772" s="236"/>
      <c r="G772" s="236"/>
      <c r="H772" s="236"/>
      <c r="I772" s="236"/>
      <c r="J772" s="236">
        <v>211897</v>
      </c>
      <c r="K772" s="236">
        <v>215336</v>
      </c>
      <c r="L772" s="236">
        <v>219181</v>
      </c>
      <c r="M772" s="236">
        <v>222841</v>
      </c>
      <c r="N772" s="236">
        <v>241334</v>
      </c>
      <c r="O772" s="236"/>
      <c r="P772" s="237"/>
      <c r="Q772" s="223">
        <f t="shared" si="830"/>
        <v>241334</v>
      </c>
      <c r="R772" s="147">
        <f t="shared" si="831"/>
        <v>26546.74</v>
      </c>
      <c r="S772" s="147">
        <f t="shared" si="832"/>
        <v>72.730794520547946</v>
      </c>
      <c r="T772" s="148">
        <f t="shared" si="833"/>
        <v>15928.044</v>
      </c>
      <c r="U772" s="420"/>
      <c r="V772" s="407"/>
      <c r="W772" s="222"/>
      <c r="X772" s="222"/>
      <c r="Y772" s="408"/>
      <c r="Z772" s="409"/>
      <c r="AA772" s="409"/>
      <c r="AB772" s="410"/>
      <c r="AC772" s="155"/>
      <c r="AD772" s="156"/>
      <c r="AE772" s="156"/>
      <c r="AF772" s="156"/>
      <c r="AG772" s="156"/>
      <c r="AH772" s="156"/>
      <c r="AI772" s="156"/>
      <c r="AJ772" s="156"/>
      <c r="AK772" s="156"/>
      <c r="AL772" s="156"/>
      <c r="AM772" s="157">
        <f t="shared" si="834"/>
        <v>0</v>
      </c>
      <c r="AN772" s="158">
        <f t="shared" si="835"/>
        <v>4000</v>
      </c>
      <c r="AO772" s="159">
        <v>0.2</v>
      </c>
      <c r="AP772" s="160">
        <f t="shared" si="836"/>
        <v>0</v>
      </c>
      <c r="AQ772" s="161">
        <f t="shared" si="837"/>
        <v>0</v>
      </c>
      <c r="AR772" s="162">
        <f t="shared" si="838"/>
        <v>0</v>
      </c>
      <c r="AS772" s="163"/>
      <c r="AT772" s="164"/>
      <c r="AU772" s="165"/>
      <c r="AV772" s="166"/>
      <c r="AW772" s="167"/>
      <c r="AX772" s="146">
        <f t="shared" si="839"/>
        <v>0</v>
      </c>
      <c r="AY772" s="168"/>
    </row>
    <row r="773" spans="1:51" ht="10.9" hidden="1" customHeight="1" x14ac:dyDescent="0.25">
      <c r="B773" s="140">
        <v>5</v>
      </c>
      <c r="C773" s="221" t="s">
        <v>171</v>
      </c>
      <c r="D773" s="235"/>
      <c r="E773" s="236"/>
      <c r="F773" s="236"/>
      <c r="G773" s="236"/>
      <c r="H773" s="236"/>
      <c r="I773" s="236"/>
      <c r="J773" s="236">
        <v>295319</v>
      </c>
      <c r="K773" s="236">
        <v>306574</v>
      </c>
      <c r="L773" s="236">
        <v>310676</v>
      </c>
      <c r="M773" s="236">
        <v>314598</v>
      </c>
      <c r="N773" s="236">
        <v>342952</v>
      </c>
      <c r="O773" s="236"/>
      <c r="P773" s="237"/>
      <c r="Q773" s="223">
        <f t="shared" si="830"/>
        <v>342952</v>
      </c>
      <c r="R773" s="147">
        <f t="shared" si="831"/>
        <v>37724.720000000001</v>
      </c>
      <c r="S773" s="147">
        <f t="shared" si="832"/>
        <v>103.35539726027397</v>
      </c>
      <c r="T773" s="148">
        <f t="shared" si="833"/>
        <v>22634.831999999999</v>
      </c>
      <c r="U773" s="420"/>
      <c r="V773" s="407"/>
      <c r="W773" s="222"/>
      <c r="X773" s="222"/>
      <c r="Y773" s="408"/>
      <c r="Z773" s="409"/>
      <c r="AA773" s="409"/>
      <c r="AB773" s="410"/>
      <c r="AC773" s="155"/>
      <c r="AD773" s="156"/>
      <c r="AE773" s="156"/>
      <c r="AF773" s="156"/>
      <c r="AG773" s="156"/>
      <c r="AH773" s="156"/>
      <c r="AI773" s="156"/>
      <c r="AJ773" s="156"/>
      <c r="AK773" s="156"/>
      <c r="AL773" s="156"/>
      <c r="AM773" s="157">
        <f t="shared" si="834"/>
        <v>0</v>
      </c>
      <c r="AN773" s="158">
        <f t="shared" si="835"/>
        <v>4000</v>
      </c>
      <c r="AO773" s="159">
        <v>0.2</v>
      </c>
      <c r="AP773" s="160">
        <f t="shared" si="836"/>
        <v>0</v>
      </c>
      <c r="AQ773" s="161">
        <f t="shared" si="837"/>
        <v>0</v>
      </c>
      <c r="AR773" s="162">
        <f t="shared" si="838"/>
        <v>0</v>
      </c>
      <c r="AS773" s="163"/>
      <c r="AT773" s="164"/>
      <c r="AU773" s="165"/>
      <c r="AV773" s="166"/>
      <c r="AW773" s="167"/>
      <c r="AX773" s="146">
        <f t="shared" si="839"/>
        <v>0</v>
      </c>
      <c r="AY773" s="168"/>
    </row>
    <row r="774" spans="1:51" ht="10.9" hidden="1" customHeight="1" x14ac:dyDescent="0.25">
      <c r="B774" s="140">
        <v>6</v>
      </c>
      <c r="C774" s="221" t="s">
        <v>172</v>
      </c>
      <c r="D774" s="235"/>
      <c r="E774" s="236"/>
      <c r="F774" s="236"/>
      <c r="G774" s="236"/>
      <c r="H774" s="236"/>
      <c r="I774" s="236"/>
      <c r="J774" s="236">
        <v>207340</v>
      </c>
      <c r="K774" s="236">
        <v>209477</v>
      </c>
      <c r="L774" s="236">
        <v>211789</v>
      </c>
      <c r="M774" s="236">
        <v>213781</v>
      </c>
      <c r="N774" s="236">
        <v>205272</v>
      </c>
      <c r="O774" s="236"/>
      <c r="P774" s="237"/>
      <c r="Q774" s="223">
        <f t="shared" si="830"/>
        <v>213781</v>
      </c>
      <c r="R774" s="147">
        <f t="shared" si="831"/>
        <v>23515.91</v>
      </c>
      <c r="S774" s="147">
        <f t="shared" si="832"/>
        <v>64.427150684931505</v>
      </c>
      <c r="T774" s="148">
        <f t="shared" si="833"/>
        <v>14109.546</v>
      </c>
      <c r="U774" s="420"/>
      <c r="V774" s="407"/>
      <c r="W774" s="222"/>
      <c r="X774" s="222"/>
      <c r="Y774" s="408"/>
      <c r="Z774" s="409"/>
      <c r="AA774" s="409"/>
      <c r="AB774" s="410"/>
      <c r="AC774" s="155"/>
      <c r="AD774" s="156"/>
      <c r="AE774" s="156"/>
      <c r="AF774" s="156"/>
      <c r="AG774" s="156"/>
      <c r="AH774" s="156"/>
      <c r="AI774" s="156"/>
      <c r="AJ774" s="156"/>
      <c r="AK774" s="156"/>
      <c r="AL774" s="156"/>
      <c r="AM774" s="157">
        <f t="shared" si="834"/>
        <v>0</v>
      </c>
      <c r="AN774" s="158">
        <f t="shared" si="835"/>
        <v>4000</v>
      </c>
      <c r="AO774" s="159">
        <v>0.2</v>
      </c>
      <c r="AP774" s="160">
        <f t="shared" si="836"/>
        <v>0</v>
      </c>
      <c r="AQ774" s="161">
        <f t="shared" si="837"/>
        <v>0</v>
      </c>
      <c r="AR774" s="162">
        <f t="shared" si="838"/>
        <v>0</v>
      </c>
      <c r="AS774" s="163"/>
      <c r="AT774" s="164"/>
      <c r="AU774" s="165"/>
      <c r="AV774" s="166"/>
      <c r="AW774" s="167"/>
      <c r="AX774" s="146">
        <f t="shared" si="839"/>
        <v>0</v>
      </c>
      <c r="AY774" s="168"/>
    </row>
    <row r="775" spans="1:51" ht="10.9" hidden="1" customHeight="1" x14ac:dyDescent="0.25">
      <c r="B775" s="140">
        <v>7</v>
      </c>
      <c r="C775" s="221" t="s">
        <v>173</v>
      </c>
      <c r="D775" s="235"/>
      <c r="E775" s="236"/>
      <c r="F775" s="236"/>
      <c r="G775" s="236"/>
      <c r="H775" s="236"/>
      <c r="I775" s="236"/>
      <c r="J775" s="236">
        <v>239016</v>
      </c>
      <c r="K775" s="236">
        <v>245559</v>
      </c>
      <c r="L775" s="236">
        <v>250746</v>
      </c>
      <c r="M775" s="236">
        <v>255952</v>
      </c>
      <c r="N775" s="236">
        <v>278741</v>
      </c>
      <c r="O775" s="236"/>
      <c r="P775" s="237"/>
      <c r="Q775" s="223">
        <f t="shared" si="830"/>
        <v>278741</v>
      </c>
      <c r="R775" s="147">
        <f t="shared" si="831"/>
        <v>30661.51</v>
      </c>
      <c r="S775" s="147">
        <f t="shared" si="832"/>
        <v>84.004136986301361</v>
      </c>
      <c r="T775" s="148">
        <f t="shared" si="833"/>
        <v>18396.905999999999</v>
      </c>
      <c r="U775" s="420"/>
      <c r="V775" s="407"/>
      <c r="W775" s="222"/>
      <c r="X775" s="222"/>
      <c r="Y775" s="408"/>
      <c r="Z775" s="409"/>
      <c r="AA775" s="409"/>
      <c r="AB775" s="410"/>
      <c r="AC775" s="155"/>
      <c r="AD775" s="156"/>
      <c r="AE775" s="156"/>
      <c r="AF775" s="156"/>
      <c r="AG775" s="156"/>
      <c r="AH775" s="156"/>
      <c r="AI775" s="156"/>
      <c r="AJ775" s="156"/>
      <c r="AK775" s="156"/>
      <c r="AL775" s="156"/>
      <c r="AM775" s="157">
        <f t="shared" si="834"/>
        <v>0</v>
      </c>
      <c r="AN775" s="158">
        <f t="shared" si="835"/>
        <v>4000</v>
      </c>
      <c r="AO775" s="159">
        <v>0.2</v>
      </c>
      <c r="AP775" s="160">
        <f t="shared" si="836"/>
        <v>0</v>
      </c>
      <c r="AQ775" s="161">
        <f t="shared" si="837"/>
        <v>0</v>
      </c>
      <c r="AR775" s="162">
        <f t="shared" si="838"/>
        <v>0</v>
      </c>
      <c r="AS775" s="163"/>
      <c r="AT775" s="164"/>
      <c r="AU775" s="165"/>
      <c r="AV775" s="166"/>
      <c r="AW775" s="167"/>
      <c r="AX775" s="146">
        <f t="shared" si="839"/>
        <v>0</v>
      </c>
      <c r="AY775" s="168"/>
    </row>
    <row r="776" spans="1:51" ht="10.9" hidden="1" customHeight="1" x14ac:dyDescent="0.25">
      <c r="B776" s="140">
        <v>8</v>
      </c>
      <c r="C776" s="221" t="s">
        <v>174</v>
      </c>
      <c r="D776" s="235"/>
      <c r="E776" s="236"/>
      <c r="F776" s="236"/>
      <c r="G776" s="236"/>
      <c r="H776" s="236"/>
      <c r="I776" s="236"/>
      <c r="J776" s="236">
        <v>246044</v>
      </c>
      <c r="K776" s="236">
        <v>250057</v>
      </c>
      <c r="L776" s="236">
        <v>253373</v>
      </c>
      <c r="M776" s="236">
        <v>257267</v>
      </c>
      <c r="N776" s="236">
        <v>297735</v>
      </c>
      <c r="O776" s="236"/>
      <c r="P776" s="237"/>
      <c r="Q776" s="223">
        <f t="shared" si="830"/>
        <v>297735</v>
      </c>
      <c r="R776" s="147">
        <f t="shared" si="831"/>
        <v>32750.85</v>
      </c>
      <c r="S776" s="147">
        <f t="shared" si="832"/>
        <v>89.728356164383555</v>
      </c>
      <c r="T776" s="148">
        <f t="shared" si="833"/>
        <v>19650.509999999998</v>
      </c>
      <c r="U776" s="420"/>
      <c r="V776" s="407"/>
      <c r="W776" s="222"/>
      <c r="X776" s="222"/>
      <c r="Y776" s="408"/>
      <c r="Z776" s="409"/>
      <c r="AA776" s="409"/>
      <c r="AB776" s="410"/>
      <c r="AC776" s="155"/>
      <c r="AD776" s="156"/>
      <c r="AE776" s="156"/>
      <c r="AF776" s="156"/>
      <c r="AG776" s="156"/>
      <c r="AH776" s="156"/>
      <c r="AI776" s="156"/>
      <c r="AJ776" s="156"/>
      <c r="AK776" s="156"/>
      <c r="AL776" s="156"/>
      <c r="AM776" s="157">
        <f t="shared" si="834"/>
        <v>0</v>
      </c>
      <c r="AN776" s="158">
        <f t="shared" si="835"/>
        <v>4000</v>
      </c>
      <c r="AO776" s="159">
        <v>0.2</v>
      </c>
      <c r="AP776" s="160">
        <f t="shared" si="836"/>
        <v>0</v>
      </c>
      <c r="AQ776" s="161">
        <f t="shared" si="837"/>
        <v>0</v>
      </c>
      <c r="AR776" s="162">
        <f t="shared" si="838"/>
        <v>0</v>
      </c>
      <c r="AS776" s="163"/>
      <c r="AT776" s="164"/>
      <c r="AU776" s="165"/>
      <c r="AV776" s="166"/>
      <c r="AW776" s="167"/>
      <c r="AX776" s="146">
        <f t="shared" si="839"/>
        <v>0</v>
      </c>
      <c r="AY776" s="168"/>
    </row>
    <row r="777" spans="1:51" ht="10.9" hidden="1" customHeight="1" x14ac:dyDescent="0.25">
      <c r="B777" s="140">
        <v>9</v>
      </c>
      <c r="C777" s="221" t="s">
        <v>175</v>
      </c>
      <c r="D777" s="235"/>
      <c r="E777" s="236"/>
      <c r="F777" s="236"/>
      <c r="G777" s="236"/>
      <c r="H777" s="236"/>
      <c r="I777" s="236"/>
      <c r="J777" s="236">
        <v>250934</v>
      </c>
      <c r="K777" s="236">
        <v>257087</v>
      </c>
      <c r="L777" s="236">
        <v>264389</v>
      </c>
      <c r="M777" s="236">
        <v>271625</v>
      </c>
      <c r="N777" s="236">
        <v>303135</v>
      </c>
      <c r="O777" s="236"/>
      <c r="P777" s="237"/>
      <c r="Q777" s="223">
        <f t="shared" si="830"/>
        <v>303135</v>
      </c>
      <c r="R777" s="147">
        <f t="shared" si="831"/>
        <v>33344.85</v>
      </c>
      <c r="S777" s="147">
        <f t="shared" si="832"/>
        <v>91.355753424657536</v>
      </c>
      <c r="T777" s="148">
        <f t="shared" si="833"/>
        <v>20006.91</v>
      </c>
      <c r="U777" s="420"/>
      <c r="V777" s="407"/>
      <c r="W777" s="222"/>
      <c r="X777" s="222"/>
      <c r="Y777" s="408"/>
      <c r="Z777" s="409"/>
      <c r="AA777" s="409"/>
      <c r="AB777" s="410"/>
      <c r="AC777" s="155"/>
      <c r="AD777" s="156"/>
      <c r="AE777" s="156"/>
      <c r="AF777" s="156"/>
      <c r="AG777" s="156"/>
      <c r="AH777" s="156"/>
      <c r="AI777" s="156"/>
      <c r="AJ777" s="156"/>
      <c r="AK777" s="156"/>
      <c r="AL777" s="156"/>
      <c r="AM777" s="157">
        <f t="shared" si="834"/>
        <v>0</v>
      </c>
      <c r="AN777" s="158">
        <f t="shared" si="835"/>
        <v>4000</v>
      </c>
      <c r="AO777" s="159">
        <v>0.2</v>
      </c>
      <c r="AP777" s="160">
        <f t="shared" si="836"/>
        <v>0</v>
      </c>
      <c r="AQ777" s="161">
        <f t="shared" si="837"/>
        <v>0</v>
      </c>
      <c r="AR777" s="162">
        <f t="shared" si="838"/>
        <v>0</v>
      </c>
      <c r="AS777" s="163"/>
      <c r="AT777" s="164"/>
      <c r="AU777" s="165"/>
      <c r="AV777" s="166"/>
      <c r="AW777" s="167"/>
      <c r="AX777" s="146">
        <f t="shared" si="839"/>
        <v>0</v>
      </c>
      <c r="AY777" s="168"/>
    </row>
    <row r="778" spans="1:51" ht="10.9" hidden="1" customHeight="1" x14ac:dyDescent="0.25">
      <c r="B778" s="140">
        <v>10</v>
      </c>
      <c r="C778" s="238" t="s">
        <v>176</v>
      </c>
      <c r="D778" s="235"/>
      <c r="E778" s="236"/>
      <c r="F778" s="236"/>
      <c r="G778" s="236"/>
      <c r="H778" s="236"/>
      <c r="I778" s="236"/>
      <c r="J778" s="236">
        <v>443370</v>
      </c>
      <c r="K778" s="236">
        <v>458308</v>
      </c>
      <c r="L778" s="236">
        <v>467408</v>
      </c>
      <c r="M778" s="236">
        <v>476038</v>
      </c>
      <c r="N778" s="236">
        <v>531857</v>
      </c>
      <c r="O778" s="236"/>
      <c r="P778" s="237"/>
      <c r="Q778" s="304">
        <f t="shared" si="830"/>
        <v>531857</v>
      </c>
      <c r="R778" s="147">
        <f>Q778*$R$9</f>
        <v>77651.121999999988</v>
      </c>
      <c r="S778" s="147">
        <f t="shared" si="832"/>
        <v>212.74279999999996</v>
      </c>
      <c r="T778" s="148">
        <f>S778*$T$5*$T$9</f>
        <v>54355.785399999986</v>
      </c>
      <c r="U778" s="420"/>
      <c r="V778" s="407"/>
      <c r="W778" s="222"/>
      <c r="X778" s="222"/>
      <c r="Y778" s="408"/>
      <c r="Z778" s="409"/>
      <c r="AA778" s="409"/>
      <c r="AB778" s="410"/>
      <c r="AC778" s="155"/>
      <c r="AD778" s="156"/>
      <c r="AE778" s="156"/>
      <c r="AF778" s="156"/>
      <c r="AG778" s="156"/>
      <c r="AH778" s="156"/>
      <c r="AI778" s="156"/>
      <c r="AJ778" s="156"/>
      <c r="AK778" s="156"/>
      <c r="AL778" s="156"/>
      <c r="AM778" s="157">
        <f t="shared" si="834"/>
        <v>0</v>
      </c>
      <c r="AN778" s="158">
        <f t="shared" si="835"/>
        <v>4000</v>
      </c>
      <c r="AO778" s="159">
        <v>0.2</v>
      </c>
      <c r="AP778" s="160">
        <f t="shared" si="836"/>
        <v>0</v>
      </c>
      <c r="AQ778" s="161">
        <f t="shared" si="837"/>
        <v>0</v>
      </c>
      <c r="AR778" s="162">
        <f t="shared" si="838"/>
        <v>0</v>
      </c>
      <c r="AS778" s="163"/>
      <c r="AT778" s="164"/>
      <c r="AU778" s="165"/>
      <c r="AV778" s="166"/>
      <c r="AW778" s="167"/>
      <c r="AX778" s="146">
        <f t="shared" si="839"/>
        <v>0</v>
      </c>
      <c r="AY778" s="168"/>
    </row>
    <row r="779" spans="1:51" ht="10.9" hidden="1" customHeight="1" x14ac:dyDescent="0.25">
      <c r="B779" s="140"/>
      <c r="C779" s="221"/>
      <c r="D779" s="235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7"/>
      <c r="Q779" s="223"/>
      <c r="R779" s="167"/>
      <c r="S779" s="147"/>
      <c r="T779" s="146"/>
      <c r="U779" s="420" t="s">
        <v>662</v>
      </c>
      <c r="V779" s="407">
        <v>10</v>
      </c>
      <c r="W779" s="222">
        <f>(600*0.35*0.52)*365</f>
        <v>39858</v>
      </c>
      <c r="X779" s="222"/>
      <c r="Y779" s="408"/>
      <c r="Z779" s="409"/>
      <c r="AA779" s="409"/>
      <c r="AB779" s="410"/>
      <c r="AC779" s="411">
        <f>W779*$AC$5</f>
        <v>23117.64</v>
      </c>
      <c r="AD779" s="412">
        <f>W779*$AD$5</f>
        <v>5181.54</v>
      </c>
      <c r="AE779" s="412">
        <f>W779*$AE$5</f>
        <v>3497.5394999999999</v>
      </c>
      <c r="AF779" s="412">
        <f>W779*$AF$5</f>
        <v>1594.32</v>
      </c>
      <c r="AG779" s="412">
        <f>W779*$AG$5</f>
        <v>797.16</v>
      </c>
      <c r="AH779" s="412">
        <f>W779*$AH$5</f>
        <v>797.16</v>
      </c>
      <c r="AI779" s="412">
        <f>W779*$AI$5</f>
        <v>398.58</v>
      </c>
      <c r="AJ779" s="412">
        <f>W779*$AJ$5</f>
        <v>797.16</v>
      </c>
      <c r="AK779" s="412">
        <f>W779*$AK$5</f>
        <v>797.16</v>
      </c>
      <c r="AL779" s="412">
        <f>W779*$AL$5</f>
        <v>2790.0600000000004</v>
      </c>
      <c r="AM779" s="413">
        <f t="shared" si="834"/>
        <v>12266.299499999999</v>
      </c>
      <c r="AN779" s="158">
        <f t="shared" si="835"/>
        <v>4000</v>
      </c>
      <c r="AO779" s="159">
        <v>0.2</v>
      </c>
      <c r="AP779" s="160">
        <f t="shared" si="836"/>
        <v>205426170.98639998</v>
      </c>
      <c r="AQ779" s="161">
        <f t="shared" si="837"/>
        <v>57062.829839026017</v>
      </c>
      <c r="AR779" s="162">
        <f t="shared" si="838"/>
        <v>11412.565967805203</v>
      </c>
      <c r="AS779" s="163"/>
      <c r="AT779" s="233"/>
      <c r="AU779" s="187"/>
      <c r="AV779" s="414">
        <f>AR779/$AV$5</f>
        <v>1.6285054177804228</v>
      </c>
      <c r="AW779" s="415"/>
      <c r="AX779" s="146">
        <f t="shared" si="839"/>
        <v>1.6285054177804228</v>
      </c>
      <c r="AY779" s="168"/>
    </row>
    <row r="780" spans="1:51" ht="10.9" hidden="1" customHeight="1" x14ac:dyDescent="0.25">
      <c r="B780" s="140">
        <v>11</v>
      </c>
      <c r="C780" s="221" t="s">
        <v>177</v>
      </c>
      <c r="D780" s="235"/>
      <c r="E780" s="236"/>
      <c r="F780" s="236"/>
      <c r="G780" s="236"/>
      <c r="H780" s="236"/>
      <c r="I780" s="236"/>
      <c r="J780" s="236"/>
      <c r="K780" s="236"/>
      <c r="L780" s="236"/>
      <c r="M780" s="236">
        <v>78102</v>
      </c>
      <c r="N780" s="236">
        <v>82293</v>
      </c>
      <c r="O780" s="236"/>
      <c r="P780" s="237"/>
      <c r="Q780" s="223">
        <f t="shared" si="830"/>
        <v>82293</v>
      </c>
      <c r="R780" s="147">
        <f>Q780*$R$10</f>
        <v>9052.23</v>
      </c>
      <c r="S780" s="147">
        <f>R780/$S$5</f>
        <v>24.8006301369863</v>
      </c>
      <c r="T780" s="148">
        <f>S780*$T$5*$T$10</f>
        <v>5431.3379999999997</v>
      </c>
      <c r="U780" s="420"/>
      <c r="V780" s="407"/>
      <c r="W780" s="222"/>
      <c r="X780" s="222"/>
      <c r="Y780" s="408"/>
      <c r="Z780" s="409"/>
      <c r="AA780" s="409"/>
      <c r="AB780" s="410"/>
      <c r="AC780" s="155"/>
      <c r="AD780" s="156"/>
      <c r="AE780" s="156"/>
      <c r="AF780" s="156"/>
      <c r="AG780" s="156"/>
      <c r="AH780" s="156"/>
      <c r="AI780" s="156"/>
      <c r="AJ780" s="156"/>
      <c r="AK780" s="156"/>
      <c r="AL780" s="156"/>
      <c r="AM780" s="157">
        <f t="shared" si="834"/>
        <v>0</v>
      </c>
      <c r="AN780" s="158">
        <f t="shared" si="835"/>
        <v>4000</v>
      </c>
      <c r="AO780" s="159">
        <v>0.2</v>
      </c>
      <c r="AP780" s="160">
        <f t="shared" si="836"/>
        <v>0</v>
      </c>
      <c r="AQ780" s="161">
        <f t="shared" si="837"/>
        <v>0</v>
      </c>
      <c r="AR780" s="162">
        <f t="shared" si="838"/>
        <v>0</v>
      </c>
      <c r="AS780" s="163"/>
      <c r="AT780" s="164"/>
      <c r="AU780" s="165"/>
      <c r="AV780" s="166"/>
      <c r="AW780" s="167"/>
      <c r="AX780" s="146">
        <f t="shared" si="839"/>
        <v>0</v>
      </c>
      <c r="AY780" s="168"/>
    </row>
    <row r="781" spans="1:51" s="263" customFormat="1" ht="17.25" hidden="1" customHeight="1" x14ac:dyDescent="0.25">
      <c r="A781" s="173"/>
      <c r="B781" s="225"/>
      <c r="C781" s="258" t="s">
        <v>178</v>
      </c>
      <c r="D781" s="240">
        <f>SUM(D769:D780)</f>
        <v>0</v>
      </c>
      <c r="E781" s="240">
        <f t="shared" ref="E781:U781" si="840">SUM(E769:E780)</f>
        <v>0</v>
      </c>
      <c r="F781" s="240">
        <f t="shared" si="840"/>
        <v>0</v>
      </c>
      <c r="G781" s="240">
        <f t="shared" si="840"/>
        <v>0</v>
      </c>
      <c r="H781" s="240">
        <f t="shared" si="840"/>
        <v>0</v>
      </c>
      <c r="I781" s="240">
        <f t="shared" si="840"/>
        <v>0</v>
      </c>
      <c r="J781" s="240">
        <f t="shared" si="840"/>
        <v>2683099</v>
      </c>
      <c r="K781" s="240">
        <f t="shared" si="840"/>
        <v>2742016</v>
      </c>
      <c r="L781" s="240">
        <f t="shared" si="840"/>
        <v>2788269</v>
      </c>
      <c r="M781" s="240">
        <f t="shared" si="840"/>
        <v>2834164</v>
      </c>
      <c r="N781" s="240">
        <f t="shared" si="840"/>
        <v>3092265</v>
      </c>
      <c r="O781" s="240">
        <f t="shared" si="840"/>
        <v>0</v>
      </c>
      <c r="P781" s="240">
        <f t="shared" si="840"/>
        <v>0</v>
      </c>
      <c r="Q781" s="240">
        <f t="shared" si="840"/>
        <v>3181372</v>
      </c>
      <c r="R781" s="240">
        <f t="shared" si="840"/>
        <v>369097.772</v>
      </c>
      <c r="S781" s="240">
        <f t="shared" si="840"/>
        <v>1011.2267726027397</v>
      </c>
      <c r="T781" s="240">
        <f t="shared" si="840"/>
        <v>229223.77539999998</v>
      </c>
      <c r="U781" s="424">
        <f t="shared" si="840"/>
        <v>0</v>
      </c>
      <c r="V781" s="425"/>
      <c r="W781" s="240">
        <f>SUM(W769:W780)</f>
        <v>39858</v>
      </c>
      <c r="X781" s="240">
        <f>SUM(X769:X780)</f>
        <v>0</v>
      </c>
      <c r="Y781" s="240">
        <f>SUM(Y769:Y780)</f>
        <v>0</v>
      </c>
      <c r="Z781" s="424"/>
      <c r="AA781" s="424"/>
      <c r="AB781" s="426"/>
      <c r="AC781" s="240">
        <f t="shared" ref="AC781:AM781" si="841">SUM(AC769:AC780)</f>
        <v>23117.64</v>
      </c>
      <c r="AD781" s="244">
        <f t="shared" si="841"/>
        <v>5181.54</v>
      </c>
      <c r="AE781" s="244">
        <f t="shared" si="841"/>
        <v>3497.5394999999999</v>
      </c>
      <c r="AF781" s="244">
        <f t="shared" si="841"/>
        <v>1594.32</v>
      </c>
      <c r="AG781" s="244">
        <f t="shared" si="841"/>
        <v>797.16</v>
      </c>
      <c r="AH781" s="244">
        <f t="shared" si="841"/>
        <v>797.16</v>
      </c>
      <c r="AI781" s="244">
        <f t="shared" si="841"/>
        <v>398.58</v>
      </c>
      <c r="AJ781" s="244">
        <f t="shared" si="841"/>
        <v>797.16</v>
      </c>
      <c r="AK781" s="244">
        <f t="shared" si="841"/>
        <v>797.16</v>
      </c>
      <c r="AL781" s="244">
        <f t="shared" si="841"/>
        <v>2790.0600000000004</v>
      </c>
      <c r="AM781" s="245">
        <f t="shared" si="841"/>
        <v>12266.299499999999</v>
      </c>
      <c r="AN781" s="158"/>
      <c r="AO781" s="183"/>
      <c r="AP781" s="160">
        <f>SUM(AP769:AP780)</f>
        <v>205426170.98639998</v>
      </c>
      <c r="AQ781" s="160">
        <f t="shared" ref="AQ781:AX781" si="842">SUM(AQ769:AQ780)</f>
        <v>57062.829839026017</v>
      </c>
      <c r="AR781" s="160">
        <f t="shared" si="842"/>
        <v>11412.565967805203</v>
      </c>
      <c r="AS781" s="185"/>
      <c r="AT781" s="186"/>
      <c r="AU781" s="435">
        <f t="shared" si="842"/>
        <v>0</v>
      </c>
      <c r="AV781" s="246">
        <f t="shared" si="842"/>
        <v>1.6285054177804228</v>
      </c>
      <c r="AW781" s="246">
        <f t="shared" si="842"/>
        <v>0</v>
      </c>
      <c r="AX781" s="185">
        <f t="shared" si="842"/>
        <v>1.6285054177804228</v>
      </c>
      <c r="AY781" s="189"/>
    </row>
    <row r="782" spans="1:51" s="139" customFormat="1" ht="10.9" hidden="1" customHeight="1" x14ac:dyDescent="0.25">
      <c r="B782" s="247"/>
      <c r="C782" s="152"/>
      <c r="D782" s="247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248"/>
      <c r="Q782" s="249"/>
      <c r="R782" s="250"/>
      <c r="S782" s="250"/>
      <c r="T782" s="251"/>
      <c r="U782" s="199"/>
      <c r="V782" s="179"/>
      <c r="W782" s="249"/>
      <c r="X782" s="249"/>
      <c r="Y782" s="152"/>
      <c r="Z782" s="153"/>
      <c r="AA782" s="153"/>
      <c r="AB782" s="154"/>
      <c r="AC782" s="247"/>
      <c r="AD782" s="252"/>
      <c r="AE782" s="252"/>
      <c r="AF782" s="252"/>
      <c r="AG782" s="252"/>
      <c r="AH782" s="252"/>
      <c r="AI782" s="252"/>
      <c r="AJ782" s="252"/>
      <c r="AK782" s="252"/>
      <c r="AL782" s="252"/>
      <c r="AM782" s="214"/>
      <c r="AN782" s="203"/>
      <c r="AO782" s="204"/>
      <c r="AP782" s="203"/>
      <c r="AQ782" s="205"/>
      <c r="AR782" s="206"/>
      <c r="AS782" s="253"/>
      <c r="AT782" s="254"/>
      <c r="AU782" s="255"/>
      <c r="AV782" s="256"/>
      <c r="AW782" s="257"/>
      <c r="AX782" s="214"/>
      <c r="AY782" s="212"/>
    </row>
    <row r="783" spans="1:51" s="139" customFormat="1" ht="15" hidden="1" customHeight="1" x14ac:dyDescent="0.25">
      <c r="A783" s="1"/>
      <c r="B783" s="120"/>
      <c r="C783" s="258" t="s">
        <v>179</v>
      </c>
      <c r="D783" s="122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213"/>
      <c r="Q783" s="76"/>
      <c r="R783" s="108"/>
      <c r="S783" s="108"/>
      <c r="T783" s="94"/>
      <c r="U783" s="120"/>
      <c r="V783" s="67"/>
      <c r="W783" s="123"/>
      <c r="X783" s="123"/>
      <c r="Y783" s="125"/>
      <c r="Z783" s="126"/>
      <c r="AA783" s="126"/>
      <c r="AB783" s="127"/>
      <c r="AC783" s="62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125"/>
      <c r="AN783" s="75"/>
      <c r="AO783" s="216"/>
      <c r="AP783" s="75"/>
      <c r="AQ783" s="51"/>
      <c r="AR783" s="259"/>
      <c r="AS783" s="218"/>
      <c r="AT783" s="219"/>
      <c r="AU783" s="220"/>
      <c r="AV783" s="135"/>
      <c r="AW783" s="136"/>
      <c r="AX783" s="137"/>
      <c r="AY783" s="138"/>
    </row>
    <row r="784" spans="1:51" ht="10.9" hidden="1" customHeight="1" x14ac:dyDescent="0.25">
      <c r="B784" s="140">
        <v>1</v>
      </c>
      <c r="C784" s="221" t="s">
        <v>180</v>
      </c>
      <c r="D784" s="235"/>
      <c r="E784" s="236"/>
      <c r="F784" s="236"/>
      <c r="G784" s="236"/>
      <c r="H784" s="236"/>
      <c r="I784" s="236"/>
      <c r="J784" s="236"/>
      <c r="K784" s="236">
        <v>137203</v>
      </c>
      <c r="L784" s="236">
        <v>140083</v>
      </c>
      <c r="M784" s="236">
        <v>142964</v>
      </c>
      <c r="N784" s="236">
        <v>142940</v>
      </c>
      <c r="O784" s="236"/>
      <c r="P784" s="237"/>
      <c r="Q784" s="223">
        <f t="shared" ref="Q784:Q793" si="843">MAX(D784:P784)</f>
        <v>142964</v>
      </c>
      <c r="R784" s="147">
        <f t="shared" ref="R784:R793" si="844">Q784*$R$10</f>
        <v>15726.04</v>
      </c>
      <c r="S784" s="147">
        <f t="shared" ref="S784:S793" si="845">R784/$S$5</f>
        <v>43.085041095890411</v>
      </c>
      <c r="T784" s="148">
        <f t="shared" ref="T784:T793" si="846">S784*$T$5*$T$10</f>
        <v>9435.6239999999998</v>
      </c>
      <c r="U784" s="420"/>
      <c r="V784" s="407"/>
      <c r="W784" s="222"/>
      <c r="X784" s="222"/>
      <c r="Y784" s="408"/>
      <c r="Z784" s="409"/>
      <c r="AA784" s="409"/>
      <c r="AB784" s="410"/>
      <c r="AC784" s="155"/>
      <c r="AD784" s="156"/>
      <c r="AE784" s="156"/>
      <c r="AF784" s="156"/>
      <c r="AG784" s="156"/>
      <c r="AH784" s="156"/>
      <c r="AI784" s="156"/>
      <c r="AJ784" s="156"/>
      <c r="AK784" s="156"/>
      <c r="AL784" s="156"/>
      <c r="AM784" s="157">
        <f t="shared" ref="AM784:AM793" si="847">SUM(AD784:AI784)</f>
        <v>0</v>
      </c>
      <c r="AN784" s="158">
        <f t="shared" ref="AN784:AN794" si="848">$AN$641</f>
        <v>4000</v>
      </c>
      <c r="AO784" s="159">
        <v>0.2</v>
      </c>
      <c r="AP784" s="160">
        <f t="shared" ref="AP784:AP794" si="849">AM784*AN784*$AP$5</f>
        <v>0</v>
      </c>
      <c r="AQ784" s="161">
        <f t="shared" ref="AQ784:AQ794" si="850">AP784*$AQ$5</f>
        <v>0</v>
      </c>
      <c r="AR784" s="162">
        <f t="shared" ref="AR784:AR794" si="851">AQ784*$AR$5</f>
        <v>0</v>
      </c>
      <c r="AS784" s="163"/>
      <c r="AT784" s="164"/>
      <c r="AU784" s="165"/>
      <c r="AV784" s="166"/>
      <c r="AW784" s="167"/>
      <c r="AX784" s="146">
        <f>SUM(AU784:AV784)</f>
        <v>0</v>
      </c>
      <c r="AY784" s="168"/>
    </row>
    <row r="785" spans="1:51" ht="10.9" hidden="1" customHeight="1" x14ac:dyDescent="0.25">
      <c r="B785" s="140">
        <v>2</v>
      </c>
      <c r="C785" s="221" t="s">
        <v>181</v>
      </c>
      <c r="D785" s="235"/>
      <c r="E785" s="236"/>
      <c r="F785" s="236"/>
      <c r="G785" s="236"/>
      <c r="H785" s="236"/>
      <c r="I785" s="236"/>
      <c r="J785" s="236"/>
      <c r="K785" s="236">
        <v>149714</v>
      </c>
      <c r="L785" s="236">
        <v>253661</v>
      </c>
      <c r="M785" s="236">
        <v>257563</v>
      </c>
      <c r="N785" s="236">
        <v>246787</v>
      </c>
      <c r="O785" s="236"/>
      <c r="P785" s="237"/>
      <c r="Q785" s="223">
        <f t="shared" si="843"/>
        <v>257563</v>
      </c>
      <c r="R785" s="147">
        <f t="shared" si="844"/>
        <v>28331.93</v>
      </c>
      <c r="S785" s="147">
        <f t="shared" si="845"/>
        <v>77.621726027397258</v>
      </c>
      <c r="T785" s="148">
        <f t="shared" si="846"/>
        <v>16999.157999999999</v>
      </c>
      <c r="U785" s="420"/>
      <c r="V785" s="407"/>
      <c r="W785" s="222"/>
      <c r="X785" s="222"/>
      <c r="Y785" s="408"/>
      <c r="Z785" s="409"/>
      <c r="AA785" s="409"/>
      <c r="AB785" s="410"/>
      <c r="AC785" s="155"/>
      <c r="AD785" s="156"/>
      <c r="AE785" s="156"/>
      <c r="AF785" s="156"/>
      <c r="AG785" s="156"/>
      <c r="AH785" s="156"/>
      <c r="AI785" s="156"/>
      <c r="AJ785" s="156"/>
      <c r="AK785" s="156"/>
      <c r="AL785" s="156"/>
      <c r="AM785" s="157">
        <f t="shared" si="847"/>
        <v>0</v>
      </c>
      <c r="AN785" s="158">
        <f t="shared" si="848"/>
        <v>4000</v>
      </c>
      <c r="AO785" s="159">
        <v>0.2</v>
      </c>
      <c r="AP785" s="160">
        <f t="shared" si="849"/>
        <v>0</v>
      </c>
      <c r="AQ785" s="161">
        <f t="shared" si="850"/>
        <v>0</v>
      </c>
      <c r="AR785" s="162">
        <f t="shared" si="851"/>
        <v>0</v>
      </c>
      <c r="AS785" s="163"/>
      <c r="AT785" s="164"/>
      <c r="AU785" s="165"/>
      <c r="AV785" s="166"/>
      <c r="AW785" s="167"/>
      <c r="AX785" s="146">
        <f t="shared" ref="AX785:AX793" si="852">SUM(AU785:AV785)</f>
        <v>0</v>
      </c>
      <c r="AY785" s="168"/>
    </row>
    <row r="786" spans="1:51" ht="10.9" hidden="1" customHeight="1" x14ac:dyDescent="0.25">
      <c r="B786" s="140">
        <v>3</v>
      </c>
      <c r="C786" s="221" t="s">
        <v>182</v>
      </c>
      <c r="D786" s="235"/>
      <c r="E786" s="236"/>
      <c r="F786" s="236"/>
      <c r="G786" s="236"/>
      <c r="H786" s="236"/>
      <c r="I786" s="236"/>
      <c r="J786" s="236"/>
      <c r="K786" s="236">
        <v>339873</v>
      </c>
      <c r="L786" s="236">
        <v>343568</v>
      </c>
      <c r="M786" s="236">
        <v>253052</v>
      </c>
      <c r="N786" s="236">
        <v>257675</v>
      </c>
      <c r="O786" s="236"/>
      <c r="P786" s="237"/>
      <c r="Q786" s="223">
        <f t="shared" si="843"/>
        <v>343568</v>
      </c>
      <c r="R786" s="147">
        <f t="shared" si="844"/>
        <v>37792.480000000003</v>
      </c>
      <c r="S786" s="147">
        <f t="shared" si="845"/>
        <v>103.54104109589042</v>
      </c>
      <c r="T786" s="148">
        <f t="shared" si="846"/>
        <v>22675.488000000001</v>
      </c>
      <c r="U786" s="420"/>
      <c r="V786" s="407"/>
      <c r="W786" s="222"/>
      <c r="X786" s="222"/>
      <c r="Y786" s="408"/>
      <c r="Z786" s="409"/>
      <c r="AA786" s="409"/>
      <c r="AB786" s="410"/>
      <c r="AC786" s="155"/>
      <c r="AD786" s="156"/>
      <c r="AE786" s="156"/>
      <c r="AF786" s="156"/>
      <c r="AG786" s="156"/>
      <c r="AH786" s="156"/>
      <c r="AI786" s="156"/>
      <c r="AJ786" s="156"/>
      <c r="AK786" s="156"/>
      <c r="AL786" s="156"/>
      <c r="AM786" s="157">
        <f t="shared" si="847"/>
        <v>0</v>
      </c>
      <c r="AN786" s="158">
        <f t="shared" si="848"/>
        <v>4000</v>
      </c>
      <c r="AO786" s="159">
        <v>0.2</v>
      </c>
      <c r="AP786" s="160">
        <f t="shared" si="849"/>
        <v>0</v>
      </c>
      <c r="AQ786" s="161">
        <f t="shared" si="850"/>
        <v>0</v>
      </c>
      <c r="AR786" s="162">
        <f t="shared" si="851"/>
        <v>0</v>
      </c>
      <c r="AS786" s="163"/>
      <c r="AT786" s="164"/>
      <c r="AU786" s="165"/>
      <c r="AV786" s="166"/>
      <c r="AW786" s="167"/>
      <c r="AX786" s="146">
        <f t="shared" si="852"/>
        <v>0</v>
      </c>
      <c r="AY786" s="168"/>
    </row>
    <row r="787" spans="1:51" ht="10.9" hidden="1" customHeight="1" x14ac:dyDescent="0.25">
      <c r="B787" s="140">
        <v>4</v>
      </c>
      <c r="C787" s="221" t="s">
        <v>183</v>
      </c>
      <c r="D787" s="235"/>
      <c r="E787" s="236"/>
      <c r="F787" s="236"/>
      <c r="G787" s="236"/>
      <c r="H787" s="236"/>
      <c r="I787" s="236"/>
      <c r="J787" s="236"/>
      <c r="K787" s="236">
        <v>112528</v>
      </c>
      <c r="L787" s="236">
        <v>115168</v>
      </c>
      <c r="M787" s="236">
        <v>117821</v>
      </c>
      <c r="N787" s="236">
        <v>107899</v>
      </c>
      <c r="O787" s="236"/>
      <c r="P787" s="237"/>
      <c r="Q787" s="223">
        <f t="shared" si="843"/>
        <v>117821</v>
      </c>
      <c r="R787" s="147">
        <f t="shared" si="844"/>
        <v>12960.31</v>
      </c>
      <c r="S787" s="147">
        <f t="shared" si="845"/>
        <v>35.507698630136986</v>
      </c>
      <c r="T787" s="148">
        <f t="shared" si="846"/>
        <v>7776.1859999999997</v>
      </c>
      <c r="U787" s="420"/>
      <c r="V787" s="407"/>
      <c r="W787" s="222"/>
      <c r="X787" s="222"/>
      <c r="Y787" s="408"/>
      <c r="Z787" s="409"/>
      <c r="AA787" s="409"/>
      <c r="AB787" s="410"/>
      <c r="AC787" s="155"/>
      <c r="AD787" s="156"/>
      <c r="AE787" s="156"/>
      <c r="AF787" s="156"/>
      <c r="AG787" s="156"/>
      <c r="AH787" s="156"/>
      <c r="AI787" s="156"/>
      <c r="AJ787" s="156"/>
      <c r="AK787" s="156"/>
      <c r="AL787" s="156"/>
      <c r="AM787" s="157">
        <f t="shared" si="847"/>
        <v>0</v>
      </c>
      <c r="AN787" s="158">
        <f t="shared" si="848"/>
        <v>4000</v>
      </c>
      <c r="AO787" s="159">
        <v>0.2</v>
      </c>
      <c r="AP787" s="160">
        <f t="shared" si="849"/>
        <v>0</v>
      </c>
      <c r="AQ787" s="161">
        <f t="shared" si="850"/>
        <v>0</v>
      </c>
      <c r="AR787" s="162">
        <f t="shared" si="851"/>
        <v>0</v>
      </c>
      <c r="AS787" s="163"/>
      <c r="AT787" s="164"/>
      <c r="AU787" s="165"/>
      <c r="AV787" s="166"/>
      <c r="AW787" s="167"/>
      <c r="AX787" s="146">
        <f t="shared" si="852"/>
        <v>0</v>
      </c>
      <c r="AY787" s="168"/>
    </row>
    <row r="788" spans="1:51" ht="10.9" hidden="1" customHeight="1" x14ac:dyDescent="0.25">
      <c r="B788" s="140">
        <v>5</v>
      </c>
      <c r="C788" s="221" t="s">
        <v>184</v>
      </c>
      <c r="D788" s="235"/>
      <c r="E788" s="236"/>
      <c r="F788" s="236"/>
      <c r="G788" s="236"/>
      <c r="H788" s="236"/>
      <c r="I788" s="236"/>
      <c r="J788" s="236"/>
      <c r="K788" s="236">
        <v>162104</v>
      </c>
      <c r="L788" s="236">
        <v>163859</v>
      </c>
      <c r="M788" s="236">
        <v>165564</v>
      </c>
      <c r="N788" s="236">
        <v>173507</v>
      </c>
      <c r="O788" s="236"/>
      <c r="P788" s="237"/>
      <c r="Q788" s="223">
        <f t="shared" si="843"/>
        <v>173507</v>
      </c>
      <c r="R788" s="147">
        <f t="shared" si="844"/>
        <v>19085.77</v>
      </c>
      <c r="S788" s="147">
        <f t="shared" si="845"/>
        <v>52.289780821917809</v>
      </c>
      <c r="T788" s="148">
        <f t="shared" si="846"/>
        <v>11451.462</v>
      </c>
      <c r="U788" s="420"/>
      <c r="V788" s="407"/>
      <c r="W788" s="222"/>
      <c r="X788" s="222"/>
      <c r="Y788" s="408"/>
      <c r="Z788" s="409"/>
      <c r="AA788" s="409"/>
      <c r="AB788" s="410"/>
      <c r="AC788" s="155"/>
      <c r="AD788" s="156"/>
      <c r="AE788" s="156"/>
      <c r="AF788" s="156"/>
      <c r="AG788" s="156"/>
      <c r="AH788" s="156"/>
      <c r="AI788" s="156"/>
      <c r="AJ788" s="156"/>
      <c r="AK788" s="156"/>
      <c r="AL788" s="156"/>
      <c r="AM788" s="157">
        <f t="shared" si="847"/>
        <v>0</v>
      </c>
      <c r="AN788" s="158">
        <f t="shared" si="848"/>
        <v>4000</v>
      </c>
      <c r="AO788" s="159">
        <v>0.2</v>
      </c>
      <c r="AP788" s="160">
        <f t="shared" si="849"/>
        <v>0</v>
      </c>
      <c r="AQ788" s="161">
        <f t="shared" si="850"/>
        <v>0</v>
      </c>
      <c r="AR788" s="162">
        <f t="shared" si="851"/>
        <v>0</v>
      </c>
      <c r="AS788" s="163"/>
      <c r="AT788" s="164"/>
      <c r="AU788" s="165"/>
      <c r="AV788" s="166"/>
      <c r="AW788" s="167"/>
      <c r="AX788" s="146">
        <f t="shared" si="852"/>
        <v>0</v>
      </c>
      <c r="AY788" s="168"/>
    </row>
    <row r="789" spans="1:51" ht="10.9" hidden="1" customHeight="1" x14ac:dyDescent="0.25">
      <c r="B789" s="140">
        <v>6</v>
      </c>
      <c r="C789" s="221" t="s">
        <v>185</v>
      </c>
      <c r="D789" s="235"/>
      <c r="E789" s="236"/>
      <c r="F789" s="236"/>
      <c r="G789" s="236"/>
      <c r="H789" s="236"/>
      <c r="I789" s="236"/>
      <c r="J789" s="236"/>
      <c r="K789" s="236">
        <v>138590</v>
      </c>
      <c r="L789" s="236">
        <v>142047</v>
      </c>
      <c r="M789" s="236">
        <v>145530</v>
      </c>
      <c r="N789" s="236">
        <v>155753</v>
      </c>
      <c r="O789" s="236"/>
      <c r="P789" s="237"/>
      <c r="Q789" s="223">
        <f t="shared" si="843"/>
        <v>155753</v>
      </c>
      <c r="R789" s="147">
        <f t="shared" si="844"/>
        <v>17132.830000000002</v>
      </c>
      <c r="S789" s="147">
        <f t="shared" si="845"/>
        <v>46.939260273972607</v>
      </c>
      <c r="T789" s="148">
        <f t="shared" si="846"/>
        <v>10279.698</v>
      </c>
      <c r="U789" s="420"/>
      <c r="V789" s="407"/>
      <c r="W789" s="222"/>
      <c r="X789" s="222"/>
      <c r="Y789" s="408"/>
      <c r="Z789" s="409"/>
      <c r="AA789" s="409"/>
      <c r="AB789" s="410"/>
      <c r="AC789" s="155"/>
      <c r="AD789" s="156"/>
      <c r="AE789" s="156"/>
      <c r="AF789" s="156"/>
      <c r="AG789" s="156"/>
      <c r="AH789" s="156"/>
      <c r="AI789" s="156"/>
      <c r="AJ789" s="156"/>
      <c r="AK789" s="156"/>
      <c r="AL789" s="156"/>
      <c r="AM789" s="157">
        <f t="shared" si="847"/>
        <v>0</v>
      </c>
      <c r="AN789" s="158">
        <f t="shared" si="848"/>
        <v>4000</v>
      </c>
      <c r="AO789" s="159">
        <v>0.2</v>
      </c>
      <c r="AP789" s="160">
        <f t="shared" si="849"/>
        <v>0</v>
      </c>
      <c r="AQ789" s="161">
        <f t="shared" si="850"/>
        <v>0</v>
      </c>
      <c r="AR789" s="162">
        <f t="shared" si="851"/>
        <v>0</v>
      </c>
      <c r="AS789" s="163"/>
      <c r="AT789" s="164"/>
      <c r="AU789" s="165"/>
      <c r="AV789" s="166"/>
      <c r="AW789" s="167"/>
      <c r="AX789" s="146">
        <f t="shared" si="852"/>
        <v>0</v>
      </c>
      <c r="AY789" s="168"/>
    </row>
    <row r="790" spans="1:51" ht="10.9" hidden="1" customHeight="1" x14ac:dyDescent="0.25">
      <c r="B790" s="140">
        <v>7</v>
      </c>
      <c r="C790" s="221" t="s">
        <v>186</v>
      </c>
      <c r="D790" s="235"/>
      <c r="E790" s="236"/>
      <c r="F790" s="236"/>
      <c r="G790" s="236"/>
      <c r="H790" s="236"/>
      <c r="I790" s="236"/>
      <c r="J790" s="236"/>
      <c r="K790" s="236">
        <v>89690</v>
      </c>
      <c r="L790" s="236">
        <v>91142</v>
      </c>
      <c r="M790" s="236">
        <v>92579</v>
      </c>
      <c r="N790" s="236">
        <v>99215</v>
      </c>
      <c r="O790" s="236"/>
      <c r="P790" s="237"/>
      <c r="Q790" s="223">
        <f t="shared" si="843"/>
        <v>99215</v>
      </c>
      <c r="R790" s="147">
        <f t="shared" si="844"/>
        <v>10913.65</v>
      </c>
      <c r="S790" s="147">
        <f t="shared" si="845"/>
        <v>29.900410958904107</v>
      </c>
      <c r="T790" s="148">
        <f t="shared" si="846"/>
        <v>6548.19</v>
      </c>
      <c r="U790" s="420"/>
      <c r="V790" s="407"/>
      <c r="W790" s="222"/>
      <c r="X790" s="222"/>
      <c r="Y790" s="408"/>
      <c r="Z790" s="409"/>
      <c r="AA790" s="409"/>
      <c r="AB790" s="410"/>
      <c r="AC790" s="155"/>
      <c r="AD790" s="156"/>
      <c r="AE790" s="156"/>
      <c r="AF790" s="156"/>
      <c r="AG790" s="156"/>
      <c r="AH790" s="156"/>
      <c r="AI790" s="156"/>
      <c r="AJ790" s="156"/>
      <c r="AK790" s="156"/>
      <c r="AL790" s="156"/>
      <c r="AM790" s="157">
        <f t="shared" si="847"/>
        <v>0</v>
      </c>
      <c r="AN790" s="158">
        <f t="shared" si="848"/>
        <v>4000</v>
      </c>
      <c r="AO790" s="159">
        <v>0.2</v>
      </c>
      <c r="AP790" s="160">
        <f t="shared" si="849"/>
        <v>0</v>
      </c>
      <c r="AQ790" s="161">
        <f t="shared" si="850"/>
        <v>0</v>
      </c>
      <c r="AR790" s="162">
        <f t="shared" si="851"/>
        <v>0</v>
      </c>
      <c r="AS790" s="163"/>
      <c r="AT790" s="164"/>
      <c r="AU790" s="165"/>
      <c r="AV790" s="166"/>
      <c r="AW790" s="167"/>
      <c r="AX790" s="146">
        <f t="shared" si="852"/>
        <v>0</v>
      </c>
      <c r="AY790" s="168"/>
    </row>
    <row r="791" spans="1:51" ht="10.9" hidden="1" customHeight="1" x14ac:dyDescent="0.25">
      <c r="B791" s="140">
        <v>8</v>
      </c>
      <c r="C791" s="221" t="s">
        <v>187</v>
      </c>
      <c r="D791" s="235"/>
      <c r="E791" s="236"/>
      <c r="F791" s="236"/>
      <c r="G791" s="236"/>
      <c r="H791" s="236"/>
      <c r="I791" s="236"/>
      <c r="J791" s="236"/>
      <c r="K791" s="236">
        <v>116882</v>
      </c>
      <c r="L791" s="236">
        <v>117916</v>
      </c>
      <c r="M791" s="236">
        <v>118910</v>
      </c>
      <c r="N791" s="236">
        <v>124865</v>
      </c>
      <c r="O791" s="236"/>
      <c r="P791" s="237"/>
      <c r="Q791" s="223">
        <f t="shared" si="843"/>
        <v>124865</v>
      </c>
      <c r="R791" s="147">
        <f t="shared" si="844"/>
        <v>13735.15</v>
      </c>
      <c r="S791" s="147">
        <f t="shared" si="845"/>
        <v>37.630547945205478</v>
      </c>
      <c r="T791" s="148">
        <f t="shared" si="846"/>
        <v>8241.09</v>
      </c>
      <c r="U791" s="420"/>
      <c r="V791" s="407"/>
      <c r="W791" s="222"/>
      <c r="X791" s="222"/>
      <c r="Y791" s="408"/>
      <c r="Z791" s="409"/>
      <c r="AA791" s="409"/>
      <c r="AB791" s="410"/>
      <c r="AC791" s="155"/>
      <c r="AD791" s="156"/>
      <c r="AE791" s="156"/>
      <c r="AF791" s="156"/>
      <c r="AG791" s="156"/>
      <c r="AH791" s="156"/>
      <c r="AI791" s="156"/>
      <c r="AJ791" s="156"/>
      <c r="AK791" s="156"/>
      <c r="AL791" s="156"/>
      <c r="AM791" s="157">
        <f t="shared" si="847"/>
        <v>0</v>
      </c>
      <c r="AN791" s="158">
        <f t="shared" si="848"/>
        <v>4000</v>
      </c>
      <c r="AO791" s="159">
        <v>0.2</v>
      </c>
      <c r="AP791" s="160">
        <f t="shared" si="849"/>
        <v>0</v>
      </c>
      <c r="AQ791" s="161">
        <f t="shared" si="850"/>
        <v>0</v>
      </c>
      <c r="AR791" s="162">
        <f t="shared" si="851"/>
        <v>0</v>
      </c>
      <c r="AS791" s="163"/>
      <c r="AT791" s="164"/>
      <c r="AU791" s="165"/>
      <c r="AV791" s="166"/>
      <c r="AW791" s="167"/>
      <c r="AX791" s="146">
        <f t="shared" si="852"/>
        <v>0</v>
      </c>
      <c r="AY791" s="168"/>
    </row>
    <row r="792" spans="1:51" ht="10.9" hidden="1" customHeight="1" x14ac:dyDescent="0.25">
      <c r="B792" s="140">
        <v>9</v>
      </c>
      <c r="C792" s="221" t="s">
        <v>188</v>
      </c>
      <c r="D792" s="235"/>
      <c r="E792" s="236"/>
      <c r="F792" s="236"/>
      <c r="G792" s="236"/>
      <c r="H792" s="236"/>
      <c r="I792" s="236"/>
      <c r="J792" s="236"/>
      <c r="K792" s="236"/>
      <c r="L792" s="236"/>
      <c r="M792" s="236">
        <v>94106</v>
      </c>
      <c r="N792" s="236">
        <v>98333</v>
      </c>
      <c r="O792" s="236"/>
      <c r="P792" s="237"/>
      <c r="Q792" s="223">
        <f t="shared" si="843"/>
        <v>98333</v>
      </c>
      <c r="R792" s="147">
        <f t="shared" si="844"/>
        <v>10816.63</v>
      </c>
      <c r="S792" s="147">
        <f t="shared" si="845"/>
        <v>29.634602739726024</v>
      </c>
      <c r="T792" s="148">
        <f t="shared" si="846"/>
        <v>6489.9779999999992</v>
      </c>
      <c r="U792" s="420"/>
      <c r="V792" s="407"/>
      <c r="W792" s="222"/>
      <c r="X792" s="222"/>
      <c r="Y792" s="408"/>
      <c r="Z792" s="409"/>
      <c r="AA792" s="409"/>
      <c r="AB792" s="410"/>
      <c r="AC792" s="155"/>
      <c r="AD792" s="156"/>
      <c r="AE792" s="156"/>
      <c r="AF792" s="156"/>
      <c r="AG792" s="156"/>
      <c r="AH792" s="156"/>
      <c r="AI792" s="156"/>
      <c r="AJ792" s="156"/>
      <c r="AK792" s="156"/>
      <c r="AL792" s="156"/>
      <c r="AM792" s="157">
        <f t="shared" si="847"/>
        <v>0</v>
      </c>
      <c r="AN792" s="158">
        <f t="shared" si="848"/>
        <v>4000</v>
      </c>
      <c r="AO792" s="159">
        <v>0.2</v>
      </c>
      <c r="AP792" s="160">
        <f t="shared" si="849"/>
        <v>0</v>
      </c>
      <c r="AQ792" s="161">
        <f t="shared" si="850"/>
        <v>0</v>
      </c>
      <c r="AR792" s="162">
        <f t="shared" si="851"/>
        <v>0</v>
      </c>
      <c r="AS792" s="163"/>
      <c r="AT792" s="164"/>
      <c r="AU792" s="165"/>
      <c r="AV792" s="166"/>
      <c r="AW792" s="167"/>
      <c r="AX792" s="146">
        <f t="shared" si="852"/>
        <v>0</v>
      </c>
      <c r="AY792" s="168"/>
    </row>
    <row r="793" spans="1:51" ht="10.9" hidden="1" customHeight="1" x14ac:dyDescent="0.25">
      <c r="B793" s="140">
        <v>10</v>
      </c>
      <c r="C793" s="238" t="s">
        <v>189</v>
      </c>
      <c r="D793" s="235"/>
      <c r="E793" s="236"/>
      <c r="F793" s="236"/>
      <c r="G793" s="236"/>
      <c r="H793" s="236"/>
      <c r="I793" s="236"/>
      <c r="J793" s="236"/>
      <c r="K793" s="236">
        <v>270079</v>
      </c>
      <c r="L793" s="236">
        <v>274477</v>
      </c>
      <c r="M793" s="236">
        <v>278831</v>
      </c>
      <c r="N793" s="236">
        <v>308544</v>
      </c>
      <c r="O793" s="236"/>
      <c r="P793" s="237"/>
      <c r="Q793" s="304">
        <f t="shared" si="843"/>
        <v>308544</v>
      </c>
      <c r="R793" s="147">
        <f t="shared" si="844"/>
        <v>33939.840000000004</v>
      </c>
      <c r="S793" s="147">
        <f t="shared" si="845"/>
        <v>92.985863013698633</v>
      </c>
      <c r="T793" s="148">
        <f t="shared" si="846"/>
        <v>20363.904000000002</v>
      </c>
      <c r="U793" s="420"/>
      <c r="V793" s="407"/>
      <c r="W793" s="222"/>
      <c r="X793" s="222"/>
      <c r="Y793" s="408"/>
      <c r="Z793" s="409"/>
      <c r="AA793" s="409"/>
      <c r="AB793" s="410"/>
      <c r="AC793" s="155"/>
      <c r="AD793" s="156"/>
      <c r="AE793" s="156"/>
      <c r="AF793" s="156"/>
      <c r="AG793" s="156"/>
      <c r="AH793" s="156"/>
      <c r="AI793" s="156"/>
      <c r="AJ793" s="156"/>
      <c r="AK793" s="156"/>
      <c r="AL793" s="156"/>
      <c r="AM793" s="157">
        <f t="shared" si="847"/>
        <v>0</v>
      </c>
      <c r="AN793" s="158">
        <f t="shared" si="848"/>
        <v>4000</v>
      </c>
      <c r="AO793" s="159">
        <v>0.2</v>
      </c>
      <c r="AP793" s="160">
        <f t="shared" si="849"/>
        <v>0</v>
      </c>
      <c r="AQ793" s="161">
        <f t="shared" si="850"/>
        <v>0</v>
      </c>
      <c r="AR793" s="162">
        <f t="shared" si="851"/>
        <v>0</v>
      </c>
      <c r="AS793" s="163"/>
      <c r="AT793" s="164"/>
      <c r="AU793" s="165"/>
      <c r="AV793" s="166"/>
      <c r="AW793" s="167"/>
      <c r="AX793" s="146">
        <f t="shared" si="852"/>
        <v>0</v>
      </c>
      <c r="AY793" s="168"/>
    </row>
    <row r="794" spans="1:51" ht="10.9" hidden="1" customHeight="1" x14ac:dyDescent="0.25">
      <c r="B794" s="140"/>
      <c r="C794" s="238"/>
      <c r="D794" s="235"/>
      <c r="E794" s="300"/>
      <c r="F794" s="300"/>
      <c r="G794" s="300"/>
      <c r="H794" s="300"/>
      <c r="I794" s="300"/>
      <c r="J794" s="300"/>
      <c r="K794" s="300"/>
      <c r="L794" s="300"/>
      <c r="M794" s="300"/>
      <c r="N794" s="300"/>
      <c r="O794" s="300"/>
      <c r="P794" s="427"/>
      <c r="Q794" s="188"/>
      <c r="R794" s="167"/>
      <c r="S794" s="167"/>
      <c r="T794" s="428"/>
      <c r="U794" s="420" t="s">
        <v>659</v>
      </c>
      <c r="V794" s="407">
        <v>11</v>
      </c>
      <c r="W794" s="430">
        <f>(67*0.25)*365</f>
        <v>6113.75</v>
      </c>
      <c r="X794" s="430"/>
      <c r="Y794" s="427"/>
      <c r="Z794" s="431"/>
      <c r="AA794" s="431"/>
      <c r="AB794" s="432"/>
      <c r="AC794" s="411">
        <f>W794*52%</f>
        <v>3179.15</v>
      </c>
      <c r="AD794" s="412">
        <f>W794*25%</f>
        <v>1528.4375</v>
      </c>
      <c r="AE794" s="412">
        <f>W794*9%</f>
        <v>550.23749999999995</v>
      </c>
      <c r="AF794" s="412">
        <f>W794*5%</f>
        <v>305.6875</v>
      </c>
      <c r="AG794" s="412">
        <f>W794*3%</f>
        <v>183.41249999999999</v>
      </c>
      <c r="AH794" s="412">
        <f>W794*1%</f>
        <v>61.137500000000003</v>
      </c>
      <c r="AI794" s="412">
        <f>W794*2%</f>
        <v>122.27500000000001</v>
      </c>
      <c r="AJ794" s="412">
        <f>W794*1%</f>
        <v>61.137500000000003</v>
      </c>
      <c r="AK794" s="412">
        <f>W794*4%</f>
        <v>244.55</v>
      </c>
      <c r="AL794" s="412">
        <f>W794*1%</f>
        <v>61.137500000000003</v>
      </c>
      <c r="AM794" s="413">
        <f>SUM(AD794:AI794)</f>
        <v>2751.1875</v>
      </c>
      <c r="AN794" s="158">
        <f t="shared" si="848"/>
        <v>4000</v>
      </c>
      <c r="AO794" s="159">
        <v>0.2</v>
      </c>
      <c r="AP794" s="160">
        <f t="shared" si="849"/>
        <v>46074687.299999997</v>
      </c>
      <c r="AQ794" s="161">
        <f t="shared" si="850"/>
        <v>12798.525273881938</v>
      </c>
      <c r="AR794" s="162">
        <f t="shared" si="851"/>
        <v>2559.7050547763879</v>
      </c>
      <c r="AS794" s="163"/>
      <c r="AT794" s="233"/>
      <c r="AU794" s="187"/>
      <c r="AV794" s="414">
        <f>AR794/$AV$5</f>
        <v>0.36525471672037496</v>
      </c>
      <c r="AW794" s="415"/>
      <c r="AX794" s="146">
        <f>SUM(AU794:AV794)</f>
        <v>0.36525471672037496</v>
      </c>
      <c r="AY794" s="168"/>
    </row>
    <row r="795" spans="1:51" s="263" customFormat="1" ht="17.25" hidden="1" customHeight="1" x14ac:dyDescent="0.25">
      <c r="A795" s="173"/>
      <c r="B795" s="225"/>
      <c r="C795" s="258" t="s">
        <v>190</v>
      </c>
      <c r="D795" s="240">
        <f t="shared" ref="D795:S795" si="853">SUM(D784:D794)</f>
        <v>0</v>
      </c>
      <c r="E795" s="240">
        <f t="shared" si="853"/>
        <v>0</v>
      </c>
      <c r="F795" s="240">
        <f t="shared" si="853"/>
        <v>0</v>
      </c>
      <c r="G795" s="240">
        <f t="shared" si="853"/>
        <v>0</v>
      </c>
      <c r="H795" s="240">
        <f t="shared" si="853"/>
        <v>0</v>
      </c>
      <c r="I795" s="240">
        <f t="shared" si="853"/>
        <v>0</v>
      </c>
      <c r="J795" s="240">
        <f t="shared" si="853"/>
        <v>0</v>
      </c>
      <c r="K795" s="240">
        <f t="shared" si="853"/>
        <v>1516663</v>
      </c>
      <c r="L795" s="240">
        <f t="shared" si="853"/>
        <v>1641921</v>
      </c>
      <c r="M795" s="240">
        <f t="shared" si="853"/>
        <v>1666920</v>
      </c>
      <c r="N795" s="240">
        <f t="shared" si="853"/>
        <v>1715518</v>
      </c>
      <c r="O795" s="240">
        <f t="shared" si="853"/>
        <v>0</v>
      </c>
      <c r="P795" s="240">
        <f t="shared" si="853"/>
        <v>0</v>
      </c>
      <c r="Q795" s="240">
        <f t="shared" si="853"/>
        <v>1822133</v>
      </c>
      <c r="R795" s="240">
        <f t="shared" si="853"/>
        <v>200434.63</v>
      </c>
      <c r="S795" s="240">
        <f t="shared" si="853"/>
        <v>549.13597260273968</v>
      </c>
      <c r="T795" s="240">
        <f>SUM(T784:T794)</f>
        <v>120260.77800000002</v>
      </c>
      <c r="U795" s="240">
        <f t="shared" ref="U795:AX795" si="854">SUM(U784:U794)</f>
        <v>0</v>
      </c>
      <c r="V795" s="240">
        <f t="shared" si="854"/>
        <v>11</v>
      </c>
      <c r="W795" s="240">
        <f t="shared" si="854"/>
        <v>6113.75</v>
      </c>
      <c r="X795" s="240">
        <f t="shared" si="854"/>
        <v>0</v>
      </c>
      <c r="Y795" s="240">
        <f t="shared" si="854"/>
        <v>0</v>
      </c>
      <c r="Z795" s="240">
        <f t="shared" si="854"/>
        <v>0</v>
      </c>
      <c r="AA795" s="240">
        <f t="shared" si="854"/>
        <v>0</v>
      </c>
      <c r="AB795" s="240">
        <f t="shared" si="854"/>
        <v>0</v>
      </c>
      <c r="AC795" s="240">
        <f t="shared" si="854"/>
        <v>3179.15</v>
      </c>
      <c r="AD795" s="240">
        <f t="shared" si="854"/>
        <v>1528.4375</v>
      </c>
      <c r="AE795" s="240">
        <f t="shared" si="854"/>
        <v>550.23749999999995</v>
      </c>
      <c r="AF795" s="240">
        <f t="shared" si="854"/>
        <v>305.6875</v>
      </c>
      <c r="AG795" s="240">
        <f t="shared" si="854"/>
        <v>183.41249999999999</v>
      </c>
      <c r="AH795" s="240">
        <f t="shared" si="854"/>
        <v>61.137500000000003</v>
      </c>
      <c r="AI795" s="240">
        <f t="shared" si="854"/>
        <v>122.27500000000001</v>
      </c>
      <c r="AJ795" s="240">
        <f t="shared" si="854"/>
        <v>61.137500000000003</v>
      </c>
      <c r="AK795" s="240">
        <f t="shared" si="854"/>
        <v>244.55</v>
      </c>
      <c r="AL795" s="240">
        <f t="shared" si="854"/>
        <v>61.137500000000003</v>
      </c>
      <c r="AM795" s="240">
        <f t="shared" si="854"/>
        <v>2751.1875</v>
      </c>
      <c r="AN795" s="240"/>
      <c r="AO795" s="240">
        <f t="shared" si="854"/>
        <v>2.1999999999999997</v>
      </c>
      <c r="AP795" s="240">
        <f t="shared" si="854"/>
        <v>46074687.299999997</v>
      </c>
      <c r="AQ795" s="240">
        <f t="shared" si="854"/>
        <v>12798.525273881938</v>
      </c>
      <c r="AR795" s="240">
        <f t="shared" si="854"/>
        <v>2559.7050547763879</v>
      </c>
      <c r="AS795" s="240">
        <f t="shared" si="854"/>
        <v>0</v>
      </c>
      <c r="AT795" s="240">
        <f t="shared" si="854"/>
        <v>0</v>
      </c>
      <c r="AU795" s="240">
        <f t="shared" si="854"/>
        <v>0</v>
      </c>
      <c r="AV795" s="240">
        <f t="shared" si="854"/>
        <v>0.36525471672037496</v>
      </c>
      <c r="AW795" s="240">
        <f t="shared" si="854"/>
        <v>0</v>
      </c>
      <c r="AX795" s="240">
        <f t="shared" si="854"/>
        <v>0.36525471672037496</v>
      </c>
      <c r="AY795" s="189"/>
    </row>
    <row r="796" spans="1:51" s="139" customFormat="1" ht="10.9" hidden="1" customHeight="1" x14ac:dyDescent="0.25">
      <c r="B796" s="247"/>
      <c r="C796" s="152"/>
      <c r="D796" s="247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248"/>
      <c r="Q796" s="249"/>
      <c r="R796" s="250"/>
      <c r="S796" s="250"/>
      <c r="T796" s="251"/>
      <c r="U796" s="199"/>
      <c r="V796" s="179"/>
      <c r="W796" s="249"/>
      <c r="X796" s="249"/>
      <c r="Y796" s="152"/>
      <c r="Z796" s="153"/>
      <c r="AA796" s="153"/>
      <c r="AB796" s="154"/>
      <c r="AC796" s="247"/>
      <c r="AD796" s="252"/>
      <c r="AE796" s="252"/>
      <c r="AF796" s="252"/>
      <c r="AG796" s="252"/>
      <c r="AH796" s="252"/>
      <c r="AI796" s="252"/>
      <c r="AJ796" s="252"/>
      <c r="AK796" s="252"/>
      <c r="AL796" s="252"/>
      <c r="AM796" s="214"/>
      <c r="AN796" s="203"/>
      <c r="AO796" s="204"/>
      <c r="AP796" s="203"/>
      <c r="AQ796" s="205"/>
      <c r="AR796" s="206"/>
      <c r="AS796" s="253"/>
      <c r="AT796" s="254"/>
      <c r="AU796" s="255"/>
      <c r="AV796" s="256"/>
      <c r="AW796" s="257"/>
      <c r="AX796" s="214"/>
      <c r="AY796" s="212"/>
    </row>
    <row r="797" spans="1:51" s="139" customFormat="1" ht="15" hidden="1" customHeight="1" x14ac:dyDescent="0.25">
      <c r="A797" s="1"/>
      <c r="B797" s="120"/>
      <c r="C797" s="258" t="s">
        <v>191</v>
      </c>
      <c r="D797" s="122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213"/>
      <c r="Q797" s="76"/>
      <c r="R797" s="108"/>
      <c r="S797" s="108"/>
      <c r="T797" s="94"/>
      <c r="U797" s="120"/>
      <c r="V797" s="67"/>
      <c r="W797" s="123"/>
      <c r="X797" s="123"/>
      <c r="Y797" s="125"/>
      <c r="Z797" s="126"/>
      <c r="AA797" s="126"/>
      <c r="AB797" s="127"/>
      <c r="AC797" s="62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125"/>
      <c r="AN797" s="75"/>
      <c r="AO797" s="216"/>
      <c r="AP797" s="75"/>
      <c r="AQ797" s="51"/>
      <c r="AR797" s="259"/>
      <c r="AS797" s="218"/>
      <c r="AT797" s="219"/>
      <c r="AU797" s="220"/>
      <c r="AV797" s="135"/>
      <c r="AW797" s="136"/>
      <c r="AX797" s="137"/>
      <c r="AY797" s="138"/>
    </row>
    <row r="798" spans="1:51" ht="10.9" hidden="1" customHeight="1" x14ac:dyDescent="0.25">
      <c r="B798" s="140">
        <v>1</v>
      </c>
      <c r="C798" s="258" t="s">
        <v>192</v>
      </c>
      <c r="D798" s="235"/>
      <c r="E798" s="236"/>
      <c r="F798" s="236"/>
      <c r="G798" s="236"/>
      <c r="H798" s="236">
        <v>1112854</v>
      </c>
      <c r="I798" s="236">
        <v>255246</v>
      </c>
      <c r="J798" s="236">
        <v>259292</v>
      </c>
      <c r="K798" s="236">
        <v>262383</v>
      </c>
      <c r="L798" s="236">
        <v>254743</v>
      </c>
      <c r="M798" s="236">
        <v>267022</v>
      </c>
      <c r="N798" s="236">
        <v>324045</v>
      </c>
      <c r="O798" s="236">
        <v>334295</v>
      </c>
      <c r="P798" s="237"/>
      <c r="Q798" s="304">
        <f t="shared" ref="Q798:Q815" si="855">MAX(D798:P798)</f>
        <v>1112854</v>
      </c>
      <c r="R798" s="147">
        <f>Q798*$R$8</f>
        <v>182508.05600000001</v>
      </c>
      <c r="S798" s="147">
        <f t="shared" ref="S798:S809" si="856">R798/$S$5</f>
        <v>500.02207123287673</v>
      </c>
      <c r="T798" s="148">
        <f>S798*$T$5*$T$8</f>
        <v>146006.44480000003</v>
      </c>
      <c r="U798" s="420"/>
      <c r="V798" s="407"/>
      <c r="W798" s="222"/>
      <c r="X798" s="222"/>
      <c r="Y798" s="408"/>
      <c r="Z798" s="409"/>
      <c r="AA798" s="409"/>
      <c r="AB798" s="410"/>
      <c r="AC798" s="155"/>
      <c r="AD798" s="156"/>
      <c r="AE798" s="156"/>
      <c r="AF798" s="156"/>
      <c r="AG798" s="156"/>
      <c r="AH798" s="156"/>
      <c r="AI798" s="156"/>
      <c r="AJ798" s="156"/>
      <c r="AK798" s="156"/>
      <c r="AL798" s="156"/>
      <c r="AM798" s="157">
        <f t="shared" ref="AM798:AM815" si="857">SUM(AD798:AI798)</f>
        <v>0</v>
      </c>
      <c r="AN798" s="158">
        <f t="shared" ref="AN798:AN815" si="858">$AN$641</f>
        <v>4000</v>
      </c>
      <c r="AO798" s="159">
        <v>0.2</v>
      </c>
      <c r="AP798" s="160">
        <f t="shared" ref="AP798:AP813" si="859">AM798*AN798*$AP$5</f>
        <v>0</v>
      </c>
      <c r="AQ798" s="161">
        <f t="shared" ref="AQ798:AQ813" si="860">AP798*$AQ$5</f>
        <v>0</v>
      </c>
      <c r="AR798" s="162">
        <f t="shared" ref="AR798:AR813" si="861">AQ798*$AR$5</f>
        <v>0</v>
      </c>
      <c r="AS798" s="163"/>
      <c r="AT798" s="233"/>
      <c r="AU798" s="187"/>
      <c r="AV798" s="166"/>
      <c r="AW798" s="167"/>
      <c r="AX798" s="146">
        <f>SUM(AU798:AV798)</f>
        <v>0</v>
      </c>
      <c r="AY798" s="168"/>
    </row>
    <row r="799" spans="1:51" ht="10.9" hidden="1" customHeight="1" x14ac:dyDescent="0.25">
      <c r="B799" s="140">
        <v>2</v>
      </c>
      <c r="C799" s="258" t="s">
        <v>193</v>
      </c>
      <c r="D799" s="235"/>
      <c r="E799" s="236"/>
      <c r="F799" s="236"/>
      <c r="G799" s="236"/>
      <c r="H799" s="236">
        <v>1000152</v>
      </c>
      <c r="I799" s="236">
        <v>556828</v>
      </c>
      <c r="J799" s="236">
        <v>572192</v>
      </c>
      <c r="K799" s="236">
        <v>685296</v>
      </c>
      <c r="L799" s="236">
        <v>696505</v>
      </c>
      <c r="M799" s="236">
        <v>707627</v>
      </c>
      <c r="N799" s="236">
        <v>727376</v>
      </c>
      <c r="O799" s="236">
        <v>742374</v>
      </c>
      <c r="P799" s="237"/>
      <c r="Q799" s="304">
        <f t="shared" si="855"/>
        <v>1000152</v>
      </c>
      <c r="R799" s="147">
        <f>Q799*$R$8</f>
        <v>164024.92800000001</v>
      </c>
      <c r="S799" s="147">
        <f t="shared" si="856"/>
        <v>449.38336438356168</v>
      </c>
      <c r="T799" s="148">
        <f>S799*$T$5*$T$8</f>
        <v>131219.94240000003</v>
      </c>
      <c r="U799" s="420"/>
      <c r="V799" s="407"/>
      <c r="W799" s="222"/>
      <c r="X799" s="222"/>
      <c r="Y799" s="408"/>
      <c r="Z799" s="409"/>
      <c r="AA799" s="409"/>
      <c r="AB799" s="410"/>
      <c r="AC799" s="155"/>
      <c r="AD799" s="156"/>
      <c r="AE799" s="156"/>
      <c r="AF799" s="156"/>
      <c r="AG799" s="156"/>
      <c r="AH799" s="156"/>
      <c r="AI799" s="156"/>
      <c r="AJ799" s="156"/>
      <c r="AK799" s="156"/>
      <c r="AL799" s="156"/>
      <c r="AM799" s="157">
        <f t="shared" si="857"/>
        <v>0</v>
      </c>
      <c r="AN799" s="158">
        <f t="shared" si="858"/>
        <v>4000</v>
      </c>
      <c r="AO799" s="159">
        <v>0.2</v>
      </c>
      <c r="AP799" s="160">
        <f t="shared" si="859"/>
        <v>0</v>
      </c>
      <c r="AQ799" s="161">
        <f t="shared" si="860"/>
        <v>0</v>
      </c>
      <c r="AR799" s="162">
        <f t="shared" si="861"/>
        <v>0</v>
      </c>
      <c r="AS799" s="163"/>
      <c r="AT799" s="233"/>
      <c r="AU799" s="187"/>
      <c r="AV799" s="166"/>
      <c r="AW799" s="167"/>
      <c r="AX799" s="146">
        <f t="shared" ref="AX799:AX815" si="862">SUM(AU799:AV799)</f>
        <v>0</v>
      </c>
      <c r="AY799" s="168"/>
    </row>
    <row r="800" spans="1:51" ht="10.9" hidden="1" customHeight="1" x14ac:dyDescent="0.25">
      <c r="B800" s="140">
        <v>3</v>
      </c>
      <c r="C800" s="63" t="s">
        <v>194</v>
      </c>
      <c r="D800" s="235"/>
      <c r="E800" s="236"/>
      <c r="F800" s="236"/>
      <c r="G800" s="236"/>
      <c r="H800" s="236">
        <v>621876</v>
      </c>
      <c r="I800" s="236">
        <v>532222</v>
      </c>
      <c r="J800" s="236">
        <v>643924</v>
      </c>
      <c r="K800" s="236">
        <v>653304</v>
      </c>
      <c r="L800" s="236">
        <v>650906</v>
      </c>
      <c r="M800" s="236">
        <v>668342</v>
      </c>
      <c r="N800" s="236">
        <v>716576</v>
      </c>
      <c r="O800" s="236">
        <v>731410</v>
      </c>
      <c r="P800" s="237"/>
      <c r="Q800" s="223">
        <f t="shared" si="855"/>
        <v>731410</v>
      </c>
      <c r="R800" s="147">
        <f>Q800*$R$9</f>
        <v>106785.86</v>
      </c>
      <c r="S800" s="147">
        <f t="shared" si="856"/>
        <v>292.56400000000002</v>
      </c>
      <c r="T800" s="148">
        <f>S800*$T$5*$T$9</f>
        <v>74750.101999999999</v>
      </c>
      <c r="U800" s="420"/>
      <c r="V800" s="407"/>
      <c r="W800" s="222"/>
      <c r="X800" s="222"/>
      <c r="Y800" s="408"/>
      <c r="Z800" s="409"/>
      <c r="AA800" s="409"/>
      <c r="AB800" s="410"/>
      <c r="AC800" s="155"/>
      <c r="AD800" s="156"/>
      <c r="AE800" s="156"/>
      <c r="AF800" s="156"/>
      <c r="AG800" s="156"/>
      <c r="AH800" s="156"/>
      <c r="AI800" s="156"/>
      <c r="AJ800" s="156"/>
      <c r="AK800" s="156"/>
      <c r="AL800" s="156"/>
      <c r="AM800" s="157">
        <f t="shared" si="857"/>
        <v>0</v>
      </c>
      <c r="AN800" s="158">
        <f t="shared" si="858"/>
        <v>4000</v>
      </c>
      <c r="AO800" s="159">
        <v>0.2</v>
      </c>
      <c r="AP800" s="160">
        <f t="shared" si="859"/>
        <v>0</v>
      </c>
      <c r="AQ800" s="161">
        <f t="shared" si="860"/>
        <v>0</v>
      </c>
      <c r="AR800" s="162">
        <f t="shared" si="861"/>
        <v>0</v>
      </c>
      <c r="AS800" s="163"/>
      <c r="AT800" s="233"/>
      <c r="AU800" s="187"/>
      <c r="AV800" s="166"/>
      <c r="AW800" s="167"/>
      <c r="AX800" s="146">
        <f t="shared" si="862"/>
        <v>0</v>
      </c>
      <c r="AY800" s="168"/>
    </row>
    <row r="801" spans="2:51" ht="10.9" hidden="1" customHeight="1" x14ac:dyDescent="0.25">
      <c r="B801" s="140">
        <v>4</v>
      </c>
      <c r="C801" s="63" t="s">
        <v>195</v>
      </c>
      <c r="D801" s="235"/>
      <c r="E801" s="236"/>
      <c r="F801" s="236"/>
      <c r="G801" s="236"/>
      <c r="H801" s="236">
        <v>541895</v>
      </c>
      <c r="I801" s="236">
        <v>545754</v>
      </c>
      <c r="J801" s="236">
        <v>550478</v>
      </c>
      <c r="K801" s="236">
        <v>553093</v>
      </c>
      <c r="L801" s="236">
        <v>340556</v>
      </c>
      <c r="M801" s="236">
        <v>341055</v>
      </c>
      <c r="N801" s="236">
        <v>369974</v>
      </c>
      <c r="O801" s="236">
        <v>374505</v>
      </c>
      <c r="P801" s="237"/>
      <c r="Q801" s="223">
        <f t="shared" si="855"/>
        <v>553093</v>
      </c>
      <c r="R801" s="147">
        <f>Q801*$R$9</f>
        <v>80751.577999999994</v>
      </c>
      <c r="S801" s="147">
        <f t="shared" si="856"/>
        <v>221.23719999999997</v>
      </c>
      <c r="T801" s="148">
        <f>S801*$T$5*$T$9</f>
        <v>56526.104599999991</v>
      </c>
      <c r="U801" s="420"/>
      <c r="V801" s="407"/>
      <c r="W801" s="222"/>
      <c r="X801" s="222"/>
      <c r="Y801" s="408"/>
      <c r="Z801" s="409"/>
      <c r="AA801" s="409"/>
      <c r="AB801" s="410"/>
      <c r="AC801" s="155"/>
      <c r="AD801" s="156"/>
      <c r="AE801" s="156"/>
      <c r="AF801" s="156"/>
      <c r="AG801" s="156"/>
      <c r="AH801" s="156"/>
      <c r="AI801" s="156"/>
      <c r="AJ801" s="156"/>
      <c r="AK801" s="156"/>
      <c r="AL801" s="156"/>
      <c r="AM801" s="157">
        <f t="shared" si="857"/>
        <v>0</v>
      </c>
      <c r="AN801" s="158">
        <f t="shared" si="858"/>
        <v>4000</v>
      </c>
      <c r="AO801" s="159">
        <v>0.2</v>
      </c>
      <c r="AP801" s="160">
        <f t="shared" si="859"/>
        <v>0</v>
      </c>
      <c r="AQ801" s="161">
        <f t="shared" si="860"/>
        <v>0</v>
      </c>
      <c r="AR801" s="162">
        <f t="shared" si="861"/>
        <v>0</v>
      </c>
      <c r="AS801" s="163"/>
      <c r="AT801" s="164"/>
      <c r="AU801" s="165"/>
      <c r="AV801" s="166"/>
      <c r="AW801" s="167"/>
      <c r="AX801" s="146">
        <f t="shared" si="862"/>
        <v>0</v>
      </c>
      <c r="AY801" s="168"/>
    </row>
    <row r="802" spans="2:51" ht="10.9" hidden="1" customHeight="1" x14ac:dyDescent="0.25">
      <c r="B802" s="140">
        <v>5</v>
      </c>
      <c r="C802" s="63" t="s">
        <v>196</v>
      </c>
      <c r="D802" s="235"/>
      <c r="E802" s="236"/>
      <c r="F802" s="236"/>
      <c r="G802" s="236"/>
      <c r="H802" s="236">
        <v>465682</v>
      </c>
      <c r="I802" s="236">
        <v>474430</v>
      </c>
      <c r="J802" s="236">
        <v>484281</v>
      </c>
      <c r="K802" s="236">
        <v>492437</v>
      </c>
      <c r="L802" s="236">
        <v>499238</v>
      </c>
      <c r="M802" s="236">
        <v>505940</v>
      </c>
      <c r="N802" s="236">
        <v>525508</v>
      </c>
      <c r="O802" s="236">
        <v>535614</v>
      </c>
      <c r="P802" s="237"/>
      <c r="Q802" s="223">
        <f t="shared" si="855"/>
        <v>535614</v>
      </c>
      <c r="R802" s="147">
        <f>Q802*$R$9</f>
        <v>78199.644</v>
      </c>
      <c r="S802" s="147">
        <f t="shared" si="856"/>
        <v>214.2456</v>
      </c>
      <c r="T802" s="148">
        <f>S802*$T$5*$T$9</f>
        <v>54739.750799999994</v>
      </c>
      <c r="U802" s="420"/>
      <c r="V802" s="407"/>
      <c r="W802" s="222"/>
      <c r="X802" s="222"/>
      <c r="Y802" s="408"/>
      <c r="Z802" s="409"/>
      <c r="AA802" s="409"/>
      <c r="AB802" s="410"/>
      <c r="AC802" s="155"/>
      <c r="AD802" s="156"/>
      <c r="AE802" s="156"/>
      <c r="AF802" s="156"/>
      <c r="AG802" s="156"/>
      <c r="AH802" s="156"/>
      <c r="AI802" s="156"/>
      <c r="AJ802" s="156"/>
      <c r="AK802" s="156"/>
      <c r="AL802" s="156"/>
      <c r="AM802" s="157">
        <f t="shared" si="857"/>
        <v>0</v>
      </c>
      <c r="AN802" s="158">
        <f t="shared" si="858"/>
        <v>4000</v>
      </c>
      <c r="AO802" s="159">
        <v>0.2</v>
      </c>
      <c r="AP802" s="160">
        <f t="shared" si="859"/>
        <v>0</v>
      </c>
      <c r="AQ802" s="161">
        <f t="shared" si="860"/>
        <v>0</v>
      </c>
      <c r="AR802" s="162">
        <f t="shared" si="861"/>
        <v>0</v>
      </c>
      <c r="AS802" s="163"/>
      <c r="AT802" s="164"/>
      <c r="AU802" s="165"/>
      <c r="AV802" s="166"/>
      <c r="AW802" s="167"/>
      <c r="AX802" s="146">
        <f t="shared" si="862"/>
        <v>0</v>
      </c>
      <c r="AY802" s="168"/>
    </row>
    <row r="803" spans="2:51" ht="10.9" hidden="1" customHeight="1" x14ac:dyDescent="0.25">
      <c r="B803" s="140">
        <v>6</v>
      </c>
      <c r="C803" s="63" t="s">
        <v>197</v>
      </c>
      <c r="D803" s="235"/>
      <c r="E803" s="236"/>
      <c r="F803" s="236"/>
      <c r="G803" s="236"/>
      <c r="H803" s="236">
        <v>455739</v>
      </c>
      <c r="I803" s="236">
        <v>469175</v>
      </c>
      <c r="J803" s="236">
        <v>484245</v>
      </c>
      <c r="K803" s="236">
        <v>497964</v>
      </c>
      <c r="L803" s="236">
        <v>510387</v>
      </c>
      <c r="M803" s="236">
        <v>523025</v>
      </c>
      <c r="N803" s="236">
        <v>561458</v>
      </c>
      <c r="O803" s="236">
        <v>580489</v>
      </c>
      <c r="P803" s="237"/>
      <c r="Q803" s="223">
        <f t="shared" si="855"/>
        <v>580489</v>
      </c>
      <c r="R803" s="147">
        <f>Q803*$R$9</f>
        <v>84751.394</v>
      </c>
      <c r="S803" s="147">
        <f t="shared" si="856"/>
        <v>232.19560000000001</v>
      </c>
      <c r="T803" s="148">
        <f>S803*$T$5*$T$9</f>
        <v>59325.975799999993</v>
      </c>
      <c r="U803" s="420"/>
      <c r="V803" s="407"/>
      <c r="W803" s="222"/>
      <c r="X803" s="222"/>
      <c r="Y803" s="408"/>
      <c r="Z803" s="409"/>
      <c r="AA803" s="409"/>
      <c r="AB803" s="410"/>
      <c r="AC803" s="155"/>
      <c r="AD803" s="156"/>
      <c r="AE803" s="156"/>
      <c r="AF803" s="156"/>
      <c r="AG803" s="156"/>
      <c r="AH803" s="156"/>
      <c r="AI803" s="156"/>
      <c r="AJ803" s="156"/>
      <c r="AK803" s="156"/>
      <c r="AL803" s="156"/>
      <c r="AM803" s="157">
        <f t="shared" si="857"/>
        <v>0</v>
      </c>
      <c r="AN803" s="158">
        <f t="shared" si="858"/>
        <v>4000</v>
      </c>
      <c r="AO803" s="159">
        <v>0.2</v>
      </c>
      <c r="AP803" s="160">
        <f t="shared" si="859"/>
        <v>0</v>
      </c>
      <c r="AQ803" s="161">
        <f t="shared" si="860"/>
        <v>0</v>
      </c>
      <c r="AR803" s="162">
        <f t="shared" si="861"/>
        <v>0</v>
      </c>
      <c r="AS803" s="163"/>
      <c r="AT803" s="164"/>
      <c r="AU803" s="165"/>
      <c r="AV803" s="166"/>
      <c r="AW803" s="167"/>
      <c r="AX803" s="146">
        <f t="shared" si="862"/>
        <v>0</v>
      </c>
      <c r="AY803" s="168"/>
    </row>
    <row r="804" spans="2:51" ht="10.9" hidden="1" customHeight="1" x14ac:dyDescent="0.25">
      <c r="B804" s="140">
        <v>7</v>
      </c>
      <c r="C804" s="258" t="s">
        <v>198</v>
      </c>
      <c r="D804" s="235"/>
      <c r="E804" s="236"/>
      <c r="F804" s="236"/>
      <c r="G804" s="236"/>
      <c r="H804" s="236">
        <v>712813</v>
      </c>
      <c r="I804" s="236">
        <v>733828</v>
      </c>
      <c r="J804" s="236">
        <v>757398</v>
      </c>
      <c r="K804" s="236">
        <v>778627</v>
      </c>
      <c r="L804" s="236">
        <v>798360</v>
      </c>
      <c r="M804" s="236">
        <v>818280</v>
      </c>
      <c r="N804" s="236">
        <v>750110</v>
      </c>
      <c r="O804" s="236">
        <v>762482</v>
      </c>
      <c r="P804" s="237"/>
      <c r="Q804" s="304">
        <f t="shared" si="855"/>
        <v>818280</v>
      </c>
      <c r="R804" s="147">
        <f>Q804*$R$9</f>
        <v>119468.87999999999</v>
      </c>
      <c r="S804" s="147">
        <f t="shared" si="856"/>
        <v>327.31199999999995</v>
      </c>
      <c r="T804" s="148">
        <f>S804*$T$5*$T$9</f>
        <v>83628.215999999986</v>
      </c>
      <c r="U804" s="420"/>
      <c r="V804" s="407"/>
      <c r="W804" s="222"/>
      <c r="X804" s="222"/>
      <c r="Y804" s="408"/>
      <c r="Z804" s="409"/>
      <c r="AA804" s="409"/>
      <c r="AB804" s="410"/>
      <c r="AC804" s="155"/>
      <c r="AD804" s="156"/>
      <c r="AE804" s="156"/>
      <c r="AF804" s="156"/>
      <c r="AG804" s="156"/>
      <c r="AH804" s="156"/>
      <c r="AI804" s="156"/>
      <c r="AJ804" s="156"/>
      <c r="AK804" s="156"/>
      <c r="AL804" s="156"/>
      <c r="AM804" s="157">
        <f t="shared" si="857"/>
        <v>0</v>
      </c>
      <c r="AN804" s="158">
        <f t="shared" si="858"/>
        <v>4000</v>
      </c>
      <c r="AO804" s="159">
        <v>0.2</v>
      </c>
      <c r="AP804" s="160">
        <f t="shared" si="859"/>
        <v>0</v>
      </c>
      <c r="AQ804" s="161">
        <f t="shared" si="860"/>
        <v>0</v>
      </c>
      <c r="AR804" s="162">
        <f t="shared" si="861"/>
        <v>0</v>
      </c>
      <c r="AS804" s="163"/>
      <c r="AT804" s="233"/>
      <c r="AU804" s="187"/>
      <c r="AV804" s="166"/>
      <c r="AW804" s="167"/>
      <c r="AX804" s="146">
        <f t="shared" si="862"/>
        <v>0</v>
      </c>
      <c r="AY804" s="168"/>
    </row>
    <row r="805" spans="2:51" ht="10.9" hidden="1" customHeight="1" x14ac:dyDescent="0.25">
      <c r="B805" s="140">
        <v>8</v>
      </c>
      <c r="C805" s="63" t="s">
        <v>199</v>
      </c>
      <c r="D805" s="235"/>
      <c r="E805" s="236"/>
      <c r="F805" s="236"/>
      <c r="G805" s="236"/>
      <c r="H805" s="236"/>
      <c r="I805" s="236">
        <v>317277</v>
      </c>
      <c r="J805" s="236">
        <v>322307</v>
      </c>
      <c r="K805" s="236">
        <v>326162</v>
      </c>
      <c r="L805" s="236">
        <v>329071</v>
      </c>
      <c r="M805" s="236">
        <v>331879</v>
      </c>
      <c r="N805" s="236">
        <v>318428</v>
      </c>
      <c r="O805" s="236">
        <v>320290</v>
      </c>
      <c r="P805" s="237"/>
      <c r="Q805" s="223">
        <f t="shared" si="855"/>
        <v>331879</v>
      </c>
      <c r="R805" s="147">
        <f>Q805*$R$10</f>
        <v>36506.69</v>
      </c>
      <c r="S805" s="147">
        <f t="shared" si="856"/>
        <v>100.01832876712329</v>
      </c>
      <c r="T805" s="148">
        <f>S805*$T$5*$T$10</f>
        <v>21904.013999999999</v>
      </c>
      <c r="U805" s="420"/>
      <c r="V805" s="407"/>
      <c r="W805" s="222"/>
      <c r="X805" s="222"/>
      <c r="Y805" s="408"/>
      <c r="Z805" s="409"/>
      <c r="AA805" s="409"/>
      <c r="AB805" s="410"/>
      <c r="AC805" s="155"/>
      <c r="AD805" s="156"/>
      <c r="AE805" s="156"/>
      <c r="AF805" s="156"/>
      <c r="AG805" s="156"/>
      <c r="AH805" s="156"/>
      <c r="AI805" s="156"/>
      <c r="AJ805" s="156"/>
      <c r="AK805" s="156"/>
      <c r="AL805" s="156"/>
      <c r="AM805" s="157">
        <f t="shared" si="857"/>
        <v>0</v>
      </c>
      <c r="AN805" s="158">
        <f t="shared" si="858"/>
        <v>4000</v>
      </c>
      <c r="AO805" s="159">
        <v>0.2</v>
      </c>
      <c r="AP805" s="160">
        <f t="shared" si="859"/>
        <v>0</v>
      </c>
      <c r="AQ805" s="161">
        <f t="shared" si="860"/>
        <v>0</v>
      </c>
      <c r="AR805" s="162">
        <f t="shared" si="861"/>
        <v>0</v>
      </c>
      <c r="AS805" s="163"/>
      <c r="AT805" s="164"/>
      <c r="AU805" s="165"/>
      <c r="AV805" s="166"/>
      <c r="AW805" s="167"/>
      <c r="AX805" s="146">
        <f t="shared" si="862"/>
        <v>0</v>
      </c>
      <c r="AY805" s="168"/>
    </row>
    <row r="806" spans="2:51" ht="10.9" hidden="1" customHeight="1" x14ac:dyDescent="0.25">
      <c r="B806" s="140">
        <v>9</v>
      </c>
      <c r="C806" s="63" t="s">
        <v>200</v>
      </c>
      <c r="D806" s="235"/>
      <c r="E806" s="236"/>
      <c r="F806" s="236"/>
      <c r="G806" s="236"/>
      <c r="H806" s="236"/>
      <c r="I806" s="236">
        <v>556010</v>
      </c>
      <c r="J806" s="236">
        <v>564824</v>
      </c>
      <c r="K806" s="236">
        <v>571557</v>
      </c>
      <c r="L806" s="236">
        <v>576699</v>
      </c>
      <c r="M806" s="236">
        <v>581665</v>
      </c>
      <c r="N806" s="236">
        <v>609982</v>
      </c>
      <c r="O806" s="236">
        <v>619460</v>
      </c>
      <c r="P806" s="237"/>
      <c r="Q806" s="223">
        <f t="shared" si="855"/>
        <v>619460</v>
      </c>
      <c r="R806" s="147">
        <f>Q806*$R$9</f>
        <v>90441.159999999989</v>
      </c>
      <c r="S806" s="147">
        <f t="shared" si="856"/>
        <v>247.78399999999996</v>
      </c>
      <c r="T806" s="148">
        <f>S806*$T$5*$T$9</f>
        <v>63308.811999999991</v>
      </c>
      <c r="U806" s="420"/>
      <c r="V806" s="407"/>
      <c r="W806" s="222"/>
      <c r="X806" s="222"/>
      <c r="Y806" s="408"/>
      <c r="Z806" s="409"/>
      <c r="AA806" s="409"/>
      <c r="AB806" s="410"/>
      <c r="AC806" s="155"/>
      <c r="AD806" s="156"/>
      <c r="AE806" s="156"/>
      <c r="AF806" s="156"/>
      <c r="AG806" s="156"/>
      <c r="AH806" s="156"/>
      <c r="AI806" s="156"/>
      <c r="AJ806" s="156"/>
      <c r="AK806" s="156"/>
      <c r="AL806" s="156"/>
      <c r="AM806" s="157">
        <f t="shared" si="857"/>
        <v>0</v>
      </c>
      <c r="AN806" s="158">
        <f t="shared" si="858"/>
        <v>4000</v>
      </c>
      <c r="AO806" s="159">
        <v>0.2</v>
      </c>
      <c r="AP806" s="160">
        <f t="shared" si="859"/>
        <v>0</v>
      </c>
      <c r="AQ806" s="161">
        <f t="shared" si="860"/>
        <v>0</v>
      </c>
      <c r="AR806" s="162">
        <f t="shared" si="861"/>
        <v>0</v>
      </c>
      <c r="AS806" s="163"/>
      <c r="AT806" s="164"/>
      <c r="AU806" s="165"/>
      <c r="AV806" s="166"/>
      <c r="AW806" s="167"/>
      <c r="AX806" s="146">
        <f t="shared" si="862"/>
        <v>0</v>
      </c>
      <c r="AY806" s="168"/>
    </row>
    <row r="807" spans="2:51" ht="10.9" hidden="1" customHeight="1" x14ac:dyDescent="0.25">
      <c r="B807" s="140">
        <v>10</v>
      </c>
      <c r="C807" s="63" t="s">
        <v>201</v>
      </c>
      <c r="D807" s="235"/>
      <c r="E807" s="236"/>
      <c r="F807" s="236"/>
      <c r="G807" s="236"/>
      <c r="H807" s="236"/>
      <c r="I807" s="236">
        <v>356983</v>
      </c>
      <c r="J807" s="236">
        <v>365333</v>
      </c>
      <c r="K807" s="236">
        <v>372431</v>
      </c>
      <c r="L807" s="236">
        <v>378570</v>
      </c>
      <c r="M807" s="236">
        <v>384663</v>
      </c>
      <c r="N807" s="236">
        <v>380904</v>
      </c>
      <c r="O807" s="236">
        <v>387205</v>
      </c>
      <c r="P807" s="237"/>
      <c r="Q807" s="223">
        <f t="shared" si="855"/>
        <v>387205</v>
      </c>
      <c r="R807" s="147">
        <f>Q807*$R$10</f>
        <v>42592.55</v>
      </c>
      <c r="S807" s="147">
        <f t="shared" si="856"/>
        <v>116.69191780821919</v>
      </c>
      <c r="T807" s="148">
        <f>S807*$T$5*$T$10</f>
        <v>25555.530000000002</v>
      </c>
      <c r="U807" s="420"/>
      <c r="V807" s="407"/>
      <c r="W807" s="222"/>
      <c r="X807" s="222"/>
      <c r="Y807" s="408"/>
      <c r="Z807" s="409"/>
      <c r="AA807" s="409"/>
      <c r="AB807" s="410"/>
      <c r="AC807" s="155"/>
      <c r="AD807" s="156"/>
      <c r="AE807" s="156"/>
      <c r="AF807" s="156"/>
      <c r="AG807" s="156"/>
      <c r="AH807" s="156"/>
      <c r="AI807" s="156"/>
      <c r="AJ807" s="156"/>
      <c r="AK807" s="156"/>
      <c r="AL807" s="156"/>
      <c r="AM807" s="157">
        <f t="shared" si="857"/>
        <v>0</v>
      </c>
      <c r="AN807" s="158">
        <f t="shared" si="858"/>
        <v>4000</v>
      </c>
      <c r="AO807" s="159">
        <v>0.2</v>
      </c>
      <c r="AP807" s="160">
        <f t="shared" si="859"/>
        <v>0</v>
      </c>
      <c r="AQ807" s="161">
        <f t="shared" si="860"/>
        <v>0</v>
      </c>
      <c r="AR807" s="162">
        <f t="shared" si="861"/>
        <v>0</v>
      </c>
      <c r="AS807" s="163"/>
      <c r="AT807" s="164"/>
      <c r="AU807" s="165"/>
      <c r="AV807" s="166"/>
      <c r="AW807" s="167"/>
      <c r="AX807" s="146">
        <f t="shared" si="862"/>
        <v>0</v>
      </c>
      <c r="AY807" s="168"/>
    </row>
    <row r="808" spans="2:51" ht="10.9" hidden="1" customHeight="1" x14ac:dyDescent="0.25">
      <c r="B808" s="140">
        <v>11</v>
      </c>
      <c r="C808" s="63" t="s">
        <v>202</v>
      </c>
      <c r="D808" s="235"/>
      <c r="E808" s="236"/>
      <c r="F808" s="236"/>
      <c r="G808" s="236"/>
      <c r="H808" s="236"/>
      <c r="I808" s="236"/>
      <c r="J808" s="236"/>
      <c r="K808" s="236"/>
      <c r="L808" s="236">
        <v>213559</v>
      </c>
      <c r="M808" s="236">
        <v>213873</v>
      </c>
      <c r="N808" s="236">
        <v>221176</v>
      </c>
      <c r="O808" s="236">
        <v>222735</v>
      </c>
      <c r="P808" s="237"/>
      <c r="Q808" s="223">
        <f t="shared" si="855"/>
        <v>222735</v>
      </c>
      <c r="R808" s="147">
        <f>Q808*$R$10</f>
        <v>24500.85</v>
      </c>
      <c r="S808" s="147">
        <f t="shared" si="856"/>
        <v>67.125616438356161</v>
      </c>
      <c r="T808" s="148">
        <f>S808*$T$5*$T$10</f>
        <v>14700.509999999998</v>
      </c>
      <c r="U808" s="420"/>
      <c r="V808" s="407"/>
      <c r="W808" s="222"/>
      <c r="X808" s="222"/>
      <c r="Y808" s="408"/>
      <c r="Z808" s="409"/>
      <c r="AA808" s="409"/>
      <c r="AB808" s="410"/>
      <c r="AC808" s="155"/>
      <c r="AD808" s="156"/>
      <c r="AE808" s="156"/>
      <c r="AF808" s="156"/>
      <c r="AG808" s="156"/>
      <c r="AH808" s="156"/>
      <c r="AI808" s="156"/>
      <c r="AJ808" s="156"/>
      <c r="AK808" s="156"/>
      <c r="AL808" s="156"/>
      <c r="AM808" s="157">
        <f t="shared" si="857"/>
        <v>0</v>
      </c>
      <c r="AN808" s="158">
        <f t="shared" si="858"/>
        <v>4000</v>
      </c>
      <c r="AO808" s="159">
        <v>0.2</v>
      </c>
      <c r="AP808" s="160">
        <f t="shared" si="859"/>
        <v>0</v>
      </c>
      <c r="AQ808" s="161">
        <f t="shared" si="860"/>
        <v>0</v>
      </c>
      <c r="AR808" s="162">
        <f t="shared" si="861"/>
        <v>0</v>
      </c>
      <c r="AS808" s="163"/>
      <c r="AT808" s="164"/>
      <c r="AU808" s="165"/>
      <c r="AV808" s="166"/>
      <c r="AW808" s="167"/>
      <c r="AX808" s="146">
        <f t="shared" si="862"/>
        <v>0</v>
      </c>
      <c r="AY808" s="168"/>
    </row>
    <row r="809" spans="2:51" ht="10.9" hidden="1" customHeight="1" x14ac:dyDescent="0.25">
      <c r="B809" s="140">
        <v>12</v>
      </c>
      <c r="C809" s="258" t="s">
        <v>203</v>
      </c>
      <c r="D809" s="235"/>
      <c r="E809" s="236"/>
      <c r="F809" s="236"/>
      <c r="G809" s="236"/>
      <c r="H809" s="236">
        <v>1304211</v>
      </c>
      <c r="I809" s="236">
        <v>1338793</v>
      </c>
      <c r="J809" s="236">
        <v>1369239</v>
      </c>
      <c r="K809" s="236">
        <v>1394954</v>
      </c>
      <c r="L809" s="236">
        <v>1417047</v>
      </c>
      <c r="M809" s="236">
        <v>1438938</v>
      </c>
      <c r="N809" s="236">
        <v>1455284</v>
      </c>
      <c r="O809" s="236">
        <v>1481814</v>
      </c>
      <c r="P809" s="237"/>
      <c r="Q809" s="304">
        <f t="shared" si="855"/>
        <v>1481814</v>
      </c>
      <c r="R809" s="147">
        <f>Q809*$R$8</f>
        <v>243017.49600000001</v>
      </c>
      <c r="S809" s="147">
        <f t="shared" si="856"/>
        <v>665.80135890410963</v>
      </c>
      <c r="T809" s="148">
        <f>S809*$T$5*$T$8</f>
        <v>194413.99680000002</v>
      </c>
      <c r="U809" s="420"/>
      <c r="V809" s="407"/>
      <c r="W809" s="222"/>
      <c r="X809" s="222"/>
      <c r="Y809" s="408"/>
      <c r="Z809" s="409"/>
      <c r="AA809" s="409"/>
      <c r="AB809" s="410"/>
      <c r="AC809" s="155"/>
      <c r="AD809" s="156"/>
      <c r="AE809" s="156"/>
      <c r="AF809" s="156"/>
      <c r="AG809" s="156"/>
      <c r="AH809" s="156"/>
      <c r="AI809" s="156"/>
      <c r="AJ809" s="156"/>
      <c r="AK809" s="156"/>
      <c r="AL809" s="156"/>
      <c r="AM809" s="157">
        <f t="shared" si="857"/>
        <v>0</v>
      </c>
      <c r="AN809" s="158">
        <f t="shared" si="858"/>
        <v>4000</v>
      </c>
      <c r="AO809" s="159">
        <v>0.2</v>
      </c>
      <c r="AP809" s="160">
        <f t="shared" si="859"/>
        <v>0</v>
      </c>
      <c r="AQ809" s="161">
        <f t="shared" si="860"/>
        <v>0</v>
      </c>
      <c r="AR809" s="162">
        <f t="shared" si="861"/>
        <v>0</v>
      </c>
      <c r="AS809" s="163"/>
      <c r="AT809" s="233"/>
      <c r="AU809" s="187"/>
      <c r="AV809" s="166"/>
      <c r="AW809" s="167"/>
      <c r="AX809" s="146">
        <f t="shared" si="862"/>
        <v>0</v>
      </c>
      <c r="AY809" s="168"/>
    </row>
    <row r="810" spans="2:51" ht="10.9" hidden="1" customHeight="1" x14ac:dyDescent="0.25">
      <c r="B810" s="140"/>
      <c r="C810" s="258"/>
      <c r="D810" s="235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7"/>
      <c r="Q810" s="223"/>
      <c r="R810" s="167"/>
      <c r="S810" s="147"/>
      <c r="T810" s="146"/>
      <c r="U810" s="420" t="s">
        <v>663</v>
      </c>
      <c r="V810" s="407">
        <v>25</v>
      </c>
      <c r="W810" s="222">
        <f>(515*365)/2</f>
        <v>93987.5</v>
      </c>
      <c r="X810" s="222"/>
      <c r="Y810" s="408" t="s">
        <v>664</v>
      </c>
      <c r="Z810" s="409" t="s">
        <v>665</v>
      </c>
      <c r="AA810" s="410">
        <v>0.25</v>
      </c>
      <c r="AB810" s="410"/>
      <c r="AC810" s="411">
        <f>W810*52%</f>
        <v>48873.5</v>
      </c>
      <c r="AD810" s="412">
        <f>W810*25%</f>
        <v>23496.875</v>
      </c>
      <c r="AE810" s="412">
        <f>W810*9%</f>
        <v>8458.875</v>
      </c>
      <c r="AF810" s="412">
        <f>W810*5%</f>
        <v>4699.375</v>
      </c>
      <c r="AG810" s="412">
        <f>W810*3%</f>
        <v>2819.625</v>
      </c>
      <c r="AH810" s="412">
        <f>W810*1%</f>
        <v>939.875</v>
      </c>
      <c r="AI810" s="412">
        <f>W810*2%</f>
        <v>1879.75</v>
      </c>
      <c r="AJ810" s="412">
        <f>W810*1%</f>
        <v>939.875</v>
      </c>
      <c r="AK810" s="412">
        <f>W810*4%</f>
        <v>3759.5</v>
      </c>
      <c r="AL810" s="412">
        <f>W810*1%</f>
        <v>939.875</v>
      </c>
      <c r="AM810" s="413">
        <f t="shared" si="857"/>
        <v>42294.375</v>
      </c>
      <c r="AN810" s="158">
        <f t="shared" si="858"/>
        <v>4000</v>
      </c>
      <c r="AO810" s="159">
        <v>0.2</v>
      </c>
      <c r="AP810" s="160">
        <f t="shared" si="859"/>
        <v>708312357</v>
      </c>
      <c r="AQ810" s="161">
        <f t="shared" si="860"/>
        <v>196753.44824027459</v>
      </c>
      <c r="AR810" s="162">
        <f t="shared" si="861"/>
        <v>39350.689648054919</v>
      </c>
      <c r="AS810" s="163"/>
      <c r="AT810" s="233"/>
      <c r="AU810" s="187">
        <v>0.5</v>
      </c>
      <c r="AV810" s="414">
        <f>AR810/$AV$5</f>
        <v>5.6151098242087496</v>
      </c>
      <c r="AW810" s="415">
        <f>AV810</f>
        <v>5.6151098242087496</v>
      </c>
      <c r="AX810" s="146">
        <f t="shared" si="862"/>
        <v>6.1151098242087496</v>
      </c>
      <c r="AY810" s="168"/>
    </row>
    <row r="811" spans="2:51" ht="10.9" hidden="1" customHeight="1" x14ac:dyDescent="0.25">
      <c r="B811" s="140"/>
      <c r="C811" s="258"/>
      <c r="D811" s="235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7"/>
      <c r="Q811" s="223"/>
      <c r="R811" s="167"/>
      <c r="S811" s="147"/>
      <c r="T811" s="146"/>
      <c r="U811" s="420" t="s">
        <v>666</v>
      </c>
      <c r="V811" s="407">
        <v>40</v>
      </c>
      <c r="W811" s="222">
        <f>(515*365)/2</f>
        <v>93987.5</v>
      </c>
      <c r="X811" s="222"/>
      <c r="Y811" s="408" t="s">
        <v>667</v>
      </c>
      <c r="Z811" s="409"/>
      <c r="AA811" s="409"/>
      <c r="AB811" s="410"/>
      <c r="AC811" s="411">
        <f>W811*52%</f>
        <v>48873.5</v>
      </c>
      <c r="AD811" s="412">
        <f>W811*25%</f>
        <v>23496.875</v>
      </c>
      <c r="AE811" s="412">
        <f>W811*9%</f>
        <v>8458.875</v>
      </c>
      <c r="AF811" s="412">
        <f>W811*5%</f>
        <v>4699.375</v>
      </c>
      <c r="AG811" s="412">
        <f>W811*3%</f>
        <v>2819.625</v>
      </c>
      <c r="AH811" s="412">
        <f>W811*1%</f>
        <v>939.875</v>
      </c>
      <c r="AI811" s="412">
        <f>W811*2%</f>
        <v>1879.75</v>
      </c>
      <c r="AJ811" s="412">
        <f>W811*1%</f>
        <v>939.875</v>
      </c>
      <c r="AK811" s="412">
        <f>W811*4%</f>
        <v>3759.5</v>
      </c>
      <c r="AL811" s="412">
        <f>W811*1%</f>
        <v>939.875</v>
      </c>
      <c r="AM811" s="413">
        <f>SUM(AD811:AI811)</f>
        <v>42294.375</v>
      </c>
      <c r="AN811" s="158">
        <f t="shared" si="858"/>
        <v>4000</v>
      </c>
      <c r="AO811" s="159">
        <v>0.2</v>
      </c>
      <c r="AP811" s="160">
        <f t="shared" si="859"/>
        <v>708312357</v>
      </c>
      <c r="AQ811" s="161">
        <f t="shared" si="860"/>
        <v>196753.44824027459</v>
      </c>
      <c r="AR811" s="162">
        <f t="shared" si="861"/>
        <v>39350.689648054919</v>
      </c>
      <c r="AS811" s="163"/>
      <c r="AT811" s="233"/>
      <c r="AU811" s="187">
        <v>0.5</v>
      </c>
      <c r="AV811" s="414">
        <f>AR811/$AV$5</f>
        <v>5.6151098242087496</v>
      </c>
      <c r="AW811" s="415">
        <f>AV811</f>
        <v>5.6151098242087496</v>
      </c>
      <c r="AX811" s="146">
        <f t="shared" si="862"/>
        <v>6.1151098242087496</v>
      </c>
      <c r="AY811" s="168"/>
    </row>
    <row r="812" spans="2:51" ht="10.9" hidden="1" customHeight="1" x14ac:dyDescent="0.25">
      <c r="B812" s="140">
        <v>13</v>
      </c>
      <c r="C812" s="63" t="s">
        <v>204</v>
      </c>
      <c r="D812" s="235"/>
      <c r="E812" s="236"/>
      <c r="F812" s="236"/>
      <c r="G812" s="236"/>
      <c r="H812" s="236">
        <v>128207</v>
      </c>
      <c r="I812" s="236">
        <v>130340</v>
      </c>
      <c r="J812" s="236">
        <v>132752</v>
      </c>
      <c r="K812" s="236">
        <v>134686</v>
      </c>
      <c r="L812" s="236">
        <v>136253</v>
      </c>
      <c r="M812" s="236">
        <v>137786</v>
      </c>
      <c r="N812" s="236">
        <v>161984</v>
      </c>
      <c r="O812" s="236">
        <v>166860</v>
      </c>
      <c r="P812" s="237"/>
      <c r="Q812" s="223">
        <f t="shared" si="855"/>
        <v>166860</v>
      </c>
      <c r="R812" s="147">
        <f>Q812*$R$10</f>
        <v>18354.599999999999</v>
      </c>
      <c r="S812" s="147">
        <f>R812/$S$5</f>
        <v>50.286575342465753</v>
      </c>
      <c r="T812" s="148">
        <f>S812*$T$5*$T$10</f>
        <v>11012.759999999998</v>
      </c>
      <c r="U812" s="420"/>
      <c r="V812" s="407"/>
      <c r="W812" s="222"/>
      <c r="X812" s="222"/>
      <c r="Y812" s="408"/>
      <c r="Z812" s="409"/>
      <c r="AA812" s="409"/>
      <c r="AB812" s="410"/>
      <c r="AC812" s="155"/>
      <c r="AD812" s="156"/>
      <c r="AE812" s="156"/>
      <c r="AF812" s="156"/>
      <c r="AG812" s="156"/>
      <c r="AH812" s="156"/>
      <c r="AI812" s="156"/>
      <c r="AJ812" s="156"/>
      <c r="AK812" s="156"/>
      <c r="AL812" s="156"/>
      <c r="AM812" s="157">
        <f t="shared" si="857"/>
        <v>0</v>
      </c>
      <c r="AN812" s="158">
        <f t="shared" si="858"/>
        <v>4000</v>
      </c>
      <c r="AO812" s="159">
        <v>0.2</v>
      </c>
      <c r="AP812" s="160">
        <f t="shared" si="859"/>
        <v>0</v>
      </c>
      <c r="AQ812" s="161">
        <f t="shared" si="860"/>
        <v>0</v>
      </c>
      <c r="AR812" s="162">
        <f t="shared" si="861"/>
        <v>0</v>
      </c>
      <c r="AS812" s="163"/>
      <c r="AT812" s="164"/>
      <c r="AU812" s="165"/>
      <c r="AV812" s="166"/>
      <c r="AW812" s="167"/>
      <c r="AX812" s="146">
        <f t="shared" si="862"/>
        <v>0</v>
      </c>
      <c r="AY812" s="168"/>
    </row>
    <row r="813" spans="2:51" ht="10.9" hidden="1" customHeight="1" x14ac:dyDescent="0.25">
      <c r="B813" s="140">
        <v>14</v>
      </c>
      <c r="C813" s="63" t="s">
        <v>205</v>
      </c>
      <c r="D813" s="235"/>
      <c r="E813" s="236"/>
      <c r="F813" s="236"/>
      <c r="G813" s="236"/>
      <c r="H813" s="236">
        <v>113752</v>
      </c>
      <c r="I813" s="236">
        <v>114562</v>
      </c>
      <c r="J813" s="236">
        <v>115553</v>
      </c>
      <c r="K813" s="236">
        <v>116102</v>
      </c>
      <c r="L813" s="236">
        <v>116316</v>
      </c>
      <c r="M813" s="236">
        <v>116486</v>
      </c>
      <c r="N813" s="236">
        <v>126181</v>
      </c>
      <c r="O813" s="236">
        <v>127706</v>
      </c>
      <c r="P813" s="237"/>
      <c r="Q813" s="223">
        <f t="shared" si="855"/>
        <v>127706</v>
      </c>
      <c r="R813" s="147">
        <f>Q813*$R$10</f>
        <v>14047.66</v>
      </c>
      <c r="S813" s="147">
        <f>R813/$S$5</f>
        <v>38.486739726027395</v>
      </c>
      <c r="T813" s="148">
        <f>S813*$T$5*$T$10</f>
        <v>8428.5959999999995</v>
      </c>
      <c r="U813" s="420"/>
      <c r="V813" s="407"/>
      <c r="W813" s="436"/>
      <c r="X813" s="222"/>
      <c r="Y813" s="408"/>
      <c r="Z813" s="409"/>
      <c r="AA813" s="409"/>
      <c r="AB813" s="410"/>
      <c r="AC813" s="155"/>
      <c r="AD813" s="156"/>
      <c r="AE813" s="156"/>
      <c r="AF813" s="156"/>
      <c r="AG813" s="156"/>
      <c r="AH813" s="156"/>
      <c r="AI813" s="156"/>
      <c r="AJ813" s="156"/>
      <c r="AK813" s="156"/>
      <c r="AL813" s="156"/>
      <c r="AM813" s="157">
        <f t="shared" si="857"/>
        <v>0</v>
      </c>
      <c r="AN813" s="158">
        <f t="shared" si="858"/>
        <v>4000</v>
      </c>
      <c r="AO813" s="159">
        <v>0.2</v>
      </c>
      <c r="AP813" s="160">
        <f t="shared" si="859"/>
        <v>0</v>
      </c>
      <c r="AQ813" s="161">
        <f t="shared" si="860"/>
        <v>0</v>
      </c>
      <c r="AR813" s="162">
        <f t="shared" si="861"/>
        <v>0</v>
      </c>
      <c r="AS813" s="163"/>
      <c r="AT813" s="164"/>
      <c r="AU813" s="165"/>
      <c r="AV813" s="166"/>
      <c r="AW813" s="167"/>
      <c r="AX813" s="146">
        <f t="shared" si="862"/>
        <v>0</v>
      </c>
      <c r="AY813" s="168"/>
    </row>
    <row r="814" spans="2:51" ht="10.9" hidden="1" customHeight="1" x14ac:dyDescent="0.25">
      <c r="B814" s="140"/>
      <c r="C814" s="63"/>
      <c r="D814" s="235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7"/>
      <c r="Q814" s="223"/>
      <c r="R814" s="147"/>
      <c r="S814" s="147"/>
      <c r="T814" s="148"/>
      <c r="U814" s="420" t="s">
        <v>668</v>
      </c>
      <c r="V814" s="407"/>
      <c r="W814" s="436"/>
      <c r="X814" s="222"/>
      <c r="Y814" s="408"/>
      <c r="Z814" s="409"/>
      <c r="AA814" s="409"/>
      <c r="AB814" s="410"/>
      <c r="AC814" s="155"/>
      <c r="AD814" s="156"/>
      <c r="AE814" s="156"/>
      <c r="AF814" s="156"/>
      <c r="AG814" s="156"/>
      <c r="AH814" s="156"/>
      <c r="AI814" s="156"/>
      <c r="AJ814" s="156"/>
      <c r="AK814" s="156"/>
      <c r="AL814" s="156"/>
      <c r="AM814" s="157"/>
      <c r="AN814" s="158"/>
      <c r="AO814" s="159"/>
      <c r="AP814" s="160"/>
      <c r="AQ814" s="161"/>
      <c r="AR814" s="162"/>
      <c r="AS814" s="163"/>
      <c r="AT814" s="164"/>
      <c r="AU814" s="165"/>
      <c r="AV814" s="166"/>
      <c r="AW814" s="167"/>
      <c r="AX814" s="146"/>
      <c r="AY814" s="168"/>
    </row>
    <row r="815" spans="2:51" ht="10.9" hidden="1" customHeight="1" x14ac:dyDescent="0.25">
      <c r="B815" s="140">
        <v>15</v>
      </c>
      <c r="C815" s="63" t="s">
        <v>206</v>
      </c>
      <c r="D815" s="235"/>
      <c r="E815" s="236"/>
      <c r="F815" s="236"/>
      <c r="G815" s="236"/>
      <c r="H815" s="236">
        <v>171235</v>
      </c>
      <c r="I815" s="236">
        <v>174452</v>
      </c>
      <c r="J815" s="236">
        <v>178074</v>
      </c>
      <c r="K815" s="236">
        <v>181068</v>
      </c>
      <c r="L815" s="236">
        <v>183580</v>
      </c>
      <c r="M815" s="236">
        <v>186056</v>
      </c>
      <c r="N815" s="236">
        <v>201308</v>
      </c>
      <c r="O815" s="236">
        <v>206086</v>
      </c>
      <c r="P815" s="237"/>
      <c r="Q815" s="223">
        <f t="shared" si="855"/>
        <v>206086</v>
      </c>
      <c r="R815" s="147">
        <f>Q815*$R$10</f>
        <v>22669.46</v>
      </c>
      <c r="S815" s="147">
        <f>R815/$S$5</f>
        <v>62.108109589041092</v>
      </c>
      <c r="T815" s="148">
        <f>S815*$T$5*$T$10</f>
        <v>13601.675999999999</v>
      </c>
      <c r="U815" s="420"/>
      <c r="V815" s="407"/>
      <c r="W815" s="222"/>
      <c r="X815" s="222"/>
      <c r="Y815" s="408"/>
      <c r="Z815" s="409"/>
      <c r="AA815" s="409"/>
      <c r="AB815" s="410"/>
      <c r="AC815" s="155"/>
      <c r="AD815" s="156"/>
      <c r="AE815" s="156"/>
      <c r="AF815" s="156"/>
      <c r="AG815" s="156"/>
      <c r="AH815" s="156"/>
      <c r="AI815" s="156"/>
      <c r="AJ815" s="156"/>
      <c r="AK815" s="156"/>
      <c r="AL815" s="156"/>
      <c r="AM815" s="157">
        <f t="shared" si="857"/>
        <v>0</v>
      </c>
      <c r="AN815" s="158">
        <f t="shared" si="858"/>
        <v>4000</v>
      </c>
      <c r="AO815" s="159">
        <v>0.2</v>
      </c>
      <c r="AP815" s="160">
        <f>AM815*AN815*$AP$5</f>
        <v>0</v>
      </c>
      <c r="AQ815" s="161">
        <f>AP815*$AQ$5</f>
        <v>0</v>
      </c>
      <c r="AR815" s="162">
        <f>AQ815*$AR$5</f>
        <v>0</v>
      </c>
      <c r="AS815" s="163"/>
      <c r="AT815" s="164"/>
      <c r="AU815" s="165"/>
      <c r="AV815" s="166"/>
      <c r="AW815" s="167"/>
      <c r="AX815" s="146">
        <f t="shared" si="862"/>
        <v>0</v>
      </c>
      <c r="AY815" s="168"/>
    </row>
    <row r="816" spans="2:51" ht="10.9" hidden="1" customHeight="1" x14ac:dyDescent="0.25">
      <c r="B816" s="140"/>
      <c r="C816" s="63"/>
      <c r="D816" s="235"/>
      <c r="E816" s="300"/>
      <c r="F816" s="300"/>
      <c r="G816" s="300"/>
      <c r="H816" s="300"/>
      <c r="I816" s="300"/>
      <c r="J816" s="300"/>
      <c r="K816" s="300"/>
      <c r="L816" s="300"/>
      <c r="M816" s="300"/>
      <c r="N816" s="300"/>
      <c r="O816" s="300"/>
      <c r="P816" s="427"/>
      <c r="Q816" s="166"/>
      <c r="R816" s="167"/>
      <c r="S816" s="167"/>
      <c r="T816" s="428"/>
      <c r="U816" s="420" t="s">
        <v>669</v>
      </c>
      <c r="V816" s="407"/>
      <c r="W816" s="430"/>
      <c r="X816" s="430"/>
      <c r="Y816" s="427"/>
      <c r="Z816" s="431"/>
      <c r="AA816" s="431"/>
      <c r="AB816" s="432"/>
      <c r="AC816" s="155"/>
      <c r="AD816" s="156"/>
      <c r="AE816" s="156"/>
      <c r="AF816" s="156"/>
      <c r="AG816" s="156"/>
      <c r="AH816" s="156"/>
      <c r="AI816" s="156"/>
      <c r="AJ816" s="156"/>
      <c r="AK816" s="156"/>
      <c r="AL816" s="156"/>
      <c r="AM816" s="157"/>
      <c r="AN816" s="158"/>
      <c r="AO816" s="159"/>
      <c r="AP816" s="160"/>
      <c r="AQ816" s="437"/>
      <c r="AR816" s="162"/>
      <c r="AS816" s="163"/>
      <c r="AT816" s="415"/>
      <c r="AU816" s="165"/>
      <c r="AV816" s="166"/>
      <c r="AW816" s="167"/>
      <c r="AX816" s="167"/>
      <c r="AY816" s="168"/>
    </row>
    <row r="817" spans="1:51" s="263" customFormat="1" ht="16.7" hidden="1" customHeight="1" x14ac:dyDescent="0.25">
      <c r="A817" s="173"/>
      <c r="B817" s="225"/>
      <c r="C817" s="258" t="s">
        <v>207</v>
      </c>
      <c r="D817" s="240">
        <f t="shared" ref="D817:S817" si="863">SUM(D798:D816)</f>
        <v>0</v>
      </c>
      <c r="E817" s="240">
        <f t="shared" si="863"/>
        <v>0</v>
      </c>
      <c r="F817" s="240">
        <f t="shared" si="863"/>
        <v>0</v>
      </c>
      <c r="G817" s="240">
        <f t="shared" si="863"/>
        <v>0</v>
      </c>
      <c r="H817" s="240">
        <f t="shared" si="863"/>
        <v>6628416</v>
      </c>
      <c r="I817" s="240">
        <f t="shared" si="863"/>
        <v>6555900</v>
      </c>
      <c r="J817" s="240">
        <f t="shared" si="863"/>
        <v>6799892</v>
      </c>
      <c r="K817" s="240">
        <f t="shared" si="863"/>
        <v>7020064</v>
      </c>
      <c r="L817" s="240">
        <f t="shared" si="863"/>
        <v>7101790</v>
      </c>
      <c r="M817" s="240">
        <f t="shared" si="863"/>
        <v>7222637</v>
      </c>
      <c r="N817" s="240">
        <f t="shared" si="863"/>
        <v>7450294</v>
      </c>
      <c r="O817" s="240">
        <f t="shared" si="863"/>
        <v>7593325</v>
      </c>
      <c r="P817" s="240">
        <f t="shared" si="863"/>
        <v>0</v>
      </c>
      <c r="Q817" s="240">
        <f t="shared" si="863"/>
        <v>8875637</v>
      </c>
      <c r="R817" s="240">
        <f t="shared" si="863"/>
        <v>1308620.8060000001</v>
      </c>
      <c r="S817" s="240">
        <f t="shared" si="863"/>
        <v>3585.2624821917816</v>
      </c>
      <c r="T817" s="240">
        <f>SUM(T798:T816)</f>
        <v>959122.43120000011</v>
      </c>
      <c r="U817" s="240">
        <f t="shared" ref="U817:AX817" si="864">SUM(U798:U816)</f>
        <v>0</v>
      </c>
      <c r="V817" s="240">
        <f t="shared" si="864"/>
        <v>65</v>
      </c>
      <c r="W817" s="240">
        <f t="shared" si="864"/>
        <v>187975</v>
      </c>
      <c r="X817" s="240">
        <f t="shared" si="864"/>
        <v>0</v>
      </c>
      <c r="Y817" s="240">
        <f t="shared" si="864"/>
        <v>0</v>
      </c>
      <c r="Z817" s="240">
        <f t="shared" si="864"/>
        <v>0</v>
      </c>
      <c r="AA817" s="240">
        <f t="shared" si="864"/>
        <v>0.25</v>
      </c>
      <c r="AB817" s="240">
        <f t="shared" si="864"/>
        <v>0</v>
      </c>
      <c r="AC817" s="240">
        <f t="shared" si="864"/>
        <v>97747</v>
      </c>
      <c r="AD817" s="240">
        <f t="shared" si="864"/>
        <v>46993.75</v>
      </c>
      <c r="AE817" s="240">
        <f t="shared" si="864"/>
        <v>16917.75</v>
      </c>
      <c r="AF817" s="240">
        <f t="shared" si="864"/>
        <v>9398.75</v>
      </c>
      <c r="AG817" s="240">
        <f t="shared" si="864"/>
        <v>5639.25</v>
      </c>
      <c r="AH817" s="240">
        <f t="shared" si="864"/>
        <v>1879.75</v>
      </c>
      <c r="AI817" s="240">
        <f t="shared" si="864"/>
        <v>3759.5</v>
      </c>
      <c r="AJ817" s="240">
        <f t="shared" si="864"/>
        <v>1879.75</v>
      </c>
      <c r="AK817" s="240">
        <f t="shared" si="864"/>
        <v>7519</v>
      </c>
      <c r="AL817" s="240">
        <f t="shared" si="864"/>
        <v>1879.75</v>
      </c>
      <c r="AM817" s="240">
        <f t="shared" si="864"/>
        <v>84588.75</v>
      </c>
      <c r="AN817" s="240"/>
      <c r="AO817" s="240"/>
      <c r="AP817" s="240">
        <f t="shared" si="864"/>
        <v>1416624714</v>
      </c>
      <c r="AQ817" s="240">
        <f t="shared" si="864"/>
        <v>393506.89648054919</v>
      </c>
      <c r="AR817" s="240">
        <f t="shared" si="864"/>
        <v>78701.379296109837</v>
      </c>
      <c r="AS817" s="240">
        <f t="shared" si="864"/>
        <v>0</v>
      </c>
      <c r="AT817" s="240">
        <f t="shared" si="864"/>
        <v>0</v>
      </c>
      <c r="AU817" s="240">
        <f t="shared" si="864"/>
        <v>1</v>
      </c>
      <c r="AV817" s="240">
        <f t="shared" si="864"/>
        <v>11.230219648417499</v>
      </c>
      <c r="AW817" s="240">
        <f t="shared" si="864"/>
        <v>11.230219648417499</v>
      </c>
      <c r="AX817" s="240">
        <f t="shared" si="864"/>
        <v>12.230219648417499</v>
      </c>
      <c r="AY817" s="189"/>
    </row>
    <row r="818" spans="1:51" s="139" customFormat="1" ht="10.9" hidden="1" customHeight="1" x14ac:dyDescent="0.25">
      <c r="B818" s="247"/>
      <c r="C818" s="152"/>
      <c r="D818" s="247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248"/>
      <c r="Q818" s="249"/>
      <c r="R818" s="250"/>
      <c r="S818" s="250"/>
      <c r="T818" s="251"/>
      <c r="U818" s="199"/>
      <c r="V818" s="179"/>
      <c r="W818" s="249"/>
      <c r="X818" s="249"/>
      <c r="Y818" s="152"/>
      <c r="Z818" s="153"/>
      <c r="AA818" s="153"/>
      <c r="AB818" s="154"/>
      <c r="AC818" s="247"/>
      <c r="AD818" s="252"/>
      <c r="AE818" s="252"/>
      <c r="AF818" s="252"/>
      <c r="AG818" s="252"/>
      <c r="AH818" s="252"/>
      <c r="AI818" s="252"/>
      <c r="AJ818" s="252"/>
      <c r="AK818" s="252"/>
      <c r="AL818" s="252"/>
      <c r="AM818" s="214"/>
      <c r="AN818" s="203"/>
      <c r="AO818" s="204"/>
      <c r="AP818" s="203"/>
      <c r="AQ818" s="205"/>
      <c r="AR818" s="206"/>
      <c r="AS818" s="253"/>
      <c r="AT818" s="254"/>
      <c r="AU818" s="255"/>
      <c r="AV818" s="256"/>
      <c r="AW818" s="257"/>
      <c r="AX818" s="214"/>
      <c r="AY818" s="212"/>
    </row>
    <row r="819" spans="1:51" s="139" customFormat="1" ht="15" hidden="1" customHeight="1" x14ac:dyDescent="0.25">
      <c r="A819" s="1"/>
      <c r="B819" s="120"/>
      <c r="C819" s="258" t="s">
        <v>208</v>
      </c>
      <c r="D819" s="122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213"/>
      <c r="Q819" s="76"/>
      <c r="R819" s="108"/>
      <c r="S819" s="108"/>
      <c r="T819" s="94"/>
      <c r="U819" s="120"/>
      <c r="V819" s="67"/>
      <c r="W819" s="123"/>
      <c r="X819" s="123"/>
      <c r="Y819" s="125"/>
      <c r="Z819" s="126"/>
      <c r="AA819" s="126"/>
      <c r="AB819" s="127"/>
      <c r="AC819" s="62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125"/>
      <c r="AN819" s="75"/>
      <c r="AO819" s="216"/>
      <c r="AP819" s="75"/>
      <c r="AQ819" s="51"/>
      <c r="AR819" s="259"/>
      <c r="AS819" s="218"/>
      <c r="AT819" s="219"/>
      <c r="AU819" s="220"/>
      <c r="AV819" s="135"/>
      <c r="AW819" s="136"/>
      <c r="AX819" s="137"/>
      <c r="AY819" s="138"/>
    </row>
    <row r="820" spans="1:51" ht="10.9" hidden="1" customHeight="1" x14ac:dyDescent="0.25">
      <c r="B820" s="140">
        <v>1</v>
      </c>
      <c r="C820" s="63" t="s">
        <v>209</v>
      </c>
      <c r="D820" s="235"/>
      <c r="E820" s="236"/>
      <c r="F820" s="236"/>
      <c r="G820" s="236"/>
      <c r="H820" s="236"/>
      <c r="I820" s="236"/>
      <c r="J820" s="236"/>
      <c r="K820" s="236"/>
      <c r="L820" s="236"/>
      <c r="M820" s="236">
        <v>275515</v>
      </c>
      <c r="N820" s="236">
        <v>277204</v>
      </c>
      <c r="O820" s="236">
        <v>285915</v>
      </c>
      <c r="P820" s="237"/>
      <c r="Q820" s="223">
        <f t="shared" ref="Q820:Q826" si="865">MAX(D820:P820)</f>
        <v>285915</v>
      </c>
      <c r="R820" s="147">
        <f t="shared" ref="R820:R826" si="866">Q820*$R$10</f>
        <v>31450.65</v>
      </c>
      <c r="S820" s="147">
        <f t="shared" ref="S820:S826" si="867">R820/$S$5</f>
        <v>86.16616438356165</v>
      </c>
      <c r="T820" s="148">
        <f t="shared" ref="T820:T826" si="868">S820*$T$5*$T$10</f>
        <v>18870.39</v>
      </c>
      <c r="U820" s="420"/>
      <c r="V820" s="407"/>
      <c r="W820" s="222"/>
      <c r="X820" s="222"/>
      <c r="Y820" s="408"/>
      <c r="Z820" s="409"/>
      <c r="AA820" s="409"/>
      <c r="AB820" s="410"/>
      <c r="AC820" s="155"/>
      <c r="AD820" s="156"/>
      <c r="AE820" s="156"/>
      <c r="AF820" s="156"/>
      <c r="AG820" s="156"/>
      <c r="AH820" s="156"/>
      <c r="AI820" s="156"/>
      <c r="AJ820" s="156"/>
      <c r="AK820" s="156"/>
      <c r="AL820" s="156"/>
      <c r="AM820" s="157">
        <f t="shared" ref="AM820:AM826" si="869">SUM(AD820:AI820)</f>
        <v>0</v>
      </c>
      <c r="AN820" s="158">
        <f t="shared" ref="AN820:AN826" si="870">$AN$641</f>
        <v>4000</v>
      </c>
      <c r="AO820" s="159">
        <v>0.2</v>
      </c>
      <c r="AP820" s="160">
        <f t="shared" ref="AP820:AP826" si="871">AM820*AN820*$AP$5</f>
        <v>0</v>
      </c>
      <c r="AQ820" s="161">
        <f t="shared" ref="AQ820:AQ826" si="872">AP820*$AQ$5</f>
        <v>0</v>
      </c>
      <c r="AR820" s="162">
        <f t="shared" ref="AR820:AR826" si="873">AQ820*$AR$5</f>
        <v>0</v>
      </c>
      <c r="AS820" s="163"/>
      <c r="AT820" s="164"/>
      <c r="AU820" s="165"/>
      <c r="AV820" s="166"/>
      <c r="AW820" s="167"/>
      <c r="AX820" s="146">
        <f>SUM(AU820:AV820)</f>
        <v>0</v>
      </c>
      <c r="AY820" s="168"/>
    </row>
    <row r="821" spans="1:51" ht="10.9" hidden="1" customHeight="1" x14ac:dyDescent="0.25">
      <c r="B821" s="140">
        <v>2</v>
      </c>
      <c r="C821" s="63" t="s">
        <v>210</v>
      </c>
      <c r="D821" s="235"/>
      <c r="E821" s="236"/>
      <c r="F821" s="236"/>
      <c r="G821" s="236"/>
      <c r="H821" s="236"/>
      <c r="I821" s="236"/>
      <c r="J821" s="236"/>
      <c r="K821" s="236"/>
      <c r="L821" s="236"/>
      <c r="M821" s="236">
        <v>140376</v>
      </c>
      <c r="N821" s="236">
        <v>155965</v>
      </c>
      <c r="O821" s="236">
        <v>160866</v>
      </c>
      <c r="P821" s="237"/>
      <c r="Q821" s="223">
        <f t="shared" si="865"/>
        <v>160866</v>
      </c>
      <c r="R821" s="147">
        <f t="shared" si="866"/>
        <v>17695.259999999998</v>
      </c>
      <c r="S821" s="147">
        <f t="shared" si="867"/>
        <v>48.480164383561636</v>
      </c>
      <c r="T821" s="148">
        <f t="shared" si="868"/>
        <v>10617.155999999999</v>
      </c>
      <c r="U821" s="420"/>
      <c r="V821" s="407"/>
      <c r="W821" s="222"/>
      <c r="X821" s="222"/>
      <c r="Y821" s="408"/>
      <c r="Z821" s="409"/>
      <c r="AA821" s="409"/>
      <c r="AB821" s="410"/>
      <c r="AC821" s="155"/>
      <c r="AD821" s="156"/>
      <c r="AE821" s="156"/>
      <c r="AF821" s="156"/>
      <c r="AG821" s="156"/>
      <c r="AH821" s="156"/>
      <c r="AI821" s="156"/>
      <c r="AJ821" s="156"/>
      <c r="AK821" s="156"/>
      <c r="AL821" s="156"/>
      <c r="AM821" s="157">
        <f t="shared" si="869"/>
        <v>0</v>
      </c>
      <c r="AN821" s="158">
        <f t="shared" si="870"/>
        <v>4000</v>
      </c>
      <c r="AO821" s="159">
        <v>0.2</v>
      </c>
      <c r="AP821" s="160">
        <f t="shared" si="871"/>
        <v>0</v>
      </c>
      <c r="AQ821" s="161">
        <f t="shared" si="872"/>
        <v>0</v>
      </c>
      <c r="AR821" s="162">
        <f t="shared" si="873"/>
        <v>0</v>
      </c>
      <c r="AS821" s="163"/>
      <c r="AT821" s="164"/>
      <c r="AU821" s="165"/>
      <c r="AV821" s="166"/>
      <c r="AW821" s="167"/>
      <c r="AX821" s="146">
        <f t="shared" ref="AX821:AX826" si="874">SUM(AU821:AV821)</f>
        <v>0</v>
      </c>
      <c r="AY821" s="168"/>
    </row>
    <row r="822" spans="1:51" ht="10.9" hidden="1" customHeight="1" x14ac:dyDescent="0.25">
      <c r="B822" s="140">
        <v>3</v>
      </c>
      <c r="C822" s="63" t="s">
        <v>211</v>
      </c>
      <c r="D822" s="235"/>
      <c r="E822" s="236"/>
      <c r="F822" s="236"/>
      <c r="G822" s="236"/>
      <c r="H822" s="236"/>
      <c r="I822" s="236"/>
      <c r="J822" s="236"/>
      <c r="K822" s="236"/>
      <c r="L822" s="236"/>
      <c r="M822" s="236">
        <v>160006</v>
      </c>
      <c r="N822" s="236">
        <v>175150</v>
      </c>
      <c r="O822" s="236">
        <v>180654</v>
      </c>
      <c r="P822" s="237"/>
      <c r="Q822" s="223">
        <f t="shared" si="865"/>
        <v>180654</v>
      </c>
      <c r="R822" s="147">
        <f t="shared" si="866"/>
        <v>19871.939999999999</v>
      </c>
      <c r="S822" s="147">
        <f t="shared" si="867"/>
        <v>54.44367123287671</v>
      </c>
      <c r="T822" s="148">
        <f t="shared" si="868"/>
        <v>11923.163999999999</v>
      </c>
      <c r="U822" s="420"/>
      <c r="V822" s="407"/>
      <c r="W822" s="222"/>
      <c r="X822" s="222"/>
      <c r="Y822" s="408"/>
      <c r="Z822" s="409"/>
      <c r="AA822" s="409"/>
      <c r="AB822" s="410"/>
      <c r="AC822" s="155"/>
      <c r="AD822" s="156"/>
      <c r="AE822" s="156"/>
      <c r="AF822" s="156"/>
      <c r="AG822" s="156"/>
      <c r="AH822" s="156"/>
      <c r="AI822" s="156"/>
      <c r="AJ822" s="156"/>
      <c r="AK822" s="156"/>
      <c r="AL822" s="156"/>
      <c r="AM822" s="157">
        <f t="shared" si="869"/>
        <v>0</v>
      </c>
      <c r="AN822" s="158">
        <f t="shared" si="870"/>
        <v>4000</v>
      </c>
      <c r="AO822" s="159">
        <v>0.2</v>
      </c>
      <c r="AP822" s="160">
        <f t="shared" si="871"/>
        <v>0</v>
      </c>
      <c r="AQ822" s="161">
        <f t="shared" si="872"/>
        <v>0</v>
      </c>
      <c r="AR822" s="162">
        <f t="shared" si="873"/>
        <v>0</v>
      </c>
      <c r="AS822" s="163"/>
      <c r="AT822" s="164"/>
      <c r="AU822" s="165"/>
      <c r="AV822" s="166"/>
      <c r="AW822" s="167"/>
      <c r="AX822" s="146">
        <f t="shared" si="874"/>
        <v>0</v>
      </c>
      <c r="AY822" s="168"/>
    </row>
    <row r="823" spans="1:51" ht="10.9" hidden="1" customHeight="1" x14ac:dyDescent="0.25">
      <c r="B823" s="140">
        <v>4</v>
      </c>
      <c r="C823" s="63" t="s">
        <v>212</v>
      </c>
      <c r="D823" s="235"/>
      <c r="E823" s="236"/>
      <c r="F823" s="236"/>
      <c r="G823" s="236"/>
      <c r="H823" s="236"/>
      <c r="I823" s="236"/>
      <c r="J823" s="236"/>
      <c r="K823" s="236"/>
      <c r="L823" s="236"/>
      <c r="M823" s="236">
        <v>148053</v>
      </c>
      <c r="N823" s="236">
        <v>161228</v>
      </c>
      <c r="O823" s="236">
        <v>166294</v>
      </c>
      <c r="P823" s="237"/>
      <c r="Q823" s="223">
        <f t="shared" si="865"/>
        <v>166294</v>
      </c>
      <c r="R823" s="147">
        <f t="shared" si="866"/>
        <v>18292.34</v>
      </c>
      <c r="S823" s="147">
        <f t="shared" si="867"/>
        <v>50.116</v>
      </c>
      <c r="T823" s="148">
        <f t="shared" si="868"/>
        <v>10975.404</v>
      </c>
      <c r="U823" s="420"/>
      <c r="V823" s="407"/>
      <c r="W823" s="222"/>
      <c r="X823" s="222"/>
      <c r="Y823" s="408"/>
      <c r="Z823" s="409"/>
      <c r="AA823" s="409"/>
      <c r="AB823" s="410"/>
      <c r="AC823" s="155"/>
      <c r="AD823" s="156"/>
      <c r="AE823" s="156"/>
      <c r="AF823" s="156"/>
      <c r="AG823" s="156"/>
      <c r="AH823" s="156"/>
      <c r="AI823" s="156"/>
      <c r="AJ823" s="156"/>
      <c r="AK823" s="156"/>
      <c r="AL823" s="156"/>
      <c r="AM823" s="157">
        <f t="shared" si="869"/>
        <v>0</v>
      </c>
      <c r="AN823" s="158">
        <f t="shared" si="870"/>
        <v>4000</v>
      </c>
      <c r="AO823" s="159">
        <v>0.2</v>
      </c>
      <c r="AP823" s="160">
        <f t="shared" si="871"/>
        <v>0</v>
      </c>
      <c r="AQ823" s="161">
        <f t="shared" si="872"/>
        <v>0</v>
      </c>
      <c r="AR823" s="162">
        <f t="shared" si="873"/>
        <v>0</v>
      </c>
      <c r="AS823" s="163"/>
      <c r="AT823" s="164"/>
      <c r="AU823" s="165"/>
      <c r="AV823" s="166"/>
      <c r="AW823" s="167"/>
      <c r="AX823" s="146">
        <f>SUM(AU823:AV823)</f>
        <v>0</v>
      </c>
      <c r="AY823" s="168"/>
    </row>
    <row r="824" spans="1:51" ht="10.9" hidden="1" customHeight="1" x14ac:dyDescent="0.25">
      <c r="B824" s="140">
        <v>5</v>
      </c>
      <c r="C824" s="63" t="s">
        <v>213</v>
      </c>
      <c r="D824" s="235"/>
      <c r="E824" s="236"/>
      <c r="F824" s="236"/>
      <c r="G824" s="236"/>
      <c r="H824" s="236"/>
      <c r="I824" s="236"/>
      <c r="J824" s="236"/>
      <c r="K824" s="236"/>
      <c r="L824" s="236"/>
      <c r="M824" s="236">
        <v>163200</v>
      </c>
      <c r="N824" s="236">
        <v>172528</v>
      </c>
      <c r="O824" s="236">
        <v>177949</v>
      </c>
      <c r="P824" s="237"/>
      <c r="Q824" s="223">
        <f t="shared" si="865"/>
        <v>177949</v>
      </c>
      <c r="R824" s="147">
        <f t="shared" si="866"/>
        <v>19574.39</v>
      </c>
      <c r="S824" s="147">
        <f t="shared" si="867"/>
        <v>53.628465753424656</v>
      </c>
      <c r="T824" s="148">
        <f t="shared" si="868"/>
        <v>11744.634</v>
      </c>
      <c r="U824" s="420"/>
      <c r="V824" s="407"/>
      <c r="W824" s="222"/>
      <c r="X824" s="222"/>
      <c r="Y824" s="408"/>
      <c r="Z824" s="409"/>
      <c r="AA824" s="409"/>
      <c r="AB824" s="410"/>
      <c r="AC824" s="155"/>
      <c r="AD824" s="156"/>
      <c r="AE824" s="156"/>
      <c r="AF824" s="156"/>
      <c r="AG824" s="156"/>
      <c r="AH824" s="156"/>
      <c r="AI824" s="156"/>
      <c r="AJ824" s="156"/>
      <c r="AK824" s="156"/>
      <c r="AL824" s="156"/>
      <c r="AM824" s="157">
        <f t="shared" si="869"/>
        <v>0</v>
      </c>
      <c r="AN824" s="158">
        <f t="shared" si="870"/>
        <v>4000</v>
      </c>
      <c r="AO824" s="159">
        <v>0.2</v>
      </c>
      <c r="AP824" s="160">
        <f t="shared" si="871"/>
        <v>0</v>
      </c>
      <c r="AQ824" s="161">
        <f t="shared" si="872"/>
        <v>0</v>
      </c>
      <c r="AR824" s="162">
        <f t="shared" si="873"/>
        <v>0</v>
      </c>
      <c r="AS824" s="163"/>
      <c r="AT824" s="164"/>
      <c r="AU824" s="165"/>
      <c r="AV824" s="166"/>
      <c r="AW824" s="167"/>
      <c r="AX824" s="146">
        <f t="shared" si="874"/>
        <v>0</v>
      </c>
      <c r="AY824" s="168"/>
    </row>
    <row r="825" spans="1:51" ht="10.9" hidden="1" customHeight="1" x14ac:dyDescent="0.25">
      <c r="B825" s="140">
        <v>6</v>
      </c>
      <c r="C825" s="63" t="s">
        <v>214</v>
      </c>
      <c r="D825" s="235"/>
      <c r="E825" s="236"/>
      <c r="F825" s="236"/>
      <c r="G825" s="236"/>
      <c r="H825" s="236"/>
      <c r="I825" s="236"/>
      <c r="J825" s="236"/>
      <c r="K825" s="236"/>
      <c r="L825" s="236"/>
      <c r="M825" s="236">
        <v>92315</v>
      </c>
      <c r="N825" s="236">
        <v>106463</v>
      </c>
      <c r="O825" s="236">
        <v>109809</v>
      </c>
      <c r="P825" s="237"/>
      <c r="Q825" s="223">
        <f t="shared" si="865"/>
        <v>109809</v>
      </c>
      <c r="R825" s="147">
        <f t="shared" si="866"/>
        <v>12078.99</v>
      </c>
      <c r="S825" s="147">
        <f t="shared" si="867"/>
        <v>33.093123287671233</v>
      </c>
      <c r="T825" s="148">
        <f t="shared" si="868"/>
        <v>7247.3939999999993</v>
      </c>
      <c r="U825" s="420"/>
      <c r="V825" s="407"/>
      <c r="W825" s="222"/>
      <c r="X825" s="222"/>
      <c r="Y825" s="408"/>
      <c r="Z825" s="409"/>
      <c r="AA825" s="409"/>
      <c r="AB825" s="410"/>
      <c r="AC825" s="155"/>
      <c r="AD825" s="156"/>
      <c r="AE825" s="156"/>
      <c r="AF825" s="156"/>
      <c r="AG825" s="156"/>
      <c r="AH825" s="156"/>
      <c r="AI825" s="156"/>
      <c r="AJ825" s="156"/>
      <c r="AK825" s="156"/>
      <c r="AL825" s="156"/>
      <c r="AM825" s="157">
        <f t="shared" si="869"/>
        <v>0</v>
      </c>
      <c r="AN825" s="158">
        <f t="shared" si="870"/>
        <v>4000</v>
      </c>
      <c r="AO825" s="159">
        <v>0.2</v>
      </c>
      <c r="AP825" s="160">
        <f t="shared" si="871"/>
        <v>0</v>
      </c>
      <c r="AQ825" s="161">
        <f t="shared" si="872"/>
        <v>0</v>
      </c>
      <c r="AR825" s="162">
        <f t="shared" si="873"/>
        <v>0</v>
      </c>
      <c r="AS825" s="163"/>
      <c r="AT825" s="164"/>
      <c r="AU825" s="165"/>
      <c r="AV825" s="166"/>
      <c r="AW825" s="167"/>
      <c r="AX825" s="146">
        <f t="shared" si="874"/>
        <v>0</v>
      </c>
      <c r="AY825" s="168"/>
    </row>
    <row r="826" spans="1:51" ht="10.9" hidden="1" customHeight="1" x14ac:dyDescent="0.25">
      <c r="B826" s="140">
        <v>7</v>
      </c>
      <c r="C826" s="63" t="s">
        <v>215</v>
      </c>
      <c r="D826" s="235"/>
      <c r="E826" s="236"/>
      <c r="F826" s="236"/>
      <c r="G826" s="236"/>
      <c r="H826" s="236"/>
      <c r="I826" s="236"/>
      <c r="J826" s="236"/>
      <c r="K826" s="236"/>
      <c r="L826" s="236"/>
      <c r="M826" s="236">
        <v>158664</v>
      </c>
      <c r="N826" s="236">
        <v>174758</v>
      </c>
      <c r="O826" s="236">
        <v>180250</v>
      </c>
      <c r="P826" s="237"/>
      <c r="Q826" s="223">
        <f t="shared" si="865"/>
        <v>180250</v>
      </c>
      <c r="R826" s="147">
        <f t="shared" si="866"/>
        <v>19827.5</v>
      </c>
      <c r="S826" s="147">
        <f t="shared" si="867"/>
        <v>54.321917808219176</v>
      </c>
      <c r="T826" s="148">
        <f t="shared" si="868"/>
        <v>11896.5</v>
      </c>
      <c r="U826" s="420"/>
      <c r="V826" s="407"/>
      <c r="W826" s="222"/>
      <c r="X826" s="222"/>
      <c r="Y826" s="408"/>
      <c r="Z826" s="409"/>
      <c r="AA826" s="409"/>
      <c r="AB826" s="410"/>
      <c r="AC826" s="155"/>
      <c r="AD826" s="156"/>
      <c r="AE826" s="156"/>
      <c r="AF826" s="156"/>
      <c r="AG826" s="156"/>
      <c r="AH826" s="156"/>
      <c r="AI826" s="156"/>
      <c r="AJ826" s="156"/>
      <c r="AK826" s="156"/>
      <c r="AL826" s="156"/>
      <c r="AM826" s="157">
        <f t="shared" si="869"/>
        <v>0</v>
      </c>
      <c r="AN826" s="158">
        <f t="shared" si="870"/>
        <v>4000</v>
      </c>
      <c r="AO826" s="159">
        <v>0.2</v>
      </c>
      <c r="AP826" s="160">
        <f t="shared" si="871"/>
        <v>0</v>
      </c>
      <c r="AQ826" s="161">
        <f t="shared" si="872"/>
        <v>0</v>
      </c>
      <c r="AR826" s="162">
        <f t="shared" si="873"/>
        <v>0</v>
      </c>
      <c r="AS826" s="163"/>
      <c r="AT826" s="164"/>
      <c r="AU826" s="165"/>
      <c r="AV826" s="166"/>
      <c r="AW826" s="167"/>
      <c r="AX826" s="146">
        <f t="shared" si="874"/>
        <v>0</v>
      </c>
      <c r="AY826" s="168"/>
    </row>
    <row r="827" spans="1:51" s="263" customFormat="1" ht="16.7" hidden="1" customHeight="1" x14ac:dyDescent="0.25">
      <c r="A827" s="173"/>
      <c r="B827" s="225"/>
      <c r="C827" s="258" t="s">
        <v>216</v>
      </c>
      <c r="D827" s="240">
        <f>SUM(D820:D826)</f>
        <v>0</v>
      </c>
      <c r="E827" s="240">
        <f t="shared" ref="E827:T827" si="875">SUM(E820:E826)</f>
        <v>0</v>
      </c>
      <c r="F827" s="240">
        <f t="shared" si="875"/>
        <v>0</v>
      </c>
      <c r="G827" s="240">
        <f t="shared" si="875"/>
        <v>0</v>
      </c>
      <c r="H827" s="240">
        <f t="shared" si="875"/>
        <v>0</v>
      </c>
      <c r="I827" s="240">
        <f t="shared" si="875"/>
        <v>0</v>
      </c>
      <c r="J827" s="240">
        <f t="shared" si="875"/>
        <v>0</v>
      </c>
      <c r="K827" s="240">
        <f t="shared" si="875"/>
        <v>0</v>
      </c>
      <c r="L827" s="240">
        <f t="shared" si="875"/>
        <v>0</v>
      </c>
      <c r="M827" s="240">
        <f t="shared" si="875"/>
        <v>1138129</v>
      </c>
      <c r="N827" s="240">
        <f t="shared" si="875"/>
        <v>1223296</v>
      </c>
      <c r="O827" s="240">
        <f t="shared" si="875"/>
        <v>1261737</v>
      </c>
      <c r="P827" s="240">
        <f t="shared" si="875"/>
        <v>0</v>
      </c>
      <c r="Q827" s="240">
        <f t="shared" si="875"/>
        <v>1261737</v>
      </c>
      <c r="R827" s="240">
        <f t="shared" si="875"/>
        <v>138791.07</v>
      </c>
      <c r="S827" s="240">
        <f t="shared" si="875"/>
        <v>380.24950684931508</v>
      </c>
      <c r="T827" s="240">
        <f t="shared" si="875"/>
        <v>83274.641999999993</v>
      </c>
      <c r="U827" s="424">
        <f>SUM(U820:U826)</f>
        <v>0</v>
      </c>
      <c r="V827" s="425"/>
      <c r="W827" s="240">
        <f>SUM(W820:W826)</f>
        <v>0</v>
      </c>
      <c r="X827" s="240">
        <f>SUM(X820:X826)</f>
        <v>0</v>
      </c>
      <c r="Y827" s="240">
        <f>SUM(Y820:Y826)</f>
        <v>0</v>
      </c>
      <c r="Z827" s="424"/>
      <c r="AA827" s="424"/>
      <c r="AB827" s="426"/>
      <c r="AC827" s="240">
        <f t="shared" ref="AC827:AM827" si="876">SUM(AC820:AC826)</f>
        <v>0</v>
      </c>
      <c r="AD827" s="244">
        <f t="shared" si="876"/>
        <v>0</v>
      </c>
      <c r="AE827" s="244">
        <f t="shared" si="876"/>
        <v>0</v>
      </c>
      <c r="AF827" s="244">
        <f t="shared" si="876"/>
        <v>0</v>
      </c>
      <c r="AG827" s="244">
        <f t="shared" si="876"/>
        <v>0</v>
      </c>
      <c r="AH827" s="244">
        <f t="shared" si="876"/>
        <v>0</v>
      </c>
      <c r="AI827" s="244">
        <f t="shared" si="876"/>
        <v>0</v>
      </c>
      <c r="AJ827" s="244">
        <f t="shared" si="876"/>
        <v>0</v>
      </c>
      <c r="AK827" s="244">
        <f t="shared" si="876"/>
        <v>0</v>
      </c>
      <c r="AL827" s="244">
        <f t="shared" si="876"/>
        <v>0</v>
      </c>
      <c r="AM827" s="245">
        <f t="shared" si="876"/>
        <v>0</v>
      </c>
      <c r="AN827" s="158"/>
      <c r="AO827" s="183"/>
      <c r="AP827" s="160">
        <f>SUM(AP820:AP826)</f>
        <v>0</v>
      </c>
      <c r="AQ827" s="160">
        <f t="shared" ref="AQ827:AX827" si="877">SUM(AQ820:AQ826)</f>
        <v>0</v>
      </c>
      <c r="AR827" s="160">
        <f t="shared" si="877"/>
        <v>0</v>
      </c>
      <c r="AS827" s="185"/>
      <c r="AT827" s="186"/>
      <c r="AU827" s="435">
        <f t="shared" si="877"/>
        <v>0</v>
      </c>
      <c r="AV827" s="246">
        <f t="shared" si="877"/>
        <v>0</v>
      </c>
      <c r="AW827" s="246">
        <f t="shared" si="877"/>
        <v>0</v>
      </c>
      <c r="AX827" s="185">
        <f t="shared" si="877"/>
        <v>0</v>
      </c>
      <c r="AY827" s="189"/>
    </row>
    <row r="828" spans="1:51" s="139" customFormat="1" ht="10.9" hidden="1" customHeight="1" x14ac:dyDescent="0.25">
      <c r="B828" s="247"/>
      <c r="C828" s="152"/>
      <c r="D828" s="265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248"/>
      <c r="Q828" s="249"/>
      <c r="R828" s="250"/>
      <c r="S828" s="250"/>
      <c r="T828" s="251"/>
      <c r="U828" s="199"/>
      <c r="V828" s="179"/>
      <c r="W828" s="249"/>
      <c r="X828" s="249"/>
      <c r="Y828" s="152"/>
      <c r="Z828" s="153"/>
      <c r="AA828" s="153"/>
      <c r="AB828" s="154"/>
      <c r="AC828" s="247"/>
      <c r="AD828" s="252"/>
      <c r="AE828" s="252"/>
      <c r="AF828" s="252"/>
      <c r="AG828" s="252"/>
      <c r="AH828" s="252"/>
      <c r="AI828" s="252"/>
      <c r="AJ828" s="252"/>
      <c r="AK828" s="252"/>
      <c r="AL828" s="252"/>
      <c r="AM828" s="214"/>
      <c r="AN828" s="203"/>
      <c r="AO828" s="204"/>
      <c r="AP828" s="203"/>
      <c r="AQ828" s="205"/>
      <c r="AR828" s="206"/>
      <c r="AS828" s="253"/>
      <c r="AT828" s="254"/>
      <c r="AU828" s="255"/>
      <c r="AV828" s="256"/>
      <c r="AW828" s="257"/>
      <c r="AX828" s="214"/>
      <c r="AY828" s="212"/>
    </row>
    <row r="829" spans="1:51" s="139" customFormat="1" ht="15" hidden="1" customHeight="1" x14ac:dyDescent="0.25">
      <c r="A829" s="1"/>
      <c r="B829" s="120"/>
      <c r="C829" s="258" t="s">
        <v>217</v>
      </c>
      <c r="D829" s="122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213"/>
      <c r="Q829" s="76"/>
      <c r="R829" s="108"/>
      <c r="S829" s="108"/>
      <c r="T829" s="94"/>
      <c r="U829" s="120"/>
      <c r="V829" s="67"/>
      <c r="W829" s="123"/>
      <c r="X829" s="123"/>
      <c r="Y829" s="125"/>
      <c r="Z829" s="126"/>
      <c r="AA829" s="126"/>
      <c r="AB829" s="127"/>
      <c r="AC829" s="62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125"/>
      <c r="AN829" s="75"/>
      <c r="AO829" s="216"/>
      <c r="AP829" s="75"/>
      <c r="AQ829" s="51"/>
      <c r="AR829" s="259"/>
      <c r="AS829" s="218"/>
      <c r="AT829" s="219"/>
      <c r="AU829" s="220"/>
      <c r="AV829" s="135"/>
      <c r="AW829" s="136"/>
      <c r="AX829" s="137"/>
      <c r="AY829" s="138"/>
    </row>
    <row r="830" spans="1:51" ht="10.9" hidden="1" customHeight="1" x14ac:dyDescent="0.25">
      <c r="B830" s="140">
        <v>1</v>
      </c>
      <c r="C830" s="63" t="s">
        <v>218</v>
      </c>
      <c r="D830" s="235"/>
      <c r="E830" s="236">
        <v>371891</v>
      </c>
      <c r="F830" s="236">
        <v>377298</v>
      </c>
      <c r="G830" s="236">
        <v>382706</v>
      </c>
      <c r="H830" s="236">
        <v>388113</v>
      </c>
      <c r="I830" s="236">
        <v>395288</v>
      </c>
      <c r="J830" s="236">
        <v>400090</v>
      </c>
      <c r="K830" s="236">
        <v>404908</v>
      </c>
      <c r="L830" s="236">
        <v>409740</v>
      </c>
      <c r="M830" s="236">
        <v>414585</v>
      </c>
      <c r="N830" s="236">
        <v>419037</v>
      </c>
      <c r="O830" s="236"/>
      <c r="P830" s="237"/>
      <c r="Q830" s="223">
        <f t="shared" ref="Q830:Q842" si="878">MAX(D830:P830)</f>
        <v>419037</v>
      </c>
      <c r="R830" s="147">
        <f>Q830*$R$10</f>
        <v>46094.07</v>
      </c>
      <c r="S830" s="147">
        <f t="shared" ref="S830:S842" si="879">R830/$S$5</f>
        <v>126.28512328767123</v>
      </c>
      <c r="T830" s="148">
        <f>S830*$T$5*$T$10</f>
        <v>27656.441999999999</v>
      </c>
      <c r="U830" s="420"/>
      <c r="V830" s="407"/>
      <c r="W830" s="222"/>
      <c r="X830" s="222"/>
      <c r="Y830" s="408"/>
      <c r="Z830" s="409"/>
      <c r="AA830" s="409"/>
      <c r="AB830" s="410"/>
      <c r="AC830" s="155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7">
        <f t="shared" ref="AM830:AM844" si="880">SUM(AD830:AI830)</f>
        <v>0</v>
      </c>
      <c r="AN830" s="158">
        <f t="shared" ref="AN830:AN845" si="881">$AN$641</f>
        <v>4000</v>
      </c>
      <c r="AO830" s="159">
        <v>0.2</v>
      </c>
      <c r="AP830" s="160">
        <f t="shared" ref="AP830:AP845" si="882">AM830*AN830*$AP$5</f>
        <v>0</v>
      </c>
      <c r="AQ830" s="161">
        <f t="shared" ref="AQ830:AQ845" si="883">AP830*$AQ$5</f>
        <v>0</v>
      </c>
      <c r="AR830" s="162">
        <f t="shared" ref="AR830:AR845" si="884">AQ830*$AR$5</f>
        <v>0</v>
      </c>
      <c r="AS830" s="163"/>
      <c r="AT830" s="164"/>
      <c r="AU830" s="165"/>
      <c r="AV830" s="166"/>
      <c r="AW830" s="167"/>
      <c r="AX830" s="146">
        <f>SUM(AU830:AV830)</f>
        <v>0</v>
      </c>
      <c r="AY830" s="168"/>
    </row>
    <row r="831" spans="1:51" ht="10.9" hidden="1" customHeight="1" x14ac:dyDescent="0.25">
      <c r="B831" s="140">
        <v>2</v>
      </c>
      <c r="C831" s="258" t="s">
        <v>219</v>
      </c>
      <c r="D831" s="235"/>
      <c r="E831" s="236">
        <v>800561</v>
      </c>
      <c r="F831" s="236">
        <v>800910</v>
      </c>
      <c r="G831" s="236">
        <v>801260</v>
      </c>
      <c r="H831" s="236">
        <v>801609</v>
      </c>
      <c r="I831" s="236">
        <v>857052</v>
      </c>
      <c r="J831" s="236">
        <v>866154</v>
      </c>
      <c r="K831" s="236">
        <v>875276</v>
      </c>
      <c r="L831" s="236">
        <v>884419</v>
      </c>
      <c r="M831" s="236">
        <v>529893</v>
      </c>
      <c r="N831" s="236">
        <v>536613</v>
      </c>
      <c r="O831" s="236"/>
      <c r="P831" s="237"/>
      <c r="Q831" s="304">
        <f t="shared" si="878"/>
        <v>884419</v>
      </c>
      <c r="R831" s="147">
        <f>Q831*$R$9</f>
        <v>129125.174</v>
      </c>
      <c r="S831" s="147">
        <f t="shared" si="879"/>
        <v>353.76760000000002</v>
      </c>
      <c r="T831" s="148">
        <f>S831*$T$5*$T$9</f>
        <v>90387.621799999994</v>
      </c>
      <c r="U831" s="420"/>
      <c r="V831" s="407"/>
      <c r="W831" s="222"/>
      <c r="X831" s="222"/>
      <c r="Y831" s="408"/>
      <c r="Z831" s="409"/>
      <c r="AA831" s="409"/>
      <c r="AB831" s="410"/>
      <c r="AC831" s="155"/>
      <c r="AD831" s="156"/>
      <c r="AE831" s="156"/>
      <c r="AF831" s="156"/>
      <c r="AG831" s="156"/>
      <c r="AH831" s="156"/>
      <c r="AI831" s="156"/>
      <c r="AJ831" s="156"/>
      <c r="AK831" s="156"/>
      <c r="AL831" s="156"/>
      <c r="AM831" s="157">
        <f t="shared" si="880"/>
        <v>0</v>
      </c>
      <c r="AN831" s="158">
        <f t="shared" si="881"/>
        <v>4000</v>
      </c>
      <c r="AO831" s="159">
        <v>0.2</v>
      </c>
      <c r="AP831" s="160">
        <f t="shared" si="882"/>
        <v>0</v>
      </c>
      <c r="AQ831" s="161">
        <f t="shared" si="883"/>
        <v>0</v>
      </c>
      <c r="AR831" s="162">
        <f t="shared" si="884"/>
        <v>0</v>
      </c>
      <c r="AS831" s="163"/>
      <c r="AT831" s="233"/>
      <c r="AU831" s="187"/>
      <c r="AV831" s="166"/>
      <c r="AW831" s="167"/>
      <c r="AX831" s="146">
        <f t="shared" ref="AX831:AX844" si="885">SUM(AU831:AV831)</f>
        <v>0</v>
      </c>
      <c r="AY831" s="168"/>
    </row>
    <row r="832" spans="1:51" ht="10.9" hidden="1" customHeight="1" x14ac:dyDescent="0.25">
      <c r="B832" s="140">
        <v>3</v>
      </c>
      <c r="C832" s="258" t="s">
        <v>220</v>
      </c>
      <c r="D832" s="235"/>
      <c r="E832" s="236">
        <v>1147914</v>
      </c>
      <c r="F832" s="236">
        <v>1162708</v>
      </c>
      <c r="G832" s="236">
        <v>1177505</v>
      </c>
      <c r="H832" s="236">
        <v>1192296</v>
      </c>
      <c r="I832" s="236">
        <v>1229448</v>
      </c>
      <c r="J832" s="236">
        <v>1245937</v>
      </c>
      <c r="K832" s="236">
        <v>878182</v>
      </c>
      <c r="L832" s="236">
        <v>889888</v>
      </c>
      <c r="M832" s="236">
        <v>901655</v>
      </c>
      <c r="N832" s="236">
        <v>912490</v>
      </c>
      <c r="O832" s="236"/>
      <c r="P832" s="237"/>
      <c r="Q832" s="304">
        <f t="shared" si="878"/>
        <v>1245937</v>
      </c>
      <c r="R832" s="147">
        <f>Q832*$R$8</f>
        <v>204333.66800000001</v>
      </c>
      <c r="S832" s="147">
        <f t="shared" si="879"/>
        <v>559.81826849315075</v>
      </c>
      <c r="T832" s="148">
        <f>S832*$T$5*$T$8</f>
        <v>163466.93440000003</v>
      </c>
      <c r="U832" s="420"/>
      <c r="V832" s="407"/>
      <c r="W832" s="222"/>
      <c r="X832" s="222"/>
      <c r="Y832" s="408"/>
      <c r="Z832" s="409"/>
      <c r="AA832" s="409"/>
      <c r="AB832" s="410"/>
      <c r="AC832" s="155"/>
      <c r="AD832" s="156"/>
      <c r="AE832" s="156"/>
      <c r="AF832" s="156"/>
      <c r="AG832" s="156"/>
      <c r="AH832" s="156"/>
      <c r="AI832" s="156"/>
      <c r="AJ832" s="156"/>
      <c r="AK832" s="156"/>
      <c r="AL832" s="156"/>
      <c r="AM832" s="157">
        <f t="shared" si="880"/>
        <v>0</v>
      </c>
      <c r="AN832" s="158">
        <f t="shared" si="881"/>
        <v>4000</v>
      </c>
      <c r="AO832" s="159">
        <v>0.2</v>
      </c>
      <c r="AP832" s="160">
        <f t="shared" si="882"/>
        <v>0</v>
      </c>
      <c r="AQ832" s="161">
        <f t="shared" si="883"/>
        <v>0</v>
      </c>
      <c r="AR832" s="162">
        <f t="shared" si="884"/>
        <v>0</v>
      </c>
      <c r="AS832" s="163"/>
      <c r="AT832" s="233"/>
      <c r="AU832" s="187"/>
      <c r="AV832" s="166"/>
      <c r="AW832" s="167"/>
      <c r="AX832" s="146">
        <f t="shared" si="885"/>
        <v>0</v>
      </c>
      <c r="AY832" s="168"/>
    </row>
    <row r="833" spans="1:51" ht="10.9" hidden="1" customHeight="1" x14ac:dyDescent="0.25">
      <c r="B833" s="140">
        <v>4</v>
      </c>
      <c r="C833" s="258" t="s">
        <v>221</v>
      </c>
      <c r="D833" s="235"/>
      <c r="E833" s="236">
        <v>874645</v>
      </c>
      <c r="F833" s="236">
        <v>879863</v>
      </c>
      <c r="G833" s="236">
        <v>885080</v>
      </c>
      <c r="H833" s="236">
        <v>890298</v>
      </c>
      <c r="I833" s="236">
        <v>917514</v>
      </c>
      <c r="J833" s="236">
        <v>924546</v>
      </c>
      <c r="K833" s="236">
        <v>931534</v>
      </c>
      <c r="L833" s="236">
        <v>938476</v>
      </c>
      <c r="M833" s="236">
        <v>945367</v>
      </c>
      <c r="N833" s="236">
        <v>951639</v>
      </c>
      <c r="O833" s="236"/>
      <c r="P833" s="237"/>
      <c r="Q833" s="304">
        <f t="shared" si="878"/>
        <v>951639</v>
      </c>
      <c r="R833" s="147">
        <f>Q833*$R$9</f>
        <v>138939.29399999999</v>
      </c>
      <c r="S833" s="147">
        <f t="shared" si="879"/>
        <v>380.65559999999999</v>
      </c>
      <c r="T833" s="148">
        <f>S833*$T$5*$T$9</f>
        <v>97257.505799999984</v>
      </c>
      <c r="U833" s="420"/>
      <c r="V833" s="407"/>
      <c r="W833" s="222"/>
      <c r="X833" s="222"/>
      <c r="Y833" s="408"/>
      <c r="Z833" s="409"/>
      <c r="AA833" s="409"/>
      <c r="AB833" s="410"/>
      <c r="AC833" s="155"/>
      <c r="AD833" s="156"/>
      <c r="AE833" s="156"/>
      <c r="AF833" s="156"/>
      <c r="AG833" s="156"/>
      <c r="AH833" s="156"/>
      <c r="AI833" s="156"/>
      <c r="AJ833" s="156"/>
      <c r="AK833" s="156"/>
      <c r="AL833" s="156"/>
      <c r="AM833" s="157">
        <f t="shared" si="880"/>
        <v>0</v>
      </c>
      <c r="AN833" s="158">
        <f t="shared" si="881"/>
        <v>4000</v>
      </c>
      <c r="AO833" s="159">
        <v>0.2</v>
      </c>
      <c r="AP833" s="160">
        <f t="shared" si="882"/>
        <v>0</v>
      </c>
      <c r="AQ833" s="161">
        <f t="shared" si="883"/>
        <v>0</v>
      </c>
      <c r="AR833" s="162">
        <f t="shared" si="884"/>
        <v>0</v>
      </c>
      <c r="AS833" s="163"/>
      <c r="AT833" s="233"/>
      <c r="AU833" s="187"/>
      <c r="AV833" s="166"/>
      <c r="AW833" s="167"/>
      <c r="AX833" s="146">
        <f t="shared" si="885"/>
        <v>0</v>
      </c>
      <c r="AY833" s="168"/>
    </row>
    <row r="834" spans="1:51" ht="10.9" hidden="1" customHeight="1" x14ac:dyDescent="0.25">
      <c r="B834" s="140">
        <v>5</v>
      </c>
      <c r="C834" s="258" t="s">
        <v>222</v>
      </c>
      <c r="D834" s="235"/>
      <c r="E834" s="236">
        <v>1055249</v>
      </c>
      <c r="F834" s="236">
        <v>1064330</v>
      </c>
      <c r="G834" s="236">
        <v>1073412</v>
      </c>
      <c r="H834" s="236">
        <v>1082494</v>
      </c>
      <c r="I834" s="236">
        <v>1116629</v>
      </c>
      <c r="J834" s="236">
        <v>1127657</v>
      </c>
      <c r="K834" s="236">
        <v>1138678</v>
      </c>
      <c r="L834" s="236">
        <v>1149679</v>
      </c>
      <c r="M834" s="236">
        <v>1160607</v>
      </c>
      <c r="N834" s="236">
        <v>1170717</v>
      </c>
      <c r="O834" s="236"/>
      <c r="P834" s="237"/>
      <c r="Q834" s="304">
        <f t="shared" si="878"/>
        <v>1170717</v>
      </c>
      <c r="R834" s="147">
        <f>Q834*$R$8</f>
        <v>191997.58800000002</v>
      </c>
      <c r="S834" s="147">
        <f t="shared" si="879"/>
        <v>526.0207890410959</v>
      </c>
      <c r="T834" s="148">
        <f>S834*$T$5*$T$8</f>
        <v>153598.0704</v>
      </c>
      <c r="U834" s="420"/>
      <c r="V834" s="407"/>
      <c r="W834" s="222"/>
      <c r="X834" s="222"/>
      <c r="Y834" s="408"/>
      <c r="Z834" s="409"/>
      <c r="AA834" s="409"/>
      <c r="AB834" s="410"/>
      <c r="AC834" s="155"/>
      <c r="AD834" s="156"/>
      <c r="AE834" s="156"/>
      <c r="AF834" s="156"/>
      <c r="AG834" s="156"/>
      <c r="AH834" s="156"/>
      <c r="AI834" s="156"/>
      <c r="AJ834" s="156"/>
      <c r="AK834" s="156"/>
      <c r="AL834" s="156"/>
      <c r="AM834" s="157">
        <f t="shared" si="880"/>
        <v>0</v>
      </c>
      <c r="AN834" s="158">
        <f t="shared" si="881"/>
        <v>4000</v>
      </c>
      <c r="AO834" s="159">
        <v>0.2</v>
      </c>
      <c r="AP834" s="160">
        <f t="shared" si="882"/>
        <v>0</v>
      </c>
      <c r="AQ834" s="161">
        <f t="shared" si="883"/>
        <v>0</v>
      </c>
      <c r="AR834" s="162">
        <f t="shared" si="884"/>
        <v>0</v>
      </c>
      <c r="AS834" s="163"/>
      <c r="AT834" s="233"/>
      <c r="AU834" s="187"/>
      <c r="AV834" s="166"/>
      <c r="AW834" s="167"/>
      <c r="AX834" s="146">
        <f t="shared" si="885"/>
        <v>0</v>
      </c>
      <c r="AY834" s="168"/>
    </row>
    <row r="835" spans="1:51" ht="10.9" hidden="1" customHeight="1" x14ac:dyDescent="0.25">
      <c r="B835" s="140">
        <v>6</v>
      </c>
      <c r="C835" s="63" t="s">
        <v>223</v>
      </c>
      <c r="D835" s="235"/>
      <c r="E835" s="236">
        <v>536980</v>
      </c>
      <c r="F835" s="236">
        <v>543020</v>
      </c>
      <c r="G835" s="236">
        <v>549060</v>
      </c>
      <c r="H835" s="236">
        <v>555099</v>
      </c>
      <c r="I835" s="236">
        <v>561955</v>
      </c>
      <c r="J835" s="236">
        <v>566542</v>
      </c>
      <c r="K835" s="236">
        <v>571107</v>
      </c>
      <c r="L835" s="236">
        <v>575648</v>
      </c>
      <c r="M835" s="236">
        <v>580163</v>
      </c>
      <c r="N835" s="236">
        <v>584277</v>
      </c>
      <c r="O835" s="236"/>
      <c r="P835" s="237"/>
      <c r="Q835" s="223">
        <f t="shared" si="878"/>
        <v>584277</v>
      </c>
      <c r="R835" s="147">
        <f>Q835*$R$9</f>
        <v>85304.441999999995</v>
      </c>
      <c r="S835" s="147">
        <f t="shared" si="879"/>
        <v>233.71079999999998</v>
      </c>
      <c r="T835" s="148">
        <f>S835*$T$5*$T$9</f>
        <v>59713.109399999994</v>
      </c>
      <c r="U835" s="420"/>
      <c r="V835" s="407"/>
      <c r="W835" s="222"/>
      <c r="X835" s="222"/>
      <c r="Y835" s="408"/>
      <c r="Z835" s="409"/>
      <c r="AA835" s="409"/>
      <c r="AB835" s="410"/>
      <c r="AC835" s="155"/>
      <c r="AD835" s="156"/>
      <c r="AE835" s="156"/>
      <c r="AF835" s="156"/>
      <c r="AG835" s="156"/>
      <c r="AH835" s="156"/>
      <c r="AI835" s="156"/>
      <c r="AJ835" s="156"/>
      <c r="AK835" s="156"/>
      <c r="AL835" s="156"/>
      <c r="AM835" s="157">
        <f t="shared" si="880"/>
        <v>0</v>
      </c>
      <c r="AN835" s="158">
        <f t="shared" si="881"/>
        <v>4000</v>
      </c>
      <c r="AO835" s="159">
        <v>0.2</v>
      </c>
      <c r="AP835" s="160">
        <f t="shared" si="882"/>
        <v>0</v>
      </c>
      <c r="AQ835" s="161">
        <f t="shared" si="883"/>
        <v>0</v>
      </c>
      <c r="AR835" s="162">
        <f t="shared" si="884"/>
        <v>0</v>
      </c>
      <c r="AS835" s="163"/>
      <c r="AT835" s="164"/>
      <c r="AU835" s="165"/>
      <c r="AV835" s="166"/>
      <c r="AW835" s="167"/>
      <c r="AX835" s="146">
        <f t="shared" si="885"/>
        <v>0</v>
      </c>
      <c r="AY835" s="168"/>
    </row>
    <row r="836" spans="1:51" ht="10.9" hidden="1" customHeight="1" x14ac:dyDescent="0.25">
      <c r="B836" s="140">
        <v>7</v>
      </c>
      <c r="C836" s="63" t="s">
        <v>224</v>
      </c>
      <c r="D836" s="235"/>
      <c r="E836" s="236">
        <v>358164</v>
      </c>
      <c r="F836" s="236">
        <v>358724</v>
      </c>
      <c r="G836" s="236">
        <v>359284</v>
      </c>
      <c r="H836" s="236">
        <v>359844</v>
      </c>
      <c r="I836" s="236">
        <v>380373</v>
      </c>
      <c r="J836" s="236">
        <v>385555</v>
      </c>
      <c r="K836" s="236">
        <v>390766</v>
      </c>
      <c r="L836" s="236">
        <v>396005</v>
      </c>
      <c r="M836" s="236">
        <v>401272</v>
      </c>
      <c r="N836" s="236">
        <v>406123</v>
      </c>
      <c r="O836" s="236"/>
      <c r="P836" s="237"/>
      <c r="Q836" s="223">
        <f t="shared" si="878"/>
        <v>406123</v>
      </c>
      <c r="R836" s="147">
        <f>Q836*$R$10</f>
        <v>44673.53</v>
      </c>
      <c r="S836" s="147">
        <f t="shared" si="879"/>
        <v>122.39323287671233</v>
      </c>
      <c r="T836" s="148">
        <f>S836*$T$5*$T$10</f>
        <v>26804.117999999999</v>
      </c>
      <c r="U836" s="420"/>
      <c r="V836" s="407"/>
      <c r="W836" s="222"/>
      <c r="X836" s="222"/>
      <c r="Y836" s="408"/>
      <c r="Z836" s="409"/>
      <c r="AA836" s="409"/>
      <c r="AB836" s="410"/>
      <c r="AC836" s="155"/>
      <c r="AD836" s="156"/>
      <c r="AE836" s="156"/>
      <c r="AF836" s="156"/>
      <c r="AG836" s="156"/>
      <c r="AH836" s="156"/>
      <c r="AI836" s="156"/>
      <c r="AJ836" s="156"/>
      <c r="AK836" s="156"/>
      <c r="AL836" s="156"/>
      <c r="AM836" s="157">
        <f t="shared" si="880"/>
        <v>0</v>
      </c>
      <c r="AN836" s="158">
        <f t="shared" si="881"/>
        <v>4000</v>
      </c>
      <c r="AO836" s="159">
        <v>0.2</v>
      </c>
      <c r="AP836" s="160">
        <f t="shared" si="882"/>
        <v>0</v>
      </c>
      <c r="AQ836" s="161">
        <f t="shared" si="883"/>
        <v>0</v>
      </c>
      <c r="AR836" s="162">
        <f t="shared" si="884"/>
        <v>0</v>
      </c>
      <c r="AS836" s="163"/>
      <c r="AT836" s="164"/>
      <c r="AU836" s="165"/>
      <c r="AV836" s="166"/>
      <c r="AW836" s="167"/>
      <c r="AX836" s="146">
        <f t="shared" si="885"/>
        <v>0</v>
      </c>
      <c r="AY836" s="168"/>
    </row>
    <row r="837" spans="1:51" ht="10.9" hidden="1" customHeight="1" x14ac:dyDescent="0.25">
      <c r="B837" s="140">
        <v>8</v>
      </c>
      <c r="C837" s="258" t="s">
        <v>225</v>
      </c>
      <c r="D837" s="235"/>
      <c r="E837" s="236">
        <v>702247</v>
      </c>
      <c r="F837" s="236">
        <v>712671</v>
      </c>
      <c r="G837" s="236">
        <v>723096</v>
      </c>
      <c r="H837" s="236">
        <v>733520</v>
      </c>
      <c r="I837" s="236">
        <v>765283</v>
      </c>
      <c r="J837" s="236">
        <v>779254</v>
      </c>
      <c r="K837" s="236">
        <v>793434</v>
      </c>
      <c r="L837" s="236">
        <v>807830</v>
      </c>
      <c r="M837" s="236">
        <v>388766</v>
      </c>
      <c r="N837" s="236">
        <v>397906</v>
      </c>
      <c r="O837" s="236"/>
      <c r="P837" s="237"/>
      <c r="Q837" s="304">
        <f t="shared" si="878"/>
        <v>807830</v>
      </c>
      <c r="R837" s="147">
        <f>Q837*$R$9</f>
        <v>117943.18</v>
      </c>
      <c r="S837" s="147">
        <f t="shared" si="879"/>
        <v>323.13200000000001</v>
      </c>
      <c r="T837" s="148">
        <f>S837*$T$5*$T$9</f>
        <v>82560.225999999995</v>
      </c>
      <c r="U837" s="420"/>
      <c r="V837" s="407"/>
      <c r="W837" s="222"/>
      <c r="X837" s="222"/>
      <c r="Y837" s="408"/>
      <c r="Z837" s="409"/>
      <c r="AA837" s="409"/>
      <c r="AB837" s="410"/>
      <c r="AC837" s="155"/>
      <c r="AD837" s="156"/>
      <c r="AE837" s="156"/>
      <c r="AF837" s="156"/>
      <c r="AG837" s="156"/>
      <c r="AH837" s="156"/>
      <c r="AI837" s="156"/>
      <c r="AJ837" s="156"/>
      <c r="AK837" s="156"/>
      <c r="AL837" s="156"/>
      <c r="AM837" s="157">
        <f t="shared" si="880"/>
        <v>0</v>
      </c>
      <c r="AN837" s="158">
        <f t="shared" si="881"/>
        <v>4000</v>
      </c>
      <c r="AO837" s="159">
        <v>0.2</v>
      </c>
      <c r="AP837" s="160">
        <f t="shared" si="882"/>
        <v>0</v>
      </c>
      <c r="AQ837" s="161">
        <f t="shared" si="883"/>
        <v>0</v>
      </c>
      <c r="AR837" s="162">
        <f t="shared" si="884"/>
        <v>0</v>
      </c>
      <c r="AS837" s="163"/>
      <c r="AT837" s="233"/>
      <c r="AU837" s="187"/>
      <c r="AV837" s="166"/>
      <c r="AW837" s="167"/>
      <c r="AX837" s="146">
        <f t="shared" si="885"/>
        <v>0</v>
      </c>
      <c r="AY837" s="168"/>
    </row>
    <row r="838" spans="1:51" ht="10.9" hidden="1" customHeight="1" x14ac:dyDescent="0.25">
      <c r="B838" s="140">
        <v>9</v>
      </c>
      <c r="C838" s="63" t="s">
        <v>226</v>
      </c>
      <c r="D838" s="235"/>
      <c r="E838" s="236"/>
      <c r="F838" s="236"/>
      <c r="G838" s="236"/>
      <c r="H838" s="236"/>
      <c r="I838" s="236"/>
      <c r="J838" s="236"/>
      <c r="K838" s="236">
        <v>384333</v>
      </c>
      <c r="L838" s="236">
        <v>389289</v>
      </c>
      <c r="M838" s="236">
        <v>394267</v>
      </c>
      <c r="N838" s="236">
        <v>398848</v>
      </c>
      <c r="O838" s="236"/>
      <c r="P838" s="237"/>
      <c r="Q838" s="223">
        <f t="shared" si="878"/>
        <v>398848</v>
      </c>
      <c r="R838" s="147">
        <f>Q838*$R$10</f>
        <v>43873.279999999999</v>
      </c>
      <c r="S838" s="147">
        <f t="shared" si="879"/>
        <v>120.20076712328766</v>
      </c>
      <c r="T838" s="148">
        <f>S838*$T$5*$T$10</f>
        <v>26323.967999999997</v>
      </c>
      <c r="U838" s="420"/>
      <c r="V838" s="407"/>
      <c r="W838" s="222"/>
      <c r="X838" s="222"/>
      <c r="Y838" s="408"/>
      <c r="Z838" s="409"/>
      <c r="AA838" s="409"/>
      <c r="AB838" s="410"/>
      <c r="AC838" s="155"/>
      <c r="AD838" s="156"/>
      <c r="AE838" s="156"/>
      <c r="AF838" s="156"/>
      <c r="AG838" s="156"/>
      <c r="AH838" s="156"/>
      <c r="AI838" s="156"/>
      <c r="AJ838" s="156"/>
      <c r="AK838" s="156"/>
      <c r="AL838" s="156"/>
      <c r="AM838" s="157">
        <f t="shared" si="880"/>
        <v>0</v>
      </c>
      <c r="AN838" s="158">
        <f t="shared" si="881"/>
        <v>4000</v>
      </c>
      <c r="AO838" s="159">
        <v>0.2</v>
      </c>
      <c r="AP838" s="160">
        <f t="shared" si="882"/>
        <v>0</v>
      </c>
      <c r="AQ838" s="161">
        <f t="shared" si="883"/>
        <v>0</v>
      </c>
      <c r="AR838" s="162">
        <f t="shared" si="884"/>
        <v>0</v>
      </c>
      <c r="AS838" s="163"/>
      <c r="AT838" s="164"/>
      <c r="AU838" s="165"/>
      <c r="AV838" s="166"/>
      <c r="AW838" s="167"/>
      <c r="AX838" s="146">
        <f t="shared" si="885"/>
        <v>0</v>
      </c>
      <c r="AY838" s="168"/>
    </row>
    <row r="839" spans="1:51" ht="10.9" hidden="1" customHeight="1" x14ac:dyDescent="0.25">
      <c r="B839" s="140">
        <v>10</v>
      </c>
      <c r="C839" s="63" t="s">
        <v>227</v>
      </c>
      <c r="D839" s="235"/>
      <c r="E839" s="236"/>
      <c r="F839" s="236"/>
      <c r="G839" s="236"/>
      <c r="H839" s="236"/>
      <c r="I839" s="236"/>
      <c r="J839" s="236"/>
      <c r="K839" s="236"/>
      <c r="L839" s="236"/>
      <c r="M839" s="236">
        <v>363683</v>
      </c>
      <c r="N839" s="236">
        <v>365369</v>
      </c>
      <c r="O839" s="236"/>
      <c r="P839" s="237"/>
      <c r="Q839" s="223">
        <f t="shared" si="878"/>
        <v>365369</v>
      </c>
      <c r="R839" s="147">
        <f>Q839*$R$10</f>
        <v>40190.590000000004</v>
      </c>
      <c r="S839" s="147">
        <f t="shared" si="879"/>
        <v>110.11120547945207</v>
      </c>
      <c r="T839" s="148">
        <f>S839*$T$5*$T$10</f>
        <v>24114.354000000003</v>
      </c>
      <c r="U839" s="420"/>
      <c r="V839" s="407"/>
      <c r="W839" s="222"/>
      <c r="X839" s="222"/>
      <c r="Y839" s="408"/>
      <c r="Z839" s="409"/>
      <c r="AA839" s="409"/>
      <c r="AB839" s="410"/>
      <c r="AC839" s="155"/>
      <c r="AD839" s="156"/>
      <c r="AE839" s="156"/>
      <c r="AF839" s="156"/>
      <c r="AG839" s="156"/>
      <c r="AH839" s="156"/>
      <c r="AI839" s="156"/>
      <c r="AJ839" s="156"/>
      <c r="AK839" s="156"/>
      <c r="AL839" s="156"/>
      <c r="AM839" s="157">
        <f t="shared" si="880"/>
        <v>0</v>
      </c>
      <c r="AN839" s="158">
        <f t="shared" si="881"/>
        <v>4000</v>
      </c>
      <c r="AO839" s="159">
        <v>0.2</v>
      </c>
      <c r="AP839" s="160">
        <f t="shared" si="882"/>
        <v>0</v>
      </c>
      <c r="AQ839" s="161">
        <f t="shared" si="883"/>
        <v>0</v>
      </c>
      <c r="AR839" s="162">
        <f t="shared" si="884"/>
        <v>0</v>
      </c>
      <c r="AS839" s="163"/>
      <c r="AT839" s="164"/>
      <c r="AU839" s="165"/>
      <c r="AV839" s="166"/>
      <c r="AW839" s="167"/>
      <c r="AX839" s="146">
        <f t="shared" si="885"/>
        <v>0</v>
      </c>
      <c r="AY839" s="168"/>
    </row>
    <row r="840" spans="1:51" ht="10.9" hidden="1" customHeight="1" x14ac:dyDescent="0.25">
      <c r="B840" s="140">
        <v>11</v>
      </c>
      <c r="C840" s="63" t="s">
        <v>228</v>
      </c>
      <c r="D840" s="235"/>
      <c r="E840" s="236"/>
      <c r="F840" s="236"/>
      <c r="G840" s="236"/>
      <c r="H840" s="236"/>
      <c r="I840" s="236"/>
      <c r="J840" s="236"/>
      <c r="K840" s="236"/>
      <c r="L840" s="236"/>
      <c r="M840" s="236">
        <v>185518</v>
      </c>
      <c r="N840" s="236">
        <v>187407</v>
      </c>
      <c r="O840" s="236"/>
      <c r="P840" s="237"/>
      <c r="Q840" s="223">
        <f t="shared" si="878"/>
        <v>187407</v>
      </c>
      <c r="R840" s="147">
        <f>Q840*$R$10</f>
        <v>20614.77</v>
      </c>
      <c r="S840" s="147">
        <f t="shared" si="879"/>
        <v>56.478821917808219</v>
      </c>
      <c r="T840" s="148">
        <f>S840*$T$5*$T$10</f>
        <v>12368.861999999999</v>
      </c>
      <c r="U840" s="420"/>
      <c r="V840" s="407"/>
      <c r="W840" s="222"/>
      <c r="X840" s="222"/>
      <c r="Y840" s="408"/>
      <c r="Z840" s="409"/>
      <c r="AA840" s="409"/>
      <c r="AB840" s="410"/>
      <c r="AC840" s="155"/>
      <c r="AD840" s="156"/>
      <c r="AE840" s="156"/>
      <c r="AF840" s="156"/>
      <c r="AG840" s="156"/>
      <c r="AH840" s="156"/>
      <c r="AI840" s="156"/>
      <c r="AJ840" s="156"/>
      <c r="AK840" s="156"/>
      <c r="AL840" s="156"/>
      <c r="AM840" s="157">
        <f t="shared" si="880"/>
        <v>0</v>
      </c>
      <c r="AN840" s="158">
        <f t="shared" si="881"/>
        <v>4000</v>
      </c>
      <c r="AO840" s="159">
        <v>0.2</v>
      </c>
      <c r="AP840" s="160">
        <f t="shared" si="882"/>
        <v>0</v>
      </c>
      <c r="AQ840" s="161">
        <f t="shared" si="883"/>
        <v>0</v>
      </c>
      <c r="AR840" s="162">
        <f t="shared" si="884"/>
        <v>0</v>
      </c>
      <c r="AS840" s="163"/>
      <c r="AT840" s="164"/>
      <c r="AU840" s="165"/>
      <c r="AV840" s="166"/>
      <c r="AW840" s="167"/>
      <c r="AX840" s="146">
        <f t="shared" si="885"/>
        <v>0</v>
      </c>
      <c r="AY840" s="168"/>
    </row>
    <row r="841" spans="1:51" ht="10.9" hidden="1" customHeight="1" x14ac:dyDescent="0.25">
      <c r="B841" s="140">
        <v>12</v>
      </c>
      <c r="C841" s="63" t="s">
        <v>229</v>
      </c>
      <c r="D841" s="235"/>
      <c r="E841" s="236"/>
      <c r="F841" s="236"/>
      <c r="G841" s="236"/>
      <c r="H841" s="236"/>
      <c r="I841" s="236"/>
      <c r="J841" s="236"/>
      <c r="K841" s="236"/>
      <c r="L841" s="236"/>
      <c r="M841" s="236">
        <v>48154</v>
      </c>
      <c r="N841" s="236">
        <v>50707</v>
      </c>
      <c r="O841" s="236"/>
      <c r="P841" s="237"/>
      <c r="Q841" s="223">
        <f t="shared" si="878"/>
        <v>50707</v>
      </c>
      <c r="R841" s="147">
        <f>Q841*$R$10</f>
        <v>5577.77</v>
      </c>
      <c r="S841" s="147">
        <f t="shared" si="879"/>
        <v>15.281561643835618</v>
      </c>
      <c r="T841" s="148">
        <f>S841*$T$5*$T$10</f>
        <v>3346.6620000000003</v>
      </c>
      <c r="U841" s="420"/>
      <c r="V841" s="407"/>
      <c r="W841" s="222"/>
      <c r="X841" s="222"/>
      <c r="Y841" s="408"/>
      <c r="Z841" s="409"/>
      <c r="AA841" s="409"/>
      <c r="AB841" s="410"/>
      <c r="AC841" s="155"/>
      <c r="AD841" s="156"/>
      <c r="AE841" s="156"/>
      <c r="AF841" s="156"/>
      <c r="AG841" s="156"/>
      <c r="AH841" s="156"/>
      <c r="AI841" s="156"/>
      <c r="AJ841" s="156"/>
      <c r="AK841" s="156"/>
      <c r="AL841" s="156"/>
      <c r="AM841" s="157">
        <f t="shared" si="880"/>
        <v>0</v>
      </c>
      <c r="AN841" s="158">
        <f t="shared" si="881"/>
        <v>4000</v>
      </c>
      <c r="AO841" s="159">
        <v>0.2</v>
      </c>
      <c r="AP841" s="160">
        <f t="shared" si="882"/>
        <v>0</v>
      </c>
      <c r="AQ841" s="161">
        <f t="shared" si="883"/>
        <v>0</v>
      </c>
      <c r="AR841" s="162">
        <f t="shared" si="884"/>
        <v>0</v>
      </c>
      <c r="AS841" s="163"/>
      <c r="AT841" s="164"/>
      <c r="AU841" s="165"/>
      <c r="AV841" s="166"/>
      <c r="AW841" s="167"/>
      <c r="AX841" s="146">
        <f t="shared" si="885"/>
        <v>0</v>
      </c>
      <c r="AY841" s="168"/>
    </row>
    <row r="842" spans="1:51" ht="10.9" hidden="1" customHeight="1" x14ac:dyDescent="0.25">
      <c r="B842" s="140">
        <v>13</v>
      </c>
      <c r="C842" s="258" t="s">
        <v>230</v>
      </c>
      <c r="D842" s="235"/>
      <c r="E842" s="236">
        <v>754892</v>
      </c>
      <c r="F842" s="236">
        <v>767036</v>
      </c>
      <c r="G842" s="236">
        <v>779179</v>
      </c>
      <c r="H842" s="236">
        <v>788937</v>
      </c>
      <c r="I842" s="236">
        <v>816788</v>
      </c>
      <c r="J842" s="236">
        <v>829783</v>
      </c>
      <c r="K842" s="236">
        <v>824896</v>
      </c>
      <c r="L842" s="236">
        <v>856126</v>
      </c>
      <c r="M842" s="236">
        <v>869470</v>
      </c>
      <c r="N842" s="236">
        <v>881801</v>
      </c>
      <c r="O842" s="236"/>
      <c r="P842" s="237"/>
      <c r="Q842" s="304">
        <f t="shared" si="878"/>
        <v>881801</v>
      </c>
      <c r="R842" s="147">
        <f>Q842*$R$9</f>
        <v>128742.946</v>
      </c>
      <c r="S842" s="147">
        <f t="shared" si="879"/>
        <v>352.72039999999998</v>
      </c>
      <c r="T842" s="148">
        <f>S842*$T$5*$T$9</f>
        <v>90120.062199999986</v>
      </c>
      <c r="U842" s="420"/>
      <c r="V842" s="407"/>
      <c r="W842" s="222"/>
      <c r="X842" s="222"/>
      <c r="Y842" s="408"/>
      <c r="Z842" s="409"/>
      <c r="AA842" s="409"/>
      <c r="AB842" s="410"/>
      <c r="AC842" s="155"/>
      <c r="AD842" s="156"/>
      <c r="AE842" s="156"/>
      <c r="AF842" s="156"/>
      <c r="AG842" s="156"/>
      <c r="AH842" s="156"/>
      <c r="AI842" s="156"/>
      <c r="AJ842" s="156"/>
      <c r="AK842" s="156"/>
      <c r="AL842" s="156"/>
      <c r="AM842" s="157">
        <f t="shared" si="880"/>
        <v>0</v>
      </c>
      <c r="AN842" s="158">
        <f t="shared" si="881"/>
        <v>4000</v>
      </c>
      <c r="AO842" s="159">
        <v>0.2</v>
      </c>
      <c r="AP842" s="160">
        <f t="shared" si="882"/>
        <v>0</v>
      </c>
      <c r="AQ842" s="161">
        <f t="shared" si="883"/>
        <v>0</v>
      </c>
      <c r="AR842" s="162">
        <f t="shared" si="884"/>
        <v>0</v>
      </c>
      <c r="AS842" s="163"/>
      <c r="AT842" s="233"/>
      <c r="AU842" s="187"/>
      <c r="AV842" s="166"/>
      <c r="AW842" s="167"/>
      <c r="AX842" s="146">
        <f t="shared" si="885"/>
        <v>0</v>
      </c>
      <c r="AY842" s="168"/>
    </row>
    <row r="843" spans="1:51" ht="10.9" hidden="1" customHeight="1" x14ac:dyDescent="0.25">
      <c r="B843" s="140"/>
      <c r="C843" s="258"/>
      <c r="D843" s="235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7"/>
      <c r="Q843" s="223"/>
      <c r="R843" s="167"/>
      <c r="S843" s="147"/>
      <c r="T843" s="146"/>
      <c r="U843" s="420" t="s">
        <v>670</v>
      </c>
      <c r="V843" s="407">
        <v>14</v>
      </c>
      <c r="W843" s="222">
        <f>(609*0.35)*365</f>
        <v>77799.749999999985</v>
      </c>
      <c r="X843" s="222"/>
      <c r="Y843" s="408"/>
      <c r="Z843" s="409"/>
      <c r="AA843" s="409"/>
      <c r="AB843" s="410"/>
      <c r="AC843" s="411">
        <f>W843*$AC$5</f>
        <v>45123.854999999989</v>
      </c>
      <c r="AD843" s="412">
        <f>W843*$AD$5</f>
        <v>10113.967499999999</v>
      </c>
      <c r="AE843" s="412">
        <f>W843*$AE$5</f>
        <v>6826.9280624999983</v>
      </c>
      <c r="AF843" s="412">
        <f>W843*$AF$5</f>
        <v>3111.9899999999993</v>
      </c>
      <c r="AG843" s="412">
        <f>W843*$AG$5</f>
        <v>1555.9949999999997</v>
      </c>
      <c r="AH843" s="412">
        <f>W843*$AH$5</f>
        <v>1555.9949999999997</v>
      </c>
      <c r="AI843" s="412">
        <f>W843*$AI$5</f>
        <v>777.99749999999983</v>
      </c>
      <c r="AJ843" s="412">
        <f>W843*$AJ$5</f>
        <v>1555.9949999999997</v>
      </c>
      <c r="AK843" s="412">
        <f>W843*$AK$5</f>
        <v>1555.9949999999997</v>
      </c>
      <c r="AL843" s="412">
        <f>W843*$AL$5</f>
        <v>5445.9824999999992</v>
      </c>
      <c r="AM843" s="413">
        <f t="shared" si="880"/>
        <v>23942.873062499995</v>
      </c>
      <c r="AN843" s="158">
        <f t="shared" si="881"/>
        <v>4000</v>
      </c>
      <c r="AO843" s="159">
        <v>0.2</v>
      </c>
      <c r="AP843" s="160">
        <f t="shared" si="882"/>
        <v>400976083.7522999</v>
      </c>
      <c r="AQ843" s="161">
        <f t="shared" si="883"/>
        <v>111382.25439732961</v>
      </c>
      <c r="AR843" s="162">
        <f t="shared" si="884"/>
        <v>22276.450879465923</v>
      </c>
      <c r="AS843" s="163"/>
      <c r="AT843" s="233"/>
      <c r="AU843" s="187">
        <v>0.5</v>
      </c>
      <c r="AV843" s="414">
        <f>AR843/$AV$5</f>
        <v>3.1787173058598635</v>
      </c>
      <c r="AW843" s="415"/>
      <c r="AX843" s="146">
        <f t="shared" si="885"/>
        <v>3.6787173058598635</v>
      </c>
      <c r="AY843" s="168"/>
    </row>
    <row r="844" spans="1:51" ht="10.9" hidden="1" customHeight="1" x14ac:dyDescent="0.25">
      <c r="B844" s="140">
        <v>14</v>
      </c>
      <c r="C844" s="63" t="s">
        <v>231</v>
      </c>
      <c r="D844" s="235"/>
      <c r="E844" s="236">
        <v>119771</v>
      </c>
      <c r="F844" s="236">
        <v>121094</v>
      </c>
      <c r="G844" s="236">
        <v>122417</v>
      </c>
      <c r="H844" s="236">
        <v>123740</v>
      </c>
      <c r="I844" s="236">
        <v>132501</v>
      </c>
      <c r="J844" s="236">
        <v>135070</v>
      </c>
      <c r="K844" s="236">
        <v>137674</v>
      </c>
      <c r="L844" s="236">
        <v>140314</v>
      </c>
      <c r="M844" s="236">
        <v>142988</v>
      </c>
      <c r="N844" s="236">
        <v>145471</v>
      </c>
      <c r="O844" s="236"/>
      <c r="P844" s="237"/>
      <c r="Q844" s="223">
        <f>MAX(D844:P844)</f>
        <v>145471</v>
      </c>
      <c r="R844" s="147">
        <f>Q844*$R$10</f>
        <v>16001.81</v>
      </c>
      <c r="S844" s="147">
        <f>R844/$S$5</f>
        <v>43.840575342465755</v>
      </c>
      <c r="T844" s="148">
        <f>S844*$T$5*$T$10</f>
        <v>9601.0860000000011</v>
      </c>
      <c r="U844" s="420"/>
      <c r="V844" s="407"/>
      <c r="W844" s="222"/>
      <c r="X844" s="222"/>
      <c r="Y844" s="408"/>
      <c r="Z844" s="409"/>
      <c r="AA844" s="409"/>
      <c r="AB844" s="410"/>
      <c r="AC844" s="155"/>
      <c r="AD844" s="156"/>
      <c r="AE844" s="156"/>
      <c r="AF844" s="156"/>
      <c r="AG844" s="156"/>
      <c r="AH844" s="156"/>
      <c r="AI844" s="156"/>
      <c r="AJ844" s="156"/>
      <c r="AK844" s="156"/>
      <c r="AL844" s="156"/>
      <c r="AM844" s="157">
        <f t="shared" si="880"/>
        <v>0</v>
      </c>
      <c r="AN844" s="158">
        <f t="shared" si="881"/>
        <v>4000</v>
      </c>
      <c r="AO844" s="159">
        <v>0.2</v>
      </c>
      <c r="AP844" s="160">
        <f t="shared" si="882"/>
        <v>0</v>
      </c>
      <c r="AQ844" s="161">
        <f t="shared" si="883"/>
        <v>0</v>
      </c>
      <c r="AR844" s="162">
        <f t="shared" si="884"/>
        <v>0</v>
      </c>
      <c r="AS844" s="163"/>
      <c r="AT844" s="164"/>
      <c r="AU844" s="165"/>
      <c r="AV844" s="166"/>
      <c r="AW844" s="167"/>
      <c r="AX844" s="146">
        <f t="shared" si="885"/>
        <v>0</v>
      </c>
      <c r="AY844" s="168"/>
    </row>
    <row r="845" spans="1:51" ht="10.9" hidden="1" customHeight="1" x14ac:dyDescent="0.25">
      <c r="B845" s="140"/>
      <c r="C845" s="63"/>
      <c r="D845" s="235"/>
      <c r="E845" s="300"/>
      <c r="F845" s="300"/>
      <c r="G845" s="300"/>
      <c r="H845" s="300"/>
      <c r="I845" s="300"/>
      <c r="J845" s="300"/>
      <c r="K845" s="300"/>
      <c r="L845" s="300"/>
      <c r="M845" s="300"/>
      <c r="N845" s="300"/>
      <c r="O845" s="300"/>
      <c r="P845" s="427"/>
      <c r="Q845" s="166"/>
      <c r="R845" s="167"/>
      <c r="S845" s="167"/>
      <c r="T845" s="428"/>
      <c r="U845" s="420" t="s">
        <v>671</v>
      </c>
      <c r="V845" s="407">
        <v>1.5</v>
      </c>
      <c r="W845" s="430">
        <f>(258*0.25)*365</f>
        <v>23542.5</v>
      </c>
      <c r="X845" s="430"/>
      <c r="Y845" s="427"/>
      <c r="Z845" s="431"/>
      <c r="AA845" s="431"/>
      <c r="AB845" s="432"/>
      <c r="AC845" s="411">
        <f>W845*52%</f>
        <v>12242.1</v>
      </c>
      <c r="AD845" s="412">
        <f>W845*25%</f>
        <v>5885.625</v>
      </c>
      <c r="AE845" s="412">
        <f>W845*9%</f>
        <v>2118.8249999999998</v>
      </c>
      <c r="AF845" s="412">
        <f>W845*5%</f>
        <v>1177.125</v>
      </c>
      <c r="AG845" s="412">
        <f>W845*3%</f>
        <v>706.27499999999998</v>
      </c>
      <c r="AH845" s="412">
        <f>W845*1%</f>
        <v>235.42500000000001</v>
      </c>
      <c r="AI845" s="412">
        <f>W845*2%</f>
        <v>470.85</v>
      </c>
      <c r="AJ845" s="412">
        <f>W845*1%</f>
        <v>235.42500000000001</v>
      </c>
      <c r="AK845" s="412">
        <f>W845*4%</f>
        <v>941.7</v>
      </c>
      <c r="AL845" s="412">
        <f>W845*1%</f>
        <v>235.42500000000001</v>
      </c>
      <c r="AM845" s="413">
        <f>SUM(AD845:AI845)</f>
        <v>10594.125</v>
      </c>
      <c r="AN845" s="158">
        <f t="shared" si="881"/>
        <v>4000</v>
      </c>
      <c r="AO845" s="159">
        <v>0.2</v>
      </c>
      <c r="AP845" s="160">
        <f t="shared" si="882"/>
        <v>177421930.19999999</v>
      </c>
      <c r="AQ845" s="161">
        <f t="shared" si="883"/>
        <v>49283.873442709555</v>
      </c>
      <c r="AR845" s="162">
        <f t="shared" si="884"/>
        <v>9856.774688541911</v>
      </c>
      <c r="AS845" s="163"/>
      <c r="AT845" s="233"/>
      <c r="AU845" s="187"/>
      <c r="AV845" s="414">
        <f>AR845/$AV$5</f>
        <v>1.4065032375202497</v>
      </c>
      <c r="AW845" s="415"/>
      <c r="AX845" s="146">
        <f>SUM(AU845:AV845)</f>
        <v>1.4065032375202497</v>
      </c>
      <c r="AY845" s="168"/>
    </row>
    <row r="846" spans="1:51" s="263" customFormat="1" ht="17.25" hidden="1" customHeight="1" x14ac:dyDescent="0.25">
      <c r="A846" s="173"/>
      <c r="B846" s="225"/>
      <c r="C846" s="258" t="s">
        <v>232</v>
      </c>
      <c r="D846" s="240">
        <f t="shared" ref="D846:S846" si="886">SUM(D830:D845)</f>
        <v>0</v>
      </c>
      <c r="E846" s="240">
        <f t="shared" si="886"/>
        <v>6722314</v>
      </c>
      <c r="F846" s="240">
        <f t="shared" si="886"/>
        <v>6787654</v>
      </c>
      <c r="G846" s="240">
        <f t="shared" si="886"/>
        <v>6852999</v>
      </c>
      <c r="H846" s="240">
        <f t="shared" si="886"/>
        <v>6915950</v>
      </c>
      <c r="I846" s="240">
        <f t="shared" si="886"/>
        <v>7172831</v>
      </c>
      <c r="J846" s="240">
        <f t="shared" si="886"/>
        <v>7260588</v>
      </c>
      <c r="K846" s="240">
        <f t="shared" si="886"/>
        <v>7330788</v>
      </c>
      <c r="L846" s="240">
        <f t="shared" si="886"/>
        <v>7437414</v>
      </c>
      <c r="M846" s="240">
        <f t="shared" si="886"/>
        <v>7326388</v>
      </c>
      <c r="N846" s="240">
        <f t="shared" si="886"/>
        <v>7408405</v>
      </c>
      <c r="O846" s="240">
        <f t="shared" si="886"/>
        <v>0</v>
      </c>
      <c r="P846" s="240">
        <f t="shared" si="886"/>
        <v>0</v>
      </c>
      <c r="Q846" s="240">
        <f t="shared" si="886"/>
        <v>8499582</v>
      </c>
      <c r="R846" s="240">
        <f t="shared" si="886"/>
        <v>1213412.112</v>
      </c>
      <c r="S846" s="240">
        <f t="shared" si="886"/>
        <v>3324.4167452054799</v>
      </c>
      <c r="T846" s="240">
        <f>SUM(T830:T845)</f>
        <v>867319.022</v>
      </c>
      <c r="U846" s="240">
        <f t="shared" ref="U846:AX846" si="887">SUM(U830:U845)</f>
        <v>0</v>
      </c>
      <c r="V846" s="240">
        <f t="shared" si="887"/>
        <v>15.5</v>
      </c>
      <c r="W846" s="240">
        <f t="shared" si="887"/>
        <v>101342.24999999999</v>
      </c>
      <c r="X846" s="240">
        <f t="shared" si="887"/>
        <v>0</v>
      </c>
      <c r="Y846" s="240">
        <f t="shared" si="887"/>
        <v>0</v>
      </c>
      <c r="Z846" s="240">
        <f t="shared" si="887"/>
        <v>0</v>
      </c>
      <c r="AA846" s="240">
        <f t="shared" si="887"/>
        <v>0</v>
      </c>
      <c r="AB846" s="240">
        <f t="shared" si="887"/>
        <v>0</v>
      </c>
      <c r="AC846" s="240">
        <f t="shared" si="887"/>
        <v>57365.954999999987</v>
      </c>
      <c r="AD846" s="240">
        <f t="shared" si="887"/>
        <v>15999.592499999999</v>
      </c>
      <c r="AE846" s="240">
        <f t="shared" si="887"/>
        <v>8945.7530624999981</v>
      </c>
      <c r="AF846" s="240">
        <f t="shared" si="887"/>
        <v>4289.1149999999998</v>
      </c>
      <c r="AG846" s="240">
        <f t="shared" si="887"/>
        <v>2262.2699999999995</v>
      </c>
      <c r="AH846" s="240">
        <f t="shared" si="887"/>
        <v>1791.4199999999996</v>
      </c>
      <c r="AI846" s="240">
        <f t="shared" si="887"/>
        <v>1248.8474999999999</v>
      </c>
      <c r="AJ846" s="240">
        <f t="shared" si="887"/>
        <v>1791.4199999999996</v>
      </c>
      <c r="AK846" s="240">
        <f t="shared" si="887"/>
        <v>2497.6949999999997</v>
      </c>
      <c r="AL846" s="240">
        <f t="shared" si="887"/>
        <v>5681.4074999999993</v>
      </c>
      <c r="AM846" s="240">
        <f t="shared" si="887"/>
        <v>34536.998062499995</v>
      </c>
      <c r="AN846" s="240"/>
      <c r="AO846" s="240"/>
      <c r="AP846" s="240">
        <f t="shared" si="887"/>
        <v>578398013.95229983</v>
      </c>
      <c r="AQ846" s="240">
        <f t="shared" si="887"/>
        <v>160666.12784003917</v>
      </c>
      <c r="AR846" s="240">
        <f t="shared" si="887"/>
        <v>32133.225568007834</v>
      </c>
      <c r="AS846" s="240">
        <f t="shared" si="887"/>
        <v>0</v>
      </c>
      <c r="AT846" s="240">
        <f t="shared" si="887"/>
        <v>0</v>
      </c>
      <c r="AU846" s="240">
        <f t="shared" si="887"/>
        <v>0.5</v>
      </c>
      <c r="AV846" s="240">
        <f t="shared" si="887"/>
        <v>4.585220543380113</v>
      </c>
      <c r="AW846" s="240">
        <f t="shared" si="887"/>
        <v>0</v>
      </c>
      <c r="AX846" s="240">
        <f t="shared" si="887"/>
        <v>5.085220543380113</v>
      </c>
      <c r="AY846" s="189"/>
    </row>
    <row r="847" spans="1:51" s="139" customFormat="1" ht="10.9" hidden="1" customHeight="1" x14ac:dyDescent="0.25">
      <c r="B847" s="266"/>
      <c r="C847" s="152"/>
      <c r="D847" s="247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248"/>
      <c r="Q847" s="249"/>
      <c r="R847" s="250"/>
      <c r="S847" s="250"/>
      <c r="T847" s="251"/>
      <c r="U847" s="199"/>
      <c r="V847" s="150"/>
      <c r="W847" s="249"/>
      <c r="X847" s="249"/>
      <c r="Y847" s="152"/>
      <c r="Z847" s="153"/>
      <c r="AA847" s="153"/>
      <c r="AB847" s="154"/>
      <c r="AC847" s="247"/>
      <c r="AD847" s="252"/>
      <c r="AE847" s="252"/>
      <c r="AF847" s="252"/>
      <c r="AG847" s="252"/>
      <c r="AH847" s="252"/>
      <c r="AI847" s="252"/>
      <c r="AJ847" s="252"/>
      <c r="AK847" s="252"/>
      <c r="AL847" s="252"/>
      <c r="AM847" s="214"/>
      <c r="AN847" s="203"/>
      <c r="AO847" s="204"/>
      <c r="AP847" s="203"/>
      <c r="AQ847" s="205"/>
      <c r="AR847" s="206"/>
      <c r="AS847" s="253"/>
      <c r="AT847" s="254"/>
      <c r="AU847" s="255"/>
      <c r="AV847" s="203"/>
      <c r="AW847" s="267"/>
      <c r="AX847" s="251"/>
      <c r="AY847" s="268"/>
    </row>
    <row r="848" spans="1:51" s="351" customFormat="1" ht="22.5" hidden="1" customHeight="1" x14ac:dyDescent="0.25">
      <c r="A848" s="346"/>
      <c r="B848" s="438"/>
      <c r="C848" s="439" t="s">
        <v>233</v>
      </c>
      <c r="D848" s="440"/>
      <c r="E848" s="441"/>
      <c r="F848" s="441"/>
      <c r="G848" s="441"/>
      <c r="H848" s="441"/>
      <c r="I848" s="441"/>
      <c r="J848" s="441"/>
      <c r="K848" s="441"/>
      <c r="L848" s="441"/>
      <c r="M848" s="441"/>
      <c r="N848" s="441"/>
      <c r="O848" s="441"/>
      <c r="P848" s="442"/>
      <c r="Q848" s="443">
        <f t="shared" ref="Q848:AX848" si="888">Q666+Q711+Q736+Q754+Q766+Q781+Q795+Q817+Q827+Q846</f>
        <v>53532069</v>
      </c>
      <c r="R848" s="443">
        <f t="shared" si="888"/>
        <v>7411529.9910000004</v>
      </c>
      <c r="S848" s="443">
        <f t="shared" si="888"/>
        <v>20305.561619178083</v>
      </c>
      <c r="T848" s="443">
        <f t="shared" si="888"/>
        <v>5232418.3520999998</v>
      </c>
      <c r="U848" s="443">
        <f t="shared" si="888"/>
        <v>0</v>
      </c>
      <c r="V848" s="443">
        <f t="shared" si="888"/>
        <v>135</v>
      </c>
      <c r="W848" s="443">
        <f t="shared" si="888"/>
        <v>1281350.75</v>
      </c>
      <c r="X848" s="443">
        <f t="shared" si="888"/>
        <v>0</v>
      </c>
      <c r="Y848" s="443">
        <f t="shared" si="888"/>
        <v>0</v>
      </c>
      <c r="Z848" s="443">
        <f t="shared" si="888"/>
        <v>0</v>
      </c>
      <c r="AA848" s="443">
        <f t="shared" si="888"/>
        <v>0.25</v>
      </c>
      <c r="AB848" s="443">
        <f t="shared" si="888"/>
        <v>0</v>
      </c>
      <c r="AC848" s="443">
        <f t="shared" si="888"/>
        <v>727295.71499999985</v>
      </c>
      <c r="AD848" s="443">
        <f t="shared" si="888"/>
        <v>221258.4375</v>
      </c>
      <c r="AE848" s="443">
        <f t="shared" si="888"/>
        <v>114833.95031249998</v>
      </c>
      <c r="AF848" s="443">
        <f t="shared" si="888"/>
        <v>56279.35</v>
      </c>
      <c r="AG848" s="443">
        <f t="shared" si="888"/>
        <v>30331.134999999998</v>
      </c>
      <c r="AH848" s="443">
        <f t="shared" si="888"/>
        <v>21565.294999999998</v>
      </c>
      <c r="AI848" s="443">
        <f t="shared" si="888"/>
        <v>16262.027499999998</v>
      </c>
      <c r="AJ848" s="443">
        <f t="shared" si="888"/>
        <v>21565.294999999998</v>
      </c>
      <c r="AK848" s="443">
        <f t="shared" si="888"/>
        <v>34714.055</v>
      </c>
      <c r="AL848" s="443">
        <f t="shared" si="888"/>
        <v>63754.732499999998</v>
      </c>
      <c r="AM848" s="443">
        <f t="shared" si="888"/>
        <v>460530.1953125</v>
      </c>
      <c r="AN848" s="443">
        <f t="shared" si="888"/>
        <v>0</v>
      </c>
      <c r="AO848" s="443">
        <f t="shared" si="888"/>
        <v>2.1999999999999997</v>
      </c>
      <c r="AP848" s="443">
        <f t="shared" si="888"/>
        <v>9667441701.3374996</v>
      </c>
      <c r="AQ848" s="443">
        <f t="shared" si="888"/>
        <v>2685400.6874257876</v>
      </c>
      <c r="AR848" s="443">
        <f t="shared" si="888"/>
        <v>537080.13748515747</v>
      </c>
      <c r="AS848" s="443">
        <f t="shared" si="888"/>
        <v>0</v>
      </c>
      <c r="AT848" s="443">
        <f t="shared" si="888"/>
        <v>0</v>
      </c>
      <c r="AU848" s="443">
        <f t="shared" si="888"/>
        <v>7</v>
      </c>
      <c r="AV848" s="443">
        <f t="shared" si="888"/>
        <v>76.638147472197133</v>
      </c>
      <c r="AW848" s="443">
        <f t="shared" si="888"/>
        <v>56.939842482270365</v>
      </c>
      <c r="AX848" s="443">
        <f t="shared" si="888"/>
        <v>83.638147472197133</v>
      </c>
      <c r="AY848" s="444"/>
    </row>
    <row r="849" spans="1:51" s="139" customFormat="1" ht="10.9" hidden="1" customHeight="1" x14ac:dyDescent="0.25">
      <c r="B849" s="247"/>
      <c r="C849" s="152"/>
      <c r="D849" s="247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248"/>
      <c r="P849" s="248"/>
      <c r="Q849" s="249"/>
      <c r="R849" s="250"/>
      <c r="S849" s="250"/>
      <c r="T849" s="251"/>
      <c r="U849" s="199"/>
      <c r="V849" s="179"/>
      <c r="W849" s="249"/>
      <c r="X849" s="249"/>
      <c r="Y849" s="152"/>
      <c r="Z849" s="153"/>
      <c r="AA849" s="153"/>
      <c r="AB849" s="154"/>
      <c r="AC849" s="247"/>
      <c r="AD849" s="252"/>
      <c r="AE849" s="252"/>
      <c r="AF849" s="252"/>
      <c r="AG849" s="252"/>
      <c r="AH849" s="252"/>
      <c r="AI849" s="252"/>
      <c r="AJ849" s="252"/>
      <c r="AK849" s="252"/>
      <c r="AL849" s="252"/>
      <c r="AM849" s="214"/>
      <c r="AN849" s="203"/>
      <c r="AO849" s="204"/>
      <c r="AP849" s="203"/>
      <c r="AQ849" s="205"/>
      <c r="AR849" s="206"/>
      <c r="AS849" s="253"/>
      <c r="AT849" s="254"/>
      <c r="AU849" s="255"/>
      <c r="AV849" s="256"/>
      <c r="AW849" s="257"/>
      <c r="AX849" s="214"/>
      <c r="AY849" s="212"/>
    </row>
    <row r="850" spans="1:51" s="290" customFormat="1" ht="23.1" hidden="1" customHeight="1" x14ac:dyDescent="0.25">
      <c r="B850" s="291" t="s">
        <v>234</v>
      </c>
      <c r="C850" s="292"/>
      <c r="D850" s="293"/>
      <c r="E850" s="292"/>
      <c r="F850" s="292"/>
      <c r="G850" s="292"/>
      <c r="H850" s="292"/>
      <c r="I850" s="292"/>
      <c r="J850" s="292"/>
      <c r="K850" s="292"/>
      <c r="L850" s="292"/>
      <c r="M850" s="292"/>
      <c r="N850" s="292"/>
      <c r="O850" s="292"/>
      <c r="P850" s="292"/>
      <c r="Q850" s="292"/>
      <c r="R850" s="292"/>
      <c r="S850" s="294"/>
      <c r="T850" s="292"/>
      <c r="U850" s="292"/>
      <c r="V850" s="292"/>
      <c r="W850" s="292"/>
      <c r="X850" s="292"/>
      <c r="Y850" s="292"/>
      <c r="Z850" s="295"/>
      <c r="AA850" s="296"/>
      <c r="AB850" s="116"/>
      <c r="AC850" s="117"/>
      <c r="AD850" s="117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297"/>
      <c r="AO850" s="292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</row>
    <row r="851" spans="1:51" s="139" customFormat="1" ht="15" hidden="1" customHeight="1" x14ac:dyDescent="0.25">
      <c r="A851" s="1"/>
      <c r="B851" s="120"/>
      <c r="C851" s="258" t="s">
        <v>235</v>
      </c>
      <c r="D851" s="122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213"/>
      <c r="Q851" s="76"/>
      <c r="R851" s="108"/>
      <c r="S851" s="108"/>
      <c r="T851" s="94"/>
      <c r="U851" s="120"/>
      <c r="V851" s="67"/>
      <c r="W851" s="123"/>
      <c r="X851" s="123"/>
      <c r="Y851" s="125"/>
      <c r="Z851" s="126"/>
      <c r="AA851" s="126"/>
      <c r="AB851" s="127"/>
      <c r="AC851" s="62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125"/>
      <c r="AN851" s="75"/>
      <c r="AO851" s="216"/>
      <c r="AP851" s="75"/>
      <c r="AQ851" s="51"/>
      <c r="AR851" s="259"/>
      <c r="AS851" s="218"/>
      <c r="AT851" s="219"/>
      <c r="AU851" s="220"/>
      <c r="AV851" s="135"/>
      <c r="AW851" s="136"/>
      <c r="AX851" s="137"/>
      <c r="AY851" s="138"/>
    </row>
    <row r="852" spans="1:51" ht="10.9" hidden="1" customHeight="1" x14ac:dyDescent="0.2">
      <c r="B852" s="140">
        <v>1</v>
      </c>
      <c r="C852" s="299" t="s">
        <v>236</v>
      </c>
      <c r="D852" s="300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301">
        <v>501149</v>
      </c>
      <c r="P852" s="237"/>
      <c r="Q852" s="223">
        <f t="shared" ref="Q852:Q866" si="889">MAX(D852:P852)</f>
        <v>501149</v>
      </c>
      <c r="R852" s="147">
        <f>Q852*$R$9</f>
        <v>73167.754000000001</v>
      </c>
      <c r="S852" s="147">
        <f t="shared" ref="S852:S864" si="890">R852/$S$5</f>
        <v>200.45959999999999</v>
      </c>
      <c r="T852" s="148">
        <f>S852*$T$5*$T$9</f>
        <v>51217.427799999998</v>
      </c>
      <c r="U852" s="420"/>
      <c r="V852" s="407"/>
      <c r="W852" s="222"/>
      <c r="X852" s="222"/>
      <c r="Y852" s="408"/>
      <c r="Z852" s="409"/>
      <c r="AA852" s="409"/>
      <c r="AB852" s="410"/>
      <c r="AC852" s="155"/>
      <c r="AD852" s="156"/>
      <c r="AE852" s="156"/>
      <c r="AF852" s="156"/>
      <c r="AG852" s="156"/>
      <c r="AH852" s="156"/>
      <c r="AI852" s="156"/>
      <c r="AJ852" s="156"/>
      <c r="AK852" s="156"/>
      <c r="AL852" s="156"/>
      <c r="AM852" s="157">
        <f t="shared" ref="AM852:AM866" si="891">SUM(AD852:AI852)</f>
        <v>0</v>
      </c>
      <c r="AN852" s="158">
        <f t="shared" ref="AN852:AN866" si="892">$AN$641</f>
        <v>4000</v>
      </c>
      <c r="AO852" s="159">
        <v>0.2</v>
      </c>
      <c r="AP852" s="160">
        <f t="shared" ref="AP852:AP866" si="893">AM852*AN852*$AP$5</f>
        <v>0</v>
      </c>
      <c r="AQ852" s="161">
        <f t="shared" ref="AQ852:AQ866" si="894">AP852*$AQ$5</f>
        <v>0</v>
      </c>
      <c r="AR852" s="162">
        <f t="shared" ref="AR852:AR866" si="895">AQ852*$AR$5</f>
        <v>0</v>
      </c>
      <c r="AS852" s="163"/>
      <c r="AT852" s="164"/>
      <c r="AU852" s="165"/>
      <c r="AV852" s="166"/>
      <c r="AW852" s="167"/>
      <c r="AX852" s="146">
        <f>SUM(AU852:AV852)</f>
        <v>0</v>
      </c>
      <c r="AY852" s="168"/>
    </row>
    <row r="853" spans="1:51" ht="10.9" hidden="1" customHeight="1" x14ac:dyDescent="0.2">
      <c r="B853" s="140">
        <v>2</v>
      </c>
      <c r="C853" s="299" t="s">
        <v>237</v>
      </c>
      <c r="D853" s="300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301">
        <v>220067</v>
      </c>
      <c r="P853" s="237"/>
      <c r="Q853" s="223">
        <f t="shared" si="889"/>
        <v>220067</v>
      </c>
      <c r="R853" s="147">
        <f t="shared" ref="R853:R862" si="896">Q853*$R$10</f>
        <v>24207.37</v>
      </c>
      <c r="S853" s="147">
        <f t="shared" si="890"/>
        <v>66.321561643835608</v>
      </c>
      <c r="T853" s="148">
        <f t="shared" ref="T853:T862" si="897">S853*$T$5*$T$10</f>
        <v>14524.421999999997</v>
      </c>
      <c r="U853" s="420"/>
      <c r="V853" s="407"/>
      <c r="W853" s="222"/>
      <c r="X853" s="222"/>
      <c r="Y853" s="408"/>
      <c r="Z853" s="409"/>
      <c r="AA853" s="409"/>
      <c r="AB853" s="410"/>
      <c r="AC853" s="155"/>
      <c r="AD853" s="156"/>
      <c r="AE853" s="156"/>
      <c r="AF853" s="156"/>
      <c r="AG853" s="156"/>
      <c r="AH853" s="156"/>
      <c r="AI853" s="156"/>
      <c r="AJ853" s="156"/>
      <c r="AK853" s="156"/>
      <c r="AL853" s="156"/>
      <c r="AM853" s="157">
        <f t="shared" si="891"/>
        <v>0</v>
      </c>
      <c r="AN853" s="158">
        <f t="shared" si="892"/>
        <v>4000</v>
      </c>
      <c r="AO853" s="159">
        <v>0.2</v>
      </c>
      <c r="AP853" s="160">
        <f t="shared" si="893"/>
        <v>0</v>
      </c>
      <c r="AQ853" s="161">
        <f t="shared" si="894"/>
        <v>0</v>
      </c>
      <c r="AR853" s="162">
        <f t="shared" si="895"/>
        <v>0</v>
      </c>
      <c r="AS853" s="163"/>
      <c r="AT853" s="164"/>
      <c r="AU853" s="165"/>
      <c r="AV853" s="166"/>
      <c r="AW853" s="167"/>
      <c r="AX853" s="146">
        <f t="shared" ref="AX853:AX866" si="898">SUM(AU853:AV853)</f>
        <v>0</v>
      </c>
      <c r="AY853" s="168"/>
    </row>
    <row r="854" spans="1:51" ht="10.9" hidden="1" customHeight="1" x14ac:dyDescent="0.2">
      <c r="B854" s="140">
        <v>3</v>
      </c>
      <c r="C854" s="299" t="s">
        <v>238</v>
      </c>
      <c r="D854" s="300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301">
        <v>335452</v>
      </c>
      <c r="P854" s="237"/>
      <c r="Q854" s="223">
        <f t="shared" si="889"/>
        <v>335452</v>
      </c>
      <c r="R854" s="147">
        <f t="shared" si="896"/>
        <v>36899.72</v>
      </c>
      <c r="S854" s="147">
        <f t="shared" si="890"/>
        <v>101.09512328767124</v>
      </c>
      <c r="T854" s="148">
        <f t="shared" si="897"/>
        <v>22139.831999999999</v>
      </c>
      <c r="U854" s="420"/>
      <c r="V854" s="407"/>
      <c r="W854" s="222"/>
      <c r="X854" s="222"/>
      <c r="Y854" s="408"/>
      <c r="Z854" s="409"/>
      <c r="AA854" s="409"/>
      <c r="AB854" s="410"/>
      <c r="AC854" s="155"/>
      <c r="AD854" s="156"/>
      <c r="AE854" s="156"/>
      <c r="AF854" s="156"/>
      <c r="AG854" s="156"/>
      <c r="AH854" s="156"/>
      <c r="AI854" s="156"/>
      <c r="AJ854" s="156"/>
      <c r="AK854" s="156"/>
      <c r="AL854" s="156"/>
      <c r="AM854" s="157">
        <f t="shared" si="891"/>
        <v>0</v>
      </c>
      <c r="AN854" s="158">
        <f t="shared" si="892"/>
        <v>4000</v>
      </c>
      <c r="AO854" s="159">
        <v>0.2</v>
      </c>
      <c r="AP854" s="160">
        <f t="shared" si="893"/>
        <v>0</v>
      </c>
      <c r="AQ854" s="161">
        <f t="shared" si="894"/>
        <v>0</v>
      </c>
      <c r="AR854" s="162">
        <f t="shared" si="895"/>
        <v>0</v>
      </c>
      <c r="AS854" s="163"/>
      <c r="AT854" s="164"/>
      <c r="AU854" s="165"/>
      <c r="AV854" s="166"/>
      <c r="AW854" s="167"/>
      <c r="AX854" s="146">
        <f t="shared" si="898"/>
        <v>0</v>
      </c>
      <c r="AY854" s="168"/>
    </row>
    <row r="855" spans="1:51" ht="10.9" hidden="1" customHeight="1" x14ac:dyDescent="0.2">
      <c r="B855" s="140">
        <v>4</v>
      </c>
      <c r="C855" s="299" t="s">
        <v>239</v>
      </c>
      <c r="D855" s="300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301">
        <v>237722</v>
      </c>
      <c r="P855" s="237"/>
      <c r="Q855" s="223">
        <f t="shared" si="889"/>
        <v>237722</v>
      </c>
      <c r="R855" s="147">
        <f t="shared" si="896"/>
        <v>26149.420000000002</v>
      </c>
      <c r="S855" s="147">
        <f t="shared" si="890"/>
        <v>71.642246575342469</v>
      </c>
      <c r="T855" s="148">
        <f t="shared" si="897"/>
        <v>15689.652</v>
      </c>
      <c r="U855" s="420"/>
      <c r="V855" s="407"/>
      <c r="W855" s="222"/>
      <c r="X855" s="222"/>
      <c r="Y855" s="408"/>
      <c r="Z855" s="409"/>
      <c r="AA855" s="409"/>
      <c r="AB855" s="410"/>
      <c r="AC855" s="155"/>
      <c r="AD855" s="156"/>
      <c r="AE855" s="156"/>
      <c r="AF855" s="156"/>
      <c r="AG855" s="156"/>
      <c r="AH855" s="156"/>
      <c r="AI855" s="156"/>
      <c r="AJ855" s="156"/>
      <c r="AK855" s="156"/>
      <c r="AL855" s="156"/>
      <c r="AM855" s="157">
        <f t="shared" si="891"/>
        <v>0</v>
      </c>
      <c r="AN855" s="158">
        <f t="shared" si="892"/>
        <v>4000</v>
      </c>
      <c r="AO855" s="159">
        <v>0.2</v>
      </c>
      <c r="AP855" s="160">
        <f t="shared" si="893"/>
        <v>0</v>
      </c>
      <c r="AQ855" s="161">
        <f t="shared" si="894"/>
        <v>0</v>
      </c>
      <c r="AR855" s="162">
        <f t="shared" si="895"/>
        <v>0</v>
      </c>
      <c r="AS855" s="163"/>
      <c r="AT855" s="164"/>
      <c r="AU855" s="165"/>
      <c r="AV855" s="166"/>
      <c r="AW855" s="167"/>
      <c r="AX855" s="146">
        <f t="shared" si="898"/>
        <v>0</v>
      </c>
      <c r="AY855" s="168"/>
    </row>
    <row r="856" spans="1:51" ht="10.9" hidden="1" customHeight="1" x14ac:dyDescent="0.2">
      <c r="B856" s="140">
        <v>5</v>
      </c>
      <c r="C856" s="299" t="s">
        <v>240</v>
      </c>
      <c r="D856" s="300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301">
        <v>415955</v>
      </c>
      <c r="P856" s="237"/>
      <c r="Q856" s="223">
        <f t="shared" si="889"/>
        <v>415955</v>
      </c>
      <c r="R856" s="147">
        <f t="shared" si="896"/>
        <v>45755.05</v>
      </c>
      <c r="S856" s="147">
        <f t="shared" si="890"/>
        <v>125.35630136986302</v>
      </c>
      <c r="T856" s="148">
        <f t="shared" si="897"/>
        <v>27453.030000000002</v>
      </c>
      <c r="U856" s="420"/>
      <c r="V856" s="407"/>
      <c r="W856" s="222"/>
      <c r="X856" s="222"/>
      <c r="Y856" s="408"/>
      <c r="Z856" s="409"/>
      <c r="AA856" s="409"/>
      <c r="AB856" s="410"/>
      <c r="AC856" s="155"/>
      <c r="AD856" s="156"/>
      <c r="AE856" s="156"/>
      <c r="AF856" s="156"/>
      <c r="AG856" s="156"/>
      <c r="AH856" s="156"/>
      <c r="AI856" s="156"/>
      <c r="AJ856" s="156"/>
      <c r="AK856" s="156"/>
      <c r="AL856" s="156"/>
      <c r="AM856" s="157">
        <f t="shared" si="891"/>
        <v>0</v>
      </c>
      <c r="AN856" s="158">
        <f t="shared" si="892"/>
        <v>4000</v>
      </c>
      <c r="AO856" s="159">
        <v>0.2</v>
      </c>
      <c r="AP856" s="160">
        <f t="shared" si="893"/>
        <v>0</v>
      </c>
      <c r="AQ856" s="161">
        <f t="shared" si="894"/>
        <v>0</v>
      </c>
      <c r="AR856" s="162">
        <f t="shared" si="895"/>
        <v>0</v>
      </c>
      <c r="AS856" s="163"/>
      <c r="AT856" s="164"/>
      <c r="AU856" s="165"/>
      <c r="AV856" s="166"/>
      <c r="AW856" s="167"/>
      <c r="AX856" s="146">
        <f t="shared" si="898"/>
        <v>0</v>
      </c>
      <c r="AY856" s="168"/>
    </row>
    <row r="857" spans="1:51" ht="10.9" hidden="1" customHeight="1" x14ac:dyDescent="0.2">
      <c r="B857" s="140">
        <v>6</v>
      </c>
      <c r="C857" s="299" t="s">
        <v>241</v>
      </c>
      <c r="D857" s="300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301">
        <v>437613</v>
      </c>
      <c r="P857" s="237"/>
      <c r="Q857" s="223">
        <f t="shared" si="889"/>
        <v>437613</v>
      </c>
      <c r="R857" s="147">
        <f t="shared" si="896"/>
        <v>48137.43</v>
      </c>
      <c r="S857" s="147">
        <f t="shared" si="890"/>
        <v>131.88336986301371</v>
      </c>
      <c r="T857" s="148">
        <f t="shared" si="897"/>
        <v>28882.458000000002</v>
      </c>
      <c r="U857" s="420"/>
      <c r="V857" s="407"/>
      <c r="W857" s="222"/>
      <c r="X857" s="222"/>
      <c r="Y857" s="408"/>
      <c r="Z857" s="409"/>
      <c r="AA857" s="409"/>
      <c r="AB857" s="410"/>
      <c r="AC857" s="155"/>
      <c r="AD857" s="156"/>
      <c r="AE857" s="156"/>
      <c r="AF857" s="156"/>
      <c r="AG857" s="156"/>
      <c r="AH857" s="156"/>
      <c r="AI857" s="156"/>
      <c r="AJ857" s="156"/>
      <c r="AK857" s="156"/>
      <c r="AL857" s="156"/>
      <c r="AM857" s="157">
        <f t="shared" si="891"/>
        <v>0</v>
      </c>
      <c r="AN857" s="158">
        <f t="shared" si="892"/>
        <v>4000</v>
      </c>
      <c r="AO857" s="159">
        <v>0.2</v>
      </c>
      <c r="AP857" s="160">
        <f t="shared" si="893"/>
        <v>0</v>
      </c>
      <c r="AQ857" s="161">
        <f t="shared" si="894"/>
        <v>0</v>
      </c>
      <c r="AR857" s="162">
        <f t="shared" si="895"/>
        <v>0</v>
      </c>
      <c r="AS857" s="163"/>
      <c r="AT857" s="164"/>
      <c r="AU857" s="165"/>
      <c r="AV857" s="166"/>
      <c r="AW857" s="167"/>
      <c r="AX857" s="146">
        <f t="shared" si="898"/>
        <v>0</v>
      </c>
      <c r="AY857" s="168"/>
    </row>
    <row r="858" spans="1:51" ht="10.9" hidden="1" customHeight="1" x14ac:dyDescent="0.2">
      <c r="B858" s="140">
        <v>7</v>
      </c>
      <c r="C858" s="299" t="s">
        <v>242</v>
      </c>
      <c r="D858" s="300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301">
        <v>371322</v>
      </c>
      <c r="P858" s="237"/>
      <c r="Q858" s="223">
        <f t="shared" si="889"/>
        <v>371322</v>
      </c>
      <c r="R858" s="147">
        <f t="shared" si="896"/>
        <v>40845.42</v>
      </c>
      <c r="S858" s="147">
        <f t="shared" si="890"/>
        <v>111.9052602739726</v>
      </c>
      <c r="T858" s="148">
        <f t="shared" si="897"/>
        <v>24507.251999999997</v>
      </c>
      <c r="U858" s="420"/>
      <c r="V858" s="407"/>
      <c r="W858" s="222"/>
      <c r="X858" s="222"/>
      <c r="Y858" s="408"/>
      <c r="Z858" s="409"/>
      <c r="AA858" s="409"/>
      <c r="AB858" s="410"/>
      <c r="AC858" s="155"/>
      <c r="AD858" s="156"/>
      <c r="AE858" s="156"/>
      <c r="AF858" s="156"/>
      <c r="AG858" s="156"/>
      <c r="AH858" s="156"/>
      <c r="AI858" s="156"/>
      <c r="AJ858" s="156"/>
      <c r="AK858" s="156"/>
      <c r="AL858" s="156"/>
      <c r="AM858" s="157">
        <f t="shared" si="891"/>
        <v>0</v>
      </c>
      <c r="AN858" s="158">
        <f t="shared" si="892"/>
        <v>4000</v>
      </c>
      <c r="AO858" s="159">
        <v>0.2</v>
      </c>
      <c r="AP858" s="160">
        <f t="shared" si="893"/>
        <v>0</v>
      </c>
      <c r="AQ858" s="161">
        <f t="shared" si="894"/>
        <v>0</v>
      </c>
      <c r="AR858" s="162">
        <f t="shared" si="895"/>
        <v>0</v>
      </c>
      <c r="AS858" s="163"/>
      <c r="AT858" s="164"/>
      <c r="AU858" s="165"/>
      <c r="AV858" s="166"/>
      <c r="AW858" s="167"/>
      <c r="AX858" s="146">
        <f t="shared" si="898"/>
        <v>0</v>
      </c>
      <c r="AY858" s="168"/>
    </row>
    <row r="859" spans="1:51" ht="10.9" hidden="1" customHeight="1" x14ac:dyDescent="0.2">
      <c r="B859" s="140">
        <v>8</v>
      </c>
      <c r="C859" s="299" t="s">
        <v>243</v>
      </c>
      <c r="D859" s="300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301">
        <v>227067</v>
      </c>
      <c r="P859" s="237"/>
      <c r="Q859" s="223">
        <f t="shared" si="889"/>
        <v>227067</v>
      </c>
      <c r="R859" s="147">
        <f t="shared" si="896"/>
        <v>24977.37</v>
      </c>
      <c r="S859" s="147">
        <f t="shared" si="890"/>
        <v>68.431150684931509</v>
      </c>
      <c r="T859" s="148">
        <f t="shared" si="897"/>
        <v>14986.422</v>
      </c>
      <c r="U859" s="420"/>
      <c r="V859" s="407"/>
      <c r="W859" s="222"/>
      <c r="X859" s="222"/>
      <c r="Y859" s="408"/>
      <c r="Z859" s="409"/>
      <c r="AA859" s="409"/>
      <c r="AB859" s="410"/>
      <c r="AC859" s="155"/>
      <c r="AD859" s="156"/>
      <c r="AE859" s="156"/>
      <c r="AF859" s="156"/>
      <c r="AG859" s="156"/>
      <c r="AH859" s="156"/>
      <c r="AI859" s="156"/>
      <c r="AJ859" s="156"/>
      <c r="AK859" s="156"/>
      <c r="AL859" s="156"/>
      <c r="AM859" s="157">
        <f t="shared" si="891"/>
        <v>0</v>
      </c>
      <c r="AN859" s="158">
        <f t="shared" si="892"/>
        <v>4000</v>
      </c>
      <c r="AO859" s="159">
        <v>0.2</v>
      </c>
      <c r="AP859" s="160">
        <f t="shared" si="893"/>
        <v>0</v>
      </c>
      <c r="AQ859" s="161">
        <f t="shared" si="894"/>
        <v>0</v>
      </c>
      <c r="AR859" s="162">
        <f t="shared" si="895"/>
        <v>0</v>
      </c>
      <c r="AS859" s="163"/>
      <c r="AT859" s="164"/>
      <c r="AU859" s="165"/>
      <c r="AV859" s="166"/>
      <c r="AW859" s="167"/>
      <c r="AX859" s="146">
        <f t="shared" si="898"/>
        <v>0</v>
      </c>
      <c r="AY859" s="168"/>
    </row>
    <row r="860" spans="1:51" ht="10.9" hidden="1" customHeight="1" x14ac:dyDescent="0.2">
      <c r="B860" s="140">
        <v>9</v>
      </c>
      <c r="C860" s="299" t="s">
        <v>244</v>
      </c>
      <c r="D860" s="300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301">
        <v>184103</v>
      </c>
      <c r="P860" s="237"/>
      <c r="Q860" s="223">
        <f t="shared" si="889"/>
        <v>184103</v>
      </c>
      <c r="R860" s="147">
        <f t="shared" si="896"/>
        <v>20251.330000000002</v>
      </c>
      <c r="S860" s="147">
        <f t="shared" si="890"/>
        <v>55.483095890410965</v>
      </c>
      <c r="T860" s="148">
        <f t="shared" si="897"/>
        <v>12150.798000000001</v>
      </c>
      <c r="U860" s="420"/>
      <c r="V860" s="407"/>
      <c r="W860" s="222"/>
      <c r="X860" s="222"/>
      <c r="Y860" s="408"/>
      <c r="Z860" s="409"/>
      <c r="AA860" s="409"/>
      <c r="AB860" s="410"/>
      <c r="AC860" s="155"/>
      <c r="AD860" s="156"/>
      <c r="AE860" s="156"/>
      <c r="AF860" s="156"/>
      <c r="AG860" s="156"/>
      <c r="AH860" s="156"/>
      <c r="AI860" s="156"/>
      <c r="AJ860" s="156"/>
      <c r="AK860" s="156"/>
      <c r="AL860" s="156"/>
      <c r="AM860" s="157">
        <f t="shared" si="891"/>
        <v>0</v>
      </c>
      <c r="AN860" s="158">
        <f t="shared" si="892"/>
        <v>4000</v>
      </c>
      <c r="AO860" s="159">
        <v>0.2</v>
      </c>
      <c r="AP860" s="160">
        <f t="shared" si="893"/>
        <v>0</v>
      </c>
      <c r="AQ860" s="161">
        <f t="shared" si="894"/>
        <v>0</v>
      </c>
      <c r="AR860" s="162">
        <f t="shared" si="895"/>
        <v>0</v>
      </c>
      <c r="AS860" s="163"/>
      <c r="AT860" s="164"/>
      <c r="AU860" s="165"/>
      <c r="AV860" s="166"/>
      <c r="AW860" s="167"/>
      <c r="AX860" s="146">
        <f t="shared" si="898"/>
        <v>0</v>
      </c>
      <c r="AY860" s="168"/>
    </row>
    <row r="861" spans="1:51" ht="10.9" hidden="1" customHeight="1" x14ac:dyDescent="0.2">
      <c r="B861" s="140">
        <v>10</v>
      </c>
      <c r="C861" s="299" t="s">
        <v>245</v>
      </c>
      <c r="D861" s="300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301">
        <v>182225</v>
      </c>
      <c r="P861" s="237"/>
      <c r="Q861" s="223">
        <f t="shared" si="889"/>
        <v>182225</v>
      </c>
      <c r="R861" s="147">
        <f t="shared" si="896"/>
        <v>20044.75</v>
      </c>
      <c r="S861" s="147">
        <f t="shared" si="890"/>
        <v>54.917123287671231</v>
      </c>
      <c r="T861" s="148">
        <f t="shared" si="897"/>
        <v>12026.85</v>
      </c>
      <c r="U861" s="420"/>
      <c r="V861" s="407"/>
      <c r="W861" s="222"/>
      <c r="X861" s="222"/>
      <c r="Y861" s="408"/>
      <c r="Z861" s="409"/>
      <c r="AA861" s="409"/>
      <c r="AB861" s="410"/>
      <c r="AC861" s="155"/>
      <c r="AD861" s="156"/>
      <c r="AE861" s="156"/>
      <c r="AF861" s="156"/>
      <c r="AG861" s="156"/>
      <c r="AH861" s="156"/>
      <c r="AI861" s="156"/>
      <c r="AJ861" s="156"/>
      <c r="AK861" s="156"/>
      <c r="AL861" s="156"/>
      <c r="AM861" s="157">
        <f t="shared" si="891"/>
        <v>0</v>
      </c>
      <c r="AN861" s="158">
        <f t="shared" si="892"/>
        <v>4000</v>
      </c>
      <c r="AO861" s="159">
        <v>0.2</v>
      </c>
      <c r="AP861" s="160">
        <f t="shared" si="893"/>
        <v>0</v>
      </c>
      <c r="AQ861" s="161">
        <f t="shared" si="894"/>
        <v>0</v>
      </c>
      <c r="AR861" s="162">
        <f t="shared" si="895"/>
        <v>0</v>
      </c>
      <c r="AS861" s="163"/>
      <c r="AT861" s="164"/>
      <c r="AU861" s="165"/>
      <c r="AV861" s="166"/>
      <c r="AW861" s="167"/>
      <c r="AX861" s="146">
        <f t="shared" si="898"/>
        <v>0</v>
      </c>
      <c r="AY861" s="168"/>
    </row>
    <row r="862" spans="1:51" ht="10.9" hidden="1" customHeight="1" x14ac:dyDescent="0.2">
      <c r="B862" s="140">
        <v>11</v>
      </c>
      <c r="C862" s="299" t="s">
        <v>246</v>
      </c>
      <c r="D862" s="300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301">
        <v>97643</v>
      </c>
      <c r="P862" s="237"/>
      <c r="Q862" s="223">
        <f t="shared" si="889"/>
        <v>97643</v>
      </c>
      <c r="R862" s="147">
        <f t="shared" si="896"/>
        <v>10740.73</v>
      </c>
      <c r="S862" s="147">
        <f t="shared" si="890"/>
        <v>29.426657534246573</v>
      </c>
      <c r="T862" s="148">
        <f t="shared" si="897"/>
        <v>6444.4379999999992</v>
      </c>
      <c r="U862" s="420"/>
      <c r="V862" s="407"/>
      <c r="W862" s="222"/>
      <c r="X862" s="222"/>
      <c r="Y862" s="408"/>
      <c r="Z862" s="409"/>
      <c r="AA862" s="409"/>
      <c r="AB862" s="410"/>
      <c r="AC862" s="155"/>
      <c r="AD862" s="156"/>
      <c r="AE862" s="156"/>
      <c r="AF862" s="156"/>
      <c r="AG862" s="156"/>
      <c r="AH862" s="156"/>
      <c r="AI862" s="156"/>
      <c r="AJ862" s="156"/>
      <c r="AK862" s="156"/>
      <c r="AL862" s="156"/>
      <c r="AM862" s="157">
        <f t="shared" si="891"/>
        <v>0</v>
      </c>
      <c r="AN862" s="158">
        <f t="shared" si="892"/>
        <v>4000</v>
      </c>
      <c r="AO862" s="159">
        <v>0.2</v>
      </c>
      <c r="AP862" s="160">
        <f t="shared" si="893"/>
        <v>0</v>
      </c>
      <c r="AQ862" s="161">
        <f t="shared" si="894"/>
        <v>0</v>
      </c>
      <c r="AR862" s="162">
        <f t="shared" si="895"/>
        <v>0</v>
      </c>
      <c r="AS862" s="163"/>
      <c r="AT862" s="164"/>
      <c r="AU862" s="165"/>
      <c r="AV862" s="166"/>
      <c r="AW862" s="167"/>
      <c r="AX862" s="146">
        <f t="shared" si="898"/>
        <v>0</v>
      </c>
      <c r="AY862" s="168"/>
    </row>
    <row r="863" spans="1:51" ht="10.9" hidden="1" customHeight="1" x14ac:dyDescent="0.2">
      <c r="B863" s="140">
        <v>12</v>
      </c>
      <c r="C863" s="299" t="s">
        <v>247</v>
      </c>
      <c r="D863" s="300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301">
        <v>510373</v>
      </c>
      <c r="P863" s="237"/>
      <c r="Q863" s="223">
        <f t="shared" si="889"/>
        <v>510373</v>
      </c>
      <c r="R863" s="147">
        <f>Q863*$R$9</f>
        <v>74514.457999999999</v>
      </c>
      <c r="S863" s="147">
        <f t="shared" si="890"/>
        <v>204.14920000000001</v>
      </c>
      <c r="T863" s="148">
        <f>S863*$T$5*$T$9</f>
        <v>52160.120599999995</v>
      </c>
      <c r="U863" s="420"/>
      <c r="V863" s="407"/>
      <c r="W863" s="222"/>
      <c r="X863" s="222"/>
      <c r="Y863" s="408"/>
      <c r="Z863" s="409"/>
      <c r="AA863" s="409"/>
      <c r="AB863" s="410"/>
      <c r="AC863" s="155"/>
      <c r="AD863" s="156"/>
      <c r="AE863" s="156"/>
      <c r="AF863" s="156"/>
      <c r="AG863" s="156"/>
      <c r="AH863" s="156"/>
      <c r="AI863" s="156"/>
      <c r="AJ863" s="156"/>
      <c r="AK863" s="156"/>
      <c r="AL863" s="156"/>
      <c r="AM863" s="157">
        <f t="shared" si="891"/>
        <v>0</v>
      </c>
      <c r="AN863" s="158">
        <f t="shared" si="892"/>
        <v>4000</v>
      </c>
      <c r="AO863" s="159">
        <v>0.2</v>
      </c>
      <c r="AP863" s="160">
        <f t="shared" si="893"/>
        <v>0</v>
      </c>
      <c r="AQ863" s="161">
        <f t="shared" si="894"/>
        <v>0</v>
      </c>
      <c r="AR863" s="162">
        <f t="shared" si="895"/>
        <v>0</v>
      </c>
      <c r="AS863" s="163"/>
      <c r="AT863" s="164"/>
      <c r="AU863" s="165"/>
      <c r="AV863" s="166"/>
      <c r="AW863" s="167"/>
      <c r="AX863" s="146">
        <f t="shared" si="898"/>
        <v>0</v>
      </c>
      <c r="AY863" s="168"/>
    </row>
    <row r="864" spans="1:51" ht="10.9" hidden="1" customHeight="1" x14ac:dyDescent="0.2">
      <c r="B864" s="140">
        <v>13</v>
      </c>
      <c r="C864" s="445" t="s">
        <v>248</v>
      </c>
      <c r="D864" s="300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301">
        <v>565856</v>
      </c>
      <c r="P864" s="237"/>
      <c r="Q864" s="304">
        <f t="shared" si="889"/>
        <v>565856</v>
      </c>
      <c r="R864" s="147">
        <f>Q864*$R$9</f>
        <v>82614.975999999995</v>
      </c>
      <c r="S864" s="147">
        <f t="shared" si="890"/>
        <v>226.3424</v>
      </c>
      <c r="T864" s="148">
        <f>S864*$T$5*$T$9</f>
        <v>57830.483199999995</v>
      </c>
      <c r="U864" s="420"/>
      <c r="V864" s="407"/>
      <c r="W864" s="222"/>
      <c r="X864" s="222"/>
      <c r="Y864" s="408"/>
      <c r="Z864" s="409"/>
      <c r="AA864" s="409"/>
      <c r="AB864" s="410"/>
      <c r="AC864" s="155"/>
      <c r="AD864" s="156"/>
      <c r="AE864" s="156"/>
      <c r="AF864" s="156"/>
      <c r="AG864" s="156"/>
      <c r="AH864" s="156"/>
      <c r="AI864" s="156"/>
      <c r="AJ864" s="156"/>
      <c r="AK864" s="156"/>
      <c r="AL864" s="156"/>
      <c r="AM864" s="157">
        <f t="shared" si="891"/>
        <v>0</v>
      </c>
      <c r="AN864" s="158">
        <f t="shared" si="892"/>
        <v>4000</v>
      </c>
      <c r="AO864" s="159">
        <v>0.2</v>
      </c>
      <c r="AP864" s="160">
        <f t="shared" si="893"/>
        <v>0</v>
      </c>
      <c r="AQ864" s="161">
        <f t="shared" si="894"/>
        <v>0</v>
      </c>
      <c r="AR864" s="162">
        <f t="shared" si="895"/>
        <v>0</v>
      </c>
      <c r="AS864" s="163"/>
      <c r="AT864" s="164"/>
      <c r="AU864" s="165"/>
      <c r="AV864" s="166"/>
      <c r="AW864" s="167"/>
      <c r="AX864" s="146">
        <f t="shared" si="898"/>
        <v>0</v>
      </c>
      <c r="AY864" s="168"/>
    </row>
    <row r="865" spans="1:51" ht="10.9" hidden="1" customHeight="1" x14ac:dyDescent="0.2">
      <c r="B865" s="140"/>
      <c r="C865" s="299"/>
      <c r="D865" s="300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301"/>
      <c r="P865" s="237"/>
      <c r="Q865" s="223"/>
      <c r="R865" s="167"/>
      <c r="S865" s="147"/>
      <c r="T865" s="146"/>
      <c r="U865" s="420" t="s">
        <v>672</v>
      </c>
      <c r="V865" s="407">
        <v>13</v>
      </c>
      <c r="W865" s="222">
        <f>300*365</f>
        <v>109500</v>
      </c>
      <c r="X865" s="222"/>
      <c r="Y865" s="408"/>
      <c r="Z865" s="409" t="s">
        <v>673</v>
      </c>
      <c r="AA865" s="409"/>
      <c r="AB865" s="410"/>
      <c r="AC865" s="411">
        <f>W865*$AC$5</f>
        <v>63509.999999999993</v>
      </c>
      <c r="AD865" s="412">
        <f>W865*$AD$5</f>
        <v>14235</v>
      </c>
      <c r="AE865" s="412">
        <f>W865*$AE$5</f>
        <v>9608.625</v>
      </c>
      <c r="AF865" s="412">
        <f>W865*$AF$5</f>
        <v>4380</v>
      </c>
      <c r="AG865" s="412">
        <f>W865*$AG$5</f>
        <v>2190</v>
      </c>
      <c r="AH865" s="412">
        <f>W865*$AH$5</f>
        <v>2190</v>
      </c>
      <c r="AI865" s="412">
        <f>W865*$AI$5</f>
        <v>1095</v>
      </c>
      <c r="AJ865" s="412">
        <f>W865*$AJ$5</f>
        <v>2190</v>
      </c>
      <c r="AK865" s="412">
        <f>W865*$AK$5</f>
        <v>2190</v>
      </c>
      <c r="AL865" s="412">
        <f>W865*$AL$5</f>
        <v>7665.0000000000009</v>
      </c>
      <c r="AM865" s="413">
        <f t="shared" si="891"/>
        <v>33698.625</v>
      </c>
      <c r="AN865" s="158">
        <f t="shared" si="892"/>
        <v>4000</v>
      </c>
      <c r="AO865" s="159">
        <v>0.2</v>
      </c>
      <c r="AP865" s="160">
        <f t="shared" si="893"/>
        <v>564357612.60000002</v>
      </c>
      <c r="AQ865" s="161">
        <f t="shared" si="894"/>
        <v>156766.01604128029</v>
      </c>
      <c r="AR865" s="162">
        <f t="shared" si="895"/>
        <v>31353.203208256062</v>
      </c>
      <c r="AS865" s="163"/>
      <c r="AT865" s="233"/>
      <c r="AU865" s="187">
        <v>0.5</v>
      </c>
      <c r="AV865" s="414">
        <f>AR865/$AV$5</f>
        <v>4.4739159829132511</v>
      </c>
      <c r="AW865" s="415">
        <f>AV865</f>
        <v>4.4739159829132511</v>
      </c>
      <c r="AX865" s="146">
        <f t="shared" si="898"/>
        <v>4.9739159829132511</v>
      </c>
      <c r="AY865" s="168"/>
    </row>
    <row r="866" spans="1:51" ht="10.9" hidden="1" customHeight="1" x14ac:dyDescent="0.2">
      <c r="B866" s="140">
        <v>14</v>
      </c>
      <c r="C866" s="299" t="s">
        <v>249</v>
      </c>
      <c r="D866" s="300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301">
        <v>190801</v>
      </c>
      <c r="P866" s="237"/>
      <c r="Q866" s="223">
        <f t="shared" si="889"/>
        <v>190801</v>
      </c>
      <c r="R866" s="147">
        <f>Q866*$R$10</f>
        <v>20988.11</v>
      </c>
      <c r="S866" s="147">
        <f>R866/$S$5</f>
        <v>57.501671232876717</v>
      </c>
      <c r="T866" s="148">
        <f>S866*$T$5*$T$10</f>
        <v>12592.866</v>
      </c>
      <c r="U866" s="420"/>
      <c r="V866" s="407"/>
      <c r="W866" s="222"/>
      <c r="X866" s="222"/>
      <c r="Y866" s="408"/>
      <c r="Z866" s="409"/>
      <c r="AA866" s="409"/>
      <c r="AB866" s="410"/>
      <c r="AC866" s="155"/>
      <c r="AD866" s="156"/>
      <c r="AE866" s="156"/>
      <c r="AF866" s="156"/>
      <c r="AG866" s="156"/>
      <c r="AH866" s="156"/>
      <c r="AI866" s="156"/>
      <c r="AJ866" s="156"/>
      <c r="AK866" s="156"/>
      <c r="AL866" s="156"/>
      <c r="AM866" s="157">
        <f t="shared" si="891"/>
        <v>0</v>
      </c>
      <c r="AN866" s="158">
        <f t="shared" si="892"/>
        <v>4000</v>
      </c>
      <c r="AO866" s="159">
        <v>0.2</v>
      </c>
      <c r="AP866" s="160">
        <f t="shared" si="893"/>
        <v>0</v>
      </c>
      <c r="AQ866" s="161">
        <f t="shared" si="894"/>
        <v>0</v>
      </c>
      <c r="AR866" s="162">
        <f t="shared" si="895"/>
        <v>0</v>
      </c>
      <c r="AS866" s="163"/>
      <c r="AT866" s="164"/>
      <c r="AU866" s="165"/>
      <c r="AV866" s="166"/>
      <c r="AW866" s="167"/>
      <c r="AX866" s="146">
        <f t="shared" si="898"/>
        <v>0</v>
      </c>
      <c r="AY866" s="168"/>
    </row>
    <row r="867" spans="1:51" s="263" customFormat="1" ht="16.7" hidden="1" customHeight="1" x14ac:dyDescent="0.25">
      <c r="A867" s="173"/>
      <c r="B867" s="225"/>
      <c r="C867" s="258" t="s">
        <v>250</v>
      </c>
      <c r="D867" s="240">
        <f>SUM(D852:D866)</f>
        <v>0</v>
      </c>
      <c r="E867" s="240">
        <f t="shared" ref="E867:U867" si="899">SUM(E852:E866)</f>
        <v>0</v>
      </c>
      <c r="F867" s="240">
        <f t="shared" si="899"/>
        <v>0</v>
      </c>
      <c r="G867" s="240">
        <f t="shared" si="899"/>
        <v>0</v>
      </c>
      <c r="H867" s="240">
        <f t="shared" si="899"/>
        <v>0</v>
      </c>
      <c r="I867" s="240">
        <f t="shared" si="899"/>
        <v>0</v>
      </c>
      <c r="J867" s="240">
        <f t="shared" si="899"/>
        <v>0</v>
      </c>
      <c r="K867" s="240">
        <f t="shared" si="899"/>
        <v>0</v>
      </c>
      <c r="L867" s="240">
        <f t="shared" si="899"/>
        <v>0</v>
      </c>
      <c r="M867" s="240">
        <f t="shared" si="899"/>
        <v>0</v>
      </c>
      <c r="N867" s="240">
        <f t="shared" si="899"/>
        <v>0</v>
      </c>
      <c r="O867" s="240">
        <f t="shared" si="899"/>
        <v>4477348</v>
      </c>
      <c r="P867" s="240">
        <f t="shared" si="899"/>
        <v>0</v>
      </c>
      <c r="Q867" s="240">
        <f t="shared" si="899"/>
        <v>4477348</v>
      </c>
      <c r="R867" s="240">
        <f t="shared" si="899"/>
        <v>549293.88799999992</v>
      </c>
      <c r="S867" s="240">
        <f t="shared" si="899"/>
        <v>1504.9147616438356</v>
      </c>
      <c r="T867" s="240">
        <f t="shared" si="899"/>
        <v>352606.05160000001</v>
      </c>
      <c r="U867" s="424">
        <f t="shared" si="899"/>
        <v>0</v>
      </c>
      <c r="V867" s="425"/>
      <c r="W867" s="240">
        <f>SUM(W852:W866)</f>
        <v>109500</v>
      </c>
      <c r="X867" s="240">
        <f>SUM(X852:X866)</f>
        <v>0</v>
      </c>
      <c r="Y867" s="240">
        <f>SUM(Y852:Y866)</f>
        <v>0</v>
      </c>
      <c r="Z867" s="424"/>
      <c r="AA867" s="424"/>
      <c r="AB867" s="426"/>
      <c r="AC867" s="240">
        <f t="shared" ref="AC867:AM867" si="900">SUM(AC852:AC866)</f>
        <v>63509.999999999993</v>
      </c>
      <c r="AD867" s="244">
        <f t="shared" si="900"/>
        <v>14235</v>
      </c>
      <c r="AE867" s="244">
        <f t="shared" si="900"/>
        <v>9608.625</v>
      </c>
      <c r="AF867" s="244">
        <f t="shared" si="900"/>
        <v>4380</v>
      </c>
      <c r="AG867" s="244">
        <f t="shared" si="900"/>
        <v>2190</v>
      </c>
      <c r="AH867" s="244">
        <f t="shared" si="900"/>
        <v>2190</v>
      </c>
      <c r="AI867" s="244">
        <f t="shared" si="900"/>
        <v>1095</v>
      </c>
      <c r="AJ867" s="244">
        <f t="shared" si="900"/>
        <v>2190</v>
      </c>
      <c r="AK867" s="244">
        <f t="shared" si="900"/>
        <v>2190</v>
      </c>
      <c r="AL867" s="244">
        <f t="shared" si="900"/>
        <v>7665.0000000000009</v>
      </c>
      <c r="AM867" s="245">
        <f t="shared" si="900"/>
        <v>33698.625</v>
      </c>
      <c r="AN867" s="261"/>
      <c r="AO867" s="262"/>
      <c r="AP867" s="184">
        <f>SUM(AP852:AP866)</f>
        <v>564357612.60000002</v>
      </c>
      <c r="AQ867" s="184">
        <f t="shared" ref="AQ867:AX867" si="901">SUM(AQ852:AQ866)</f>
        <v>156766.01604128029</v>
      </c>
      <c r="AR867" s="184">
        <f t="shared" si="901"/>
        <v>31353.203208256062</v>
      </c>
      <c r="AS867" s="185"/>
      <c r="AT867" s="186"/>
      <c r="AU867" s="435">
        <f t="shared" si="901"/>
        <v>0.5</v>
      </c>
      <c r="AV867" s="246">
        <f t="shared" si="901"/>
        <v>4.4739159829132511</v>
      </c>
      <c r="AW867" s="246">
        <f t="shared" si="901"/>
        <v>4.4739159829132511</v>
      </c>
      <c r="AX867" s="185">
        <f t="shared" si="901"/>
        <v>4.9739159829132511</v>
      </c>
      <c r="AY867" s="189"/>
    </row>
    <row r="868" spans="1:51" s="139" customFormat="1" ht="10.9" hidden="1" customHeight="1" x14ac:dyDescent="0.25">
      <c r="B868" s="247"/>
      <c r="C868" s="152"/>
      <c r="D868" s="247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248"/>
      <c r="Q868" s="249"/>
      <c r="R868" s="250"/>
      <c r="S868" s="250"/>
      <c r="T868" s="251"/>
      <c r="U868" s="199"/>
      <c r="V868" s="179"/>
      <c r="W868" s="249"/>
      <c r="X868" s="249"/>
      <c r="Y868" s="152"/>
      <c r="Z868" s="153"/>
      <c r="AA868" s="153"/>
      <c r="AB868" s="154"/>
      <c r="AC868" s="247"/>
      <c r="AD868" s="252"/>
      <c r="AE868" s="252"/>
      <c r="AF868" s="252"/>
      <c r="AG868" s="252"/>
      <c r="AH868" s="252"/>
      <c r="AI868" s="252"/>
      <c r="AJ868" s="252"/>
      <c r="AK868" s="252"/>
      <c r="AL868" s="252"/>
      <c r="AM868" s="214"/>
      <c r="AN868" s="203"/>
      <c r="AO868" s="204"/>
      <c r="AP868" s="203"/>
      <c r="AQ868" s="205"/>
      <c r="AR868" s="206"/>
      <c r="AS868" s="253"/>
      <c r="AT868" s="254"/>
      <c r="AU868" s="255"/>
      <c r="AV868" s="256"/>
      <c r="AW868" s="257"/>
      <c r="AX868" s="214"/>
      <c r="AY868" s="212"/>
    </row>
    <row r="869" spans="1:51" s="139" customFormat="1" ht="15" hidden="1" customHeight="1" x14ac:dyDescent="0.25">
      <c r="A869" s="1"/>
      <c r="B869" s="120"/>
      <c r="C869" s="258" t="s">
        <v>251</v>
      </c>
      <c r="D869" s="122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213"/>
      <c r="Q869" s="76"/>
      <c r="R869" s="108"/>
      <c r="S869" s="108"/>
      <c r="T869" s="94"/>
      <c r="U869" s="120"/>
      <c r="V869" s="67"/>
      <c r="W869" s="123"/>
      <c r="X869" s="123"/>
      <c r="Y869" s="125"/>
      <c r="Z869" s="126"/>
      <c r="AA869" s="126"/>
      <c r="AB869" s="127"/>
      <c r="AC869" s="62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125"/>
      <c r="AN869" s="75"/>
      <c r="AO869" s="216"/>
      <c r="AP869" s="75"/>
      <c r="AQ869" s="51"/>
      <c r="AR869" s="259"/>
      <c r="AS869" s="218"/>
      <c r="AT869" s="219"/>
      <c r="AU869" s="220"/>
      <c r="AV869" s="135"/>
      <c r="AW869" s="136"/>
      <c r="AX869" s="137"/>
      <c r="AY869" s="138"/>
    </row>
    <row r="870" spans="1:51" ht="10.9" hidden="1" customHeight="1" x14ac:dyDescent="0.25">
      <c r="B870" s="140">
        <v>1</v>
      </c>
      <c r="C870" s="302" t="s">
        <v>252</v>
      </c>
      <c r="D870" s="235"/>
      <c r="E870" s="236"/>
      <c r="F870" s="236"/>
      <c r="G870" s="236"/>
      <c r="H870" s="236"/>
      <c r="I870" s="236"/>
      <c r="J870" s="236"/>
      <c r="K870" s="236">
        <f>($L$228/$K$228)*L870</f>
        <v>255277.16611382645</v>
      </c>
      <c r="L870" s="236">
        <f>($M$228/$L$228)*M870</f>
        <v>245070.28296532368</v>
      </c>
      <c r="M870" s="236">
        <f>($N$228/$M$228)*N870</f>
        <v>239364.57441166212</v>
      </c>
      <c r="N870" s="236">
        <f>($N$228/$O$228)*O870</f>
        <v>236290.17100483048</v>
      </c>
      <c r="O870" s="236">
        <v>239753</v>
      </c>
      <c r="P870" s="237"/>
      <c r="Q870" s="223">
        <f t="shared" ref="Q870:Q885" si="902">MAX(D870:P870)</f>
        <v>255277.16611382645</v>
      </c>
      <c r="R870" s="147">
        <f t="shared" ref="R870:R883" si="903">Q870*$R$10</f>
        <v>28080.48827252091</v>
      </c>
      <c r="S870" s="147">
        <f t="shared" ref="S870:S883" si="904">R870/$S$5</f>
        <v>76.932844582249075</v>
      </c>
      <c r="T870" s="148">
        <f t="shared" ref="T870:T883" si="905">S870*$T$5*$T$10</f>
        <v>16848.292963512547</v>
      </c>
      <c r="U870" s="420"/>
      <c r="V870" s="407"/>
      <c r="W870" s="222"/>
      <c r="X870" s="222"/>
      <c r="Y870" s="408"/>
      <c r="Z870" s="409"/>
      <c r="AA870" s="409"/>
      <c r="AB870" s="410"/>
      <c r="AC870" s="155"/>
      <c r="AD870" s="156"/>
      <c r="AE870" s="156"/>
      <c r="AF870" s="156"/>
      <c r="AG870" s="156"/>
      <c r="AH870" s="156"/>
      <c r="AI870" s="156"/>
      <c r="AJ870" s="156"/>
      <c r="AK870" s="156"/>
      <c r="AL870" s="156"/>
      <c r="AM870" s="157">
        <f t="shared" ref="AM870:AM884" si="906">SUM(AD870:AI870)</f>
        <v>0</v>
      </c>
      <c r="AN870" s="158">
        <f t="shared" ref="AN870:AN884" si="907">$AN$641</f>
        <v>4000</v>
      </c>
      <c r="AO870" s="159">
        <v>0.2</v>
      </c>
      <c r="AP870" s="160">
        <f t="shared" ref="AP870:AP884" si="908">AM870*AN870*$AP$5</f>
        <v>0</v>
      </c>
      <c r="AQ870" s="161">
        <f t="shared" ref="AQ870:AQ884" si="909">AP870*$AQ$5</f>
        <v>0</v>
      </c>
      <c r="AR870" s="162">
        <f t="shared" ref="AR870:AR884" si="910">AQ870*$AR$5</f>
        <v>0</v>
      </c>
      <c r="AS870" s="163"/>
      <c r="AT870" s="164"/>
      <c r="AU870" s="165"/>
      <c r="AV870" s="166"/>
      <c r="AW870" s="167"/>
      <c r="AX870" s="146">
        <f>SUM(AU870:AV870)</f>
        <v>0</v>
      </c>
      <c r="AY870" s="168"/>
    </row>
    <row r="871" spans="1:51" ht="10.9" hidden="1" customHeight="1" x14ac:dyDescent="0.25">
      <c r="B871" s="140">
        <v>2</v>
      </c>
      <c r="C871" s="302" t="s">
        <v>253</v>
      </c>
      <c r="D871" s="235"/>
      <c r="E871" s="236"/>
      <c r="F871" s="236"/>
      <c r="G871" s="236"/>
      <c r="H871" s="236"/>
      <c r="I871" s="236"/>
      <c r="J871" s="236"/>
      <c r="K871" s="236">
        <f t="shared" ref="K871:K883" si="911">($L$228/$K$228)*L871</f>
        <v>405083.32563446194</v>
      </c>
      <c r="L871" s="236">
        <f t="shared" ref="L871:L883" si="912">($M$228/$L$228)*M871</f>
        <v>388886.66287335061</v>
      </c>
      <c r="M871" s="236">
        <f t="shared" ref="M871:M883" si="913">($N$228/$M$228)*N871</f>
        <v>379832.63179331413</v>
      </c>
      <c r="N871" s="236">
        <f t="shared" ref="N871:N883" si="914">($N$228/$O$228)*O871</f>
        <v>374954.05383297289</v>
      </c>
      <c r="O871" s="236">
        <v>380449</v>
      </c>
      <c r="P871" s="237"/>
      <c r="Q871" s="223">
        <f t="shared" si="902"/>
        <v>405083.32563446194</v>
      </c>
      <c r="R871" s="147">
        <f t="shared" si="903"/>
        <v>44559.165819790811</v>
      </c>
      <c r="S871" s="147">
        <f t="shared" si="904"/>
        <v>122.07990635559126</v>
      </c>
      <c r="T871" s="148">
        <f t="shared" si="905"/>
        <v>26735.499491874485</v>
      </c>
      <c r="U871" s="420"/>
      <c r="V871" s="407"/>
      <c r="W871" s="222"/>
      <c r="X871" s="222"/>
      <c r="Y871" s="408"/>
      <c r="Z871" s="409"/>
      <c r="AA871" s="409"/>
      <c r="AB871" s="410"/>
      <c r="AC871" s="155"/>
      <c r="AD871" s="156"/>
      <c r="AE871" s="156"/>
      <c r="AF871" s="156"/>
      <c r="AG871" s="156"/>
      <c r="AH871" s="156"/>
      <c r="AI871" s="156"/>
      <c r="AJ871" s="156"/>
      <c r="AK871" s="156"/>
      <c r="AL871" s="156"/>
      <c r="AM871" s="157">
        <f t="shared" si="906"/>
        <v>0</v>
      </c>
      <c r="AN871" s="158">
        <f t="shared" si="907"/>
        <v>4000</v>
      </c>
      <c r="AO871" s="159">
        <v>0.2</v>
      </c>
      <c r="AP871" s="160">
        <f t="shared" si="908"/>
        <v>0</v>
      </c>
      <c r="AQ871" s="161">
        <f t="shared" si="909"/>
        <v>0</v>
      </c>
      <c r="AR871" s="162">
        <f t="shared" si="910"/>
        <v>0</v>
      </c>
      <c r="AS871" s="163"/>
      <c r="AT871" s="164"/>
      <c r="AU871" s="165"/>
      <c r="AV871" s="166"/>
      <c r="AW871" s="167"/>
      <c r="AX871" s="146">
        <f t="shared" ref="AX871:AX883" si="915">SUM(AU871:AV871)</f>
        <v>0</v>
      </c>
      <c r="AY871" s="168"/>
    </row>
    <row r="872" spans="1:51" ht="10.9" hidden="1" customHeight="1" x14ac:dyDescent="0.25">
      <c r="B872" s="140">
        <v>3</v>
      </c>
      <c r="C872" s="302" t="s">
        <v>254</v>
      </c>
      <c r="D872" s="235"/>
      <c r="E872" s="236"/>
      <c r="F872" s="236"/>
      <c r="G872" s="236"/>
      <c r="H872" s="236"/>
      <c r="I872" s="236"/>
      <c r="J872" s="236"/>
      <c r="K872" s="236">
        <f t="shared" si="911"/>
        <v>356870.35078617989</v>
      </c>
      <c r="L872" s="236">
        <f t="shared" si="912"/>
        <v>342601.41312484769</v>
      </c>
      <c r="M872" s="236">
        <f t="shared" si="913"/>
        <v>334624.99187250203</v>
      </c>
      <c r="N872" s="236">
        <f t="shared" si="914"/>
        <v>330327.06174832862</v>
      </c>
      <c r="O872" s="236">
        <v>335168</v>
      </c>
      <c r="P872" s="237"/>
      <c r="Q872" s="223">
        <f t="shared" si="902"/>
        <v>356870.35078617989</v>
      </c>
      <c r="R872" s="147">
        <f t="shared" si="903"/>
        <v>39255.738586479791</v>
      </c>
      <c r="S872" s="147">
        <f t="shared" si="904"/>
        <v>107.54996873008162</v>
      </c>
      <c r="T872" s="148">
        <f t="shared" si="905"/>
        <v>23553.443151887874</v>
      </c>
      <c r="U872" s="420"/>
      <c r="V872" s="407"/>
      <c r="W872" s="222"/>
      <c r="X872" s="222"/>
      <c r="Y872" s="408"/>
      <c r="Z872" s="409"/>
      <c r="AA872" s="409"/>
      <c r="AB872" s="410"/>
      <c r="AC872" s="155"/>
      <c r="AD872" s="156"/>
      <c r="AE872" s="156"/>
      <c r="AF872" s="156"/>
      <c r="AG872" s="156"/>
      <c r="AH872" s="156"/>
      <c r="AI872" s="156"/>
      <c r="AJ872" s="156"/>
      <c r="AK872" s="156"/>
      <c r="AL872" s="156"/>
      <c r="AM872" s="157">
        <f t="shared" si="906"/>
        <v>0</v>
      </c>
      <c r="AN872" s="158">
        <f t="shared" si="907"/>
        <v>4000</v>
      </c>
      <c r="AO872" s="159">
        <v>0.2</v>
      </c>
      <c r="AP872" s="160">
        <f t="shared" si="908"/>
        <v>0</v>
      </c>
      <c r="AQ872" s="161">
        <f t="shared" si="909"/>
        <v>0</v>
      </c>
      <c r="AR872" s="162">
        <f t="shared" si="910"/>
        <v>0</v>
      </c>
      <c r="AS872" s="163"/>
      <c r="AT872" s="164"/>
      <c r="AU872" s="165"/>
      <c r="AV872" s="166"/>
      <c r="AW872" s="167"/>
      <c r="AX872" s="146">
        <f t="shared" si="915"/>
        <v>0</v>
      </c>
      <c r="AY872" s="168"/>
    </row>
    <row r="873" spans="1:51" ht="10.9" hidden="1" customHeight="1" x14ac:dyDescent="0.25">
      <c r="B873" s="140">
        <v>4</v>
      </c>
      <c r="C873" s="302" t="s">
        <v>255</v>
      </c>
      <c r="D873" s="235"/>
      <c r="E873" s="236"/>
      <c r="F873" s="236"/>
      <c r="G873" s="236"/>
      <c r="H873" s="236"/>
      <c r="I873" s="236"/>
      <c r="J873" s="236"/>
      <c r="K873" s="236">
        <f t="shared" si="911"/>
        <v>134378.98713979678</v>
      </c>
      <c r="L873" s="236">
        <f t="shared" si="912"/>
        <v>129006.04039242306</v>
      </c>
      <c r="M873" s="236">
        <f t="shared" si="913"/>
        <v>126002.53111649341</v>
      </c>
      <c r="N873" s="236">
        <f t="shared" si="914"/>
        <v>124384.15207320302</v>
      </c>
      <c r="O873" s="236">
        <v>126207</v>
      </c>
      <c r="P873" s="237"/>
      <c r="Q873" s="223">
        <f t="shared" si="902"/>
        <v>134378.98713979678</v>
      </c>
      <c r="R873" s="147">
        <f t="shared" si="903"/>
        <v>14781.688585377646</v>
      </c>
      <c r="S873" s="147">
        <f t="shared" si="904"/>
        <v>40.497776946240123</v>
      </c>
      <c r="T873" s="148">
        <f t="shared" si="905"/>
        <v>8869.0131512265853</v>
      </c>
      <c r="U873" s="420"/>
      <c r="V873" s="407"/>
      <c r="W873" s="222"/>
      <c r="X873" s="222"/>
      <c r="Y873" s="408"/>
      <c r="Z873" s="409"/>
      <c r="AA873" s="409"/>
      <c r="AB873" s="410"/>
      <c r="AC873" s="155"/>
      <c r="AD873" s="156"/>
      <c r="AE873" s="156"/>
      <c r="AF873" s="156"/>
      <c r="AG873" s="156"/>
      <c r="AH873" s="156"/>
      <c r="AI873" s="156"/>
      <c r="AJ873" s="156"/>
      <c r="AK873" s="156"/>
      <c r="AL873" s="156"/>
      <c r="AM873" s="157">
        <f t="shared" si="906"/>
        <v>0</v>
      </c>
      <c r="AN873" s="158">
        <f t="shared" si="907"/>
        <v>4000</v>
      </c>
      <c r="AO873" s="159">
        <v>0.2</v>
      </c>
      <c r="AP873" s="160">
        <f t="shared" si="908"/>
        <v>0</v>
      </c>
      <c r="AQ873" s="161">
        <f t="shared" si="909"/>
        <v>0</v>
      </c>
      <c r="AR873" s="162">
        <f t="shared" si="910"/>
        <v>0</v>
      </c>
      <c r="AS873" s="163"/>
      <c r="AT873" s="164"/>
      <c r="AU873" s="165"/>
      <c r="AV873" s="166"/>
      <c r="AW873" s="167"/>
      <c r="AX873" s="146">
        <f t="shared" si="915"/>
        <v>0</v>
      </c>
      <c r="AY873" s="168"/>
    </row>
    <row r="874" spans="1:51" ht="10.9" hidden="1" customHeight="1" x14ac:dyDescent="0.25">
      <c r="B874" s="140">
        <v>5</v>
      </c>
      <c r="C874" s="302" t="s">
        <v>256</v>
      </c>
      <c r="D874" s="235"/>
      <c r="E874" s="236"/>
      <c r="F874" s="236"/>
      <c r="G874" s="236"/>
      <c r="H874" s="236"/>
      <c r="I874" s="236"/>
      <c r="J874" s="236"/>
      <c r="K874" s="236">
        <f t="shared" si="911"/>
        <v>131613.8296635708</v>
      </c>
      <c r="L874" s="236">
        <f t="shared" si="912"/>
        <v>126351.44368305574</v>
      </c>
      <c r="M874" s="236">
        <f t="shared" si="913"/>
        <v>123409.73853518229</v>
      </c>
      <c r="N874" s="236">
        <f t="shared" si="914"/>
        <v>121824.66137194153</v>
      </c>
      <c r="O874" s="236">
        <v>123610</v>
      </c>
      <c r="P874" s="237"/>
      <c r="Q874" s="223">
        <f t="shared" si="902"/>
        <v>131613.8296635708</v>
      </c>
      <c r="R874" s="147">
        <f t="shared" si="903"/>
        <v>14477.521262992788</v>
      </c>
      <c r="S874" s="147">
        <f t="shared" si="904"/>
        <v>39.664441816418595</v>
      </c>
      <c r="T874" s="148">
        <f t="shared" si="905"/>
        <v>8686.5127577956719</v>
      </c>
      <c r="U874" s="420"/>
      <c r="V874" s="407"/>
      <c r="W874" s="222"/>
      <c r="X874" s="222"/>
      <c r="Y874" s="408"/>
      <c r="Z874" s="409"/>
      <c r="AA874" s="409"/>
      <c r="AB874" s="410"/>
      <c r="AC874" s="155"/>
      <c r="AD874" s="156"/>
      <c r="AE874" s="156"/>
      <c r="AF874" s="156"/>
      <c r="AG874" s="156"/>
      <c r="AH874" s="156"/>
      <c r="AI874" s="156"/>
      <c r="AJ874" s="156"/>
      <c r="AK874" s="156"/>
      <c r="AL874" s="156"/>
      <c r="AM874" s="157">
        <f t="shared" si="906"/>
        <v>0</v>
      </c>
      <c r="AN874" s="158">
        <f t="shared" si="907"/>
        <v>4000</v>
      </c>
      <c r="AO874" s="159">
        <v>0.2</v>
      </c>
      <c r="AP874" s="160">
        <f t="shared" si="908"/>
        <v>0</v>
      </c>
      <c r="AQ874" s="161">
        <f t="shared" si="909"/>
        <v>0</v>
      </c>
      <c r="AR874" s="162">
        <f t="shared" si="910"/>
        <v>0</v>
      </c>
      <c r="AS874" s="163"/>
      <c r="AT874" s="164"/>
      <c r="AU874" s="165"/>
      <c r="AV874" s="166"/>
      <c r="AW874" s="167"/>
      <c r="AX874" s="146">
        <f t="shared" si="915"/>
        <v>0</v>
      </c>
      <c r="AY874" s="168"/>
    </row>
    <row r="875" spans="1:51" ht="10.9" hidden="1" customHeight="1" x14ac:dyDescent="0.25">
      <c r="B875" s="140">
        <v>6</v>
      </c>
      <c r="C875" s="302" t="s">
        <v>257</v>
      </c>
      <c r="D875" s="235"/>
      <c r="E875" s="236"/>
      <c r="F875" s="236"/>
      <c r="G875" s="236"/>
      <c r="H875" s="236"/>
      <c r="I875" s="236"/>
      <c r="J875" s="236"/>
      <c r="K875" s="236">
        <f t="shared" si="911"/>
        <v>48665.493880779606</v>
      </c>
      <c r="L875" s="236">
        <f t="shared" si="912"/>
        <v>46719.67547106016</v>
      </c>
      <c r="M875" s="236">
        <f t="shared" si="913"/>
        <v>45631.951375204611</v>
      </c>
      <c r="N875" s="236">
        <f t="shared" si="914"/>
        <v>45045.853674184611</v>
      </c>
      <c r="O875" s="236">
        <v>45706</v>
      </c>
      <c r="P875" s="237"/>
      <c r="Q875" s="223">
        <f t="shared" si="902"/>
        <v>48665.493880779606</v>
      </c>
      <c r="R875" s="147">
        <f t="shared" si="903"/>
        <v>5353.2043268857569</v>
      </c>
      <c r="S875" s="147">
        <f t="shared" si="904"/>
        <v>14.66631322434454</v>
      </c>
      <c r="T875" s="148">
        <f t="shared" si="905"/>
        <v>3211.9225961314542</v>
      </c>
      <c r="U875" s="420"/>
      <c r="V875" s="407"/>
      <c r="W875" s="222"/>
      <c r="X875" s="222"/>
      <c r="Y875" s="408"/>
      <c r="Z875" s="409"/>
      <c r="AA875" s="409"/>
      <c r="AB875" s="410"/>
      <c r="AC875" s="155"/>
      <c r="AD875" s="156"/>
      <c r="AE875" s="156"/>
      <c r="AF875" s="156"/>
      <c r="AG875" s="156"/>
      <c r="AH875" s="156"/>
      <c r="AI875" s="156"/>
      <c r="AJ875" s="156"/>
      <c r="AK875" s="156"/>
      <c r="AL875" s="156"/>
      <c r="AM875" s="157">
        <f t="shared" si="906"/>
        <v>0</v>
      </c>
      <c r="AN875" s="158">
        <f t="shared" si="907"/>
        <v>4000</v>
      </c>
      <c r="AO875" s="159">
        <v>0.2</v>
      </c>
      <c r="AP875" s="160">
        <f t="shared" si="908"/>
        <v>0</v>
      </c>
      <c r="AQ875" s="161">
        <f t="shared" si="909"/>
        <v>0</v>
      </c>
      <c r="AR875" s="162">
        <f t="shared" si="910"/>
        <v>0</v>
      </c>
      <c r="AS875" s="163"/>
      <c r="AT875" s="164"/>
      <c r="AU875" s="165"/>
      <c r="AV875" s="166"/>
      <c r="AW875" s="167"/>
      <c r="AX875" s="146">
        <f t="shared" si="915"/>
        <v>0</v>
      </c>
      <c r="AY875" s="168"/>
    </row>
    <row r="876" spans="1:51" ht="10.9" hidden="1" customHeight="1" x14ac:dyDescent="0.25">
      <c r="B876" s="140">
        <v>7</v>
      </c>
      <c r="C876" s="302" t="s">
        <v>258</v>
      </c>
      <c r="D876" s="235"/>
      <c r="E876" s="236"/>
      <c r="F876" s="236"/>
      <c r="G876" s="236"/>
      <c r="H876" s="236"/>
      <c r="I876" s="236"/>
      <c r="J876" s="236"/>
      <c r="K876" s="236">
        <f t="shared" si="911"/>
        <v>68418.748212294566</v>
      </c>
      <c r="L876" s="236">
        <f t="shared" si="912"/>
        <v>65683.124894311099</v>
      </c>
      <c r="M876" s="236">
        <f t="shared" si="913"/>
        <v>64153.89514435517</v>
      </c>
      <c r="N876" s="236">
        <f t="shared" si="914"/>
        <v>63329.901225129186</v>
      </c>
      <c r="O876" s="236">
        <v>64258</v>
      </c>
      <c r="P876" s="237"/>
      <c r="Q876" s="223">
        <f t="shared" si="902"/>
        <v>68418.748212294566</v>
      </c>
      <c r="R876" s="147">
        <f t="shared" si="903"/>
        <v>7526.0623033524025</v>
      </c>
      <c r="S876" s="147">
        <f t="shared" si="904"/>
        <v>20.619348776307952</v>
      </c>
      <c r="T876" s="148">
        <f t="shared" si="905"/>
        <v>4515.6373820114413</v>
      </c>
      <c r="U876" s="420"/>
      <c r="V876" s="407"/>
      <c r="W876" s="222"/>
      <c r="X876" s="222"/>
      <c r="Y876" s="408"/>
      <c r="Z876" s="409"/>
      <c r="AA876" s="409"/>
      <c r="AB876" s="410"/>
      <c r="AC876" s="155"/>
      <c r="AD876" s="156"/>
      <c r="AE876" s="156"/>
      <c r="AF876" s="156"/>
      <c r="AG876" s="156"/>
      <c r="AH876" s="156"/>
      <c r="AI876" s="156"/>
      <c r="AJ876" s="156"/>
      <c r="AK876" s="156"/>
      <c r="AL876" s="156"/>
      <c r="AM876" s="157">
        <f t="shared" si="906"/>
        <v>0</v>
      </c>
      <c r="AN876" s="158">
        <f t="shared" si="907"/>
        <v>4000</v>
      </c>
      <c r="AO876" s="159">
        <v>0.2</v>
      </c>
      <c r="AP876" s="160">
        <f t="shared" si="908"/>
        <v>0</v>
      </c>
      <c r="AQ876" s="161">
        <f t="shared" si="909"/>
        <v>0</v>
      </c>
      <c r="AR876" s="162">
        <f t="shared" si="910"/>
        <v>0</v>
      </c>
      <c r="AS876" s="163"/>
      <c r="AT876" s="164"/>
      <c r="AU876" s="165"/>
      <c r="AV876" s="166"/>
      <c r="AW876" s="167"/>
      <c r="AX876" s="146">
        <f t="shared" si="915"/>
        <v>0</v>
      </c>
      <c r="AY876" s="168"/>
    </row>
    <row r="877" spans="1:51" ht="10.9" hidden="1" customHeight="1" x14ac:dyDescent="0.25">
      <c r="B877" s="140">
        <v>8</v>
      </c>
      <c r="C877" s="302" t="s">
        <v>259</v>
      </c>
      <c r="D877" s="235"/>
      <c r="E877" s="236"/>
      <c r="F877" s="236"/>
      <c r="G877" s="236"/>
      <c r="H877" s="236"/>
      <c r="I877" s="236"/>
      <c r="J877" s="236"/>
      <c r="K877" s="236">
        <f t="shared" si="911"/>
        <v>151487.40082019687</v>
      </c>
      <c r="L877" s="236">
        <f t="shared" si="912"/>
        <v>145430.39923959837</v>
      </c>
      <c r="M877" s="236">
        <f t="shared" si="913"/>
        <v>142044.49923220661</v>
      </c>
      <c r="N877" s="236">
        <f t="shared" si="914"/>
        <v>140220.07682786975</v>
      </c>
      <c r="O877" s="236">
        <v>142275</v>
      </c>
      <c r="P877" s="237"/>
      <c r="Q877" s="223">
        <f t="shared" si="902"/>
        <v>151487.40082019687</v>
      </c>
      <c r="R877" s="147">
        <f t="shared" si="903"/>
        <v>16663.614090221654</v>
      </c>
      <c r="S877" s="147">
        <f t="shared" si="904"/>
        <v>45.65373723348398</v>
      </c>
      <c r="T877" s="148">
        <f t="shared" si="905"/>
        <v>9998.1684541329923</v>
      </c>
      <c r="U877" s="420"/>
      <c r="V877" s="407"/>
      <c r="W877" s="222"/>
      <c r="X877" s="222"/>
      <c r="Y877" s="408"/>
      <c r="Z877" s="409"/>
      <c r="AA877" s="409"/>
      <c r="AB877" s="410"/>
      <c r="AC877" s="155"/>
      <c r="AD877" s="156"/>
      <c r="AE877" s="156"/>
      <c r="AF877" s="156"/>
      <c r="AG877" s="156"/>
      <c r="AH877" s="156"/>
      <c r="AI877" s="156"/>
      <c r="AJ877" s="156"/>
      <c r="AK877" s="156"/>
      <c r="AL877" s="156"/>
      <c r="AM877" s="157">
        <f t="shared" si="906"/>
        <v>0</v>
      </c>
      <c r="AN877" s="158">
        <f t="shared" si="907"/>
        <v>4000</v>
      </c>
      <c r="AO877" s="159">
        <v>0.2</v>
      </c>
      <c r="AP877" s="160">
        <f t="shared" si="908"/>
        <v>0</v>
      </c>
      <c r="AQ877" s="161">
        <f t="shared" si="909"/>
        <v>0</v>
      </c>
      <c r="AR877" s="162">
        <f t="shared" si="910"/>
        <v>0</v>
      </c>
      <c r="AS877" s="163"/>
      <c r="AT877" s="164"/>
      <c r="AU877" s="165"/>
      <c r="AV877" s="166"/>
      <c r="AW877" s="167"/>
      <c r="AX877" s="146">
        <f t="shared" si="915"/>
        <v>0</v>
      </c>
      <c r="AY877" s="168"/>
    </row>
    <row r="878" spans="1:51" ht="10.9" hidden="1" customHeight="1" x14ac:dyDescent="0.25">
      <c r="B878" s="140">
        <v>9</v>
      </c>
      <c r="C878" s="302" t="s">
        <v>260</v>
      </c>
      <c r="D878" s="235"/>
      <c r="E878" s="236"/>
      <c r="F878" s="236"/>
      <c r="G878" s="236"/>
      <c r="H878" s="236"/>
      <c r="I878" s="236"/>
      <c r="J878" s="236"/>
      <c r="K878" s="236">
        <f t="shared" si="911"/>
        <v>158532.85596851699</v>
      </c>
      <c r="L878" s="236">
        <f t="shared" si="912"/>
        <v>152194.15219527172</v>
      </c>
      <c r="M878" s="236">
        <f t="shared" si="913"/>
        <v>148650.77898212412</v>
      </c>
      <c r="N878" s="236">
        <f t="shared" si="914"/>
        <v>146741.50538784175</v>
      </c>
      <c r="O878" s="236">
        <v>148892</v>
      </c>
      <c r="P878" s="237"/>
      <c r="Q878" s="223">
        <f t="shared" si="902"/>
        <v>158532.85596851699</v>
      </c>
      <c r="R878" s="147">
        <f t="shared" si="903"/>
        <v>17438.614156536871</v>
      </c>
      <c r="S878" s="147">
        <f t="shared" si="904"/>
        <v>47.777025086402382</v>
      </c>
      <c r="T878" s="148">
        <f t="shared" si="905"/>
        <v>10463.168493922121</v>
      </c>
      <c r="U878" s="420"/>
      <c r="V878" s="407"/>
      <c r="W878" s="222"/>
      <c r="X878" s="222"/>
      <c r="Y878" s="408"/>
      <c r="Z878" s="409"/>
      <c r="AA878" s="409"/>
      <c r="AB878" s="410"/>
      <c r="AC878" s="155"/>
      <c r="AD878" s="156"/>
      <c r="AE878" s="156"/>
      <c r="AF878" s="156"/>
      <c r="AG878" s="156"/>
      <c r="AH878" s="156"/>
      <c r="AI878" s="156"/>
      <c r="AJ878" s="156"/>
      <c r="AK878" s="156"/>
      <c r="AL878" s="156"/>
      <c r="AM878" s="157">
        <f t="shared" si="906"/>
        <v>0</v>
      </c>
      <c r="AN878" s="158">
        <f t="shared" si="907"/>
        <v>4000</v>
      </c>
      <c r="AO878" s="159">
        <v>0.2</v>
      </c>
      <c r="AP878" s="160">
        <f t="shared" si="908"/>
        <v>0</v>
      </c>
      <c r="AQ878" s="161">
        <f t="shared" si="909"/>
        <v>0</v>
      </c>
      <c r="AR878" s="162">
        <f t="shared" si="910"/>
        <v>0</v>
      </c>
      <c r="AS878" s="163"/>
      <c r="AT878" s="164"/>
      <c r="AU878" s="165"/>
      <c r="AV878" s="166"/>
      <c r="AW878" s="167"/>
      <c r="AX878" s="146">
        <f t="shared" si="915"/>
        <v>0</v>
      </c>
      <c r="AY878" s="168"/>
    </row>
    <row r="879" spans="1:51" ht="10.9" hidden="1" customHeight="1" x14ac:dyDescent="0.25">
      <c r="B879" s="140">
        <v>10</v>
      </c>
      <c r="C879" s="302" t="s">
        <v>261</v>
      </c>
      <c r="D879" s="235"/>
      <c r="E879" s="236"/>
      <c r="F879" s="236"/>
      <c r="G879" s="236"/>
      <c r="H879" s="236"/>
      <c r="I879" s="236"/>
      <c r="J879" s="236"/>
      <c r="K879" s="236">
        <f t="shared" si="911"/>
        <v>129983.69639591505</v>
      </c>
      <c r="L879" s="236">
        <f t="shared" si="912"/>
        <v>124786.488903679</v>
      </c>
      <c r="M879" s="236">
        <f t="shared" si="913"/>
        <v>121881.21891947673</v>
      </c>
      <c r="N879" s="236">
        <f t="shared" si="914"/>
        <v>120315.77409291522</v>
      </c>
      <c r="O879" s="236">
        <v>122079</v>
      </c>
      <c r="P879" s="237"/>
      <c r="Q879" s="223">
        <f t="shared" si="902"/>
        <v>129983.69639591505</v>
      </c>
      <c r="R879" s="147">
        <f t="shared" si="903"/>
        <v>14298.206603550656</v>
      </c>
      <c r="S879" s="147">
        <f t="shared" si="904"/>
        <v>39.173168776851114</v>
      </c>
      <c r="T879" s="148">
        <f t="shared" si="905"/>
        <v>8578.9239621303932</v>
      </c>
      <c r="U879" s="420"/>
      <c r="V879" s="407"/>
      <c r="W879" s="222"/>
      <c r="X879" s="222"/>
      <c r="Y879" s="408"/>
      <c r="Z879" s="409"/>
      <c r="AA879" s="409"/>
      <c r="AB879" s="410"/>
      <c r="AC879" s="155"/>
      <c r="AD879" s="156"/>
      <c r="AE879" s="156"/>
      <c r="AF879" s="156"/>
      <c r="AG879" s="156"/>
      <c r="AH879" s="156"/>
      <c r="AI879" s="156"/>
      <c r="AJ879" s="156"/>
      <c r="AK879" s="156"/>
      <c r="AL879" s="156"/>
      <c r="AM879" s="157">
        <f t="shared" si="906"/>
        <v>0</v>
      </c>
      <c r="AN879" s="158">
        <f t="shared" si="907"/>
        <v>4000</v>
      </c>
      <c r="AO879" s="159">
        <v>0.2</v>
      </c>
      <c r="AP879" s="160">
        <f t="shared" si="908"/>
        <v>0</v>
      </c>
      <c r="AQ879" s="161">
        <f t="shared" si="909"/>
        <v>0</v>
      </c>
      <c r="AR879" s="162">
        <f t="shared" si="910"/>
        <v>0</v>
      </c>
      <c r="AS879" s="163"/>
      <c r="AT879" s="164"/>
      <c r="AU879" s="165"/>
      <c r="AV879" s="166"/>
      <c r="AW879" s="167"/>
      <c r="AX879" s="146">
        <f t="shared" si="915"/>
        <v>0</v>
      </c>
      <c r="AY879" s="168"/>
    </row>
    <row r="880" spans="1:51" ht="10.9" hidden="1" customHeight="1" x14ac:dyDescent="0.25">
      <c r="B880" s="140">
        <v>11</v>
      </c>
      <c r="C880" s="302" t="s">
        <v>262</v>
      </c>
      <c r="D880" s="235"/>
      <c r="E880" s="236"/>
      <c r="F880" s="236"/>
      <c r="G880" s="236"/>
      <c r="H880" s="236"/>
      <c r="I880" s="236"/>
      <c r="J880" s="236"/>
      <c r="K880" s="236">
        <f t="shared" si="911"/>
        <v>102870.88546999346</v>
      </c>
      <c r="L880" s="236">
        <f t="shared" si="912"/>
        <v>98757.743964391469</v>
      </c>
      <c r="M880" s="236">
        <f t="shared" si="913"/>
        <v>96458.473332065652</v>
      </c>
      <c r="N880" s="236">
        <f t="shared" si="914"/>
        <v>95219.558761023625</v>
      </c>
      <c r="O880" s="236">
        <v>96615</v>
      </c>
      <c r="P880" s="237"/>
      <c r="Q880" s="223">
        <f t="shared" si="902"/>
        <v>102870.88546999346</v>
      </c>
      <c r="R880" s="147">
        <f t="shared" si="903"/>
        <v>11315.797401699281</v>
      </c>
      <c r="S880" s="147">
        <f t="shared" si="904"/>
        <v>31.002184662189812</v>
      </c>
      <c r="T880" s="148">
        <f t="shared" si="905"/>
        <v>6789.4784410195689</v>
      </c>
      <c r="U880" s="420"/>
      <c r="V880" s="407"/>
      <c r="W880" s="222"/>
      <c r="X880" s="222"/>
      <c r="Y880" s="408"/>
      <c r="Z880" s="409"/>
      <c r="AA880" s="409"/>
      <c r="AB880" s="410"/>
      <c r="AC880" s="155"/>
      <c r="AD880" s="156"/>
      <c r="AE880" s="156"/>
      <c r="AF880" s="156"/>
      <c r="AG880" s="156"/>
      <c r="AH880" s="156"/>
      <c r="AI880" s="156"/>
      <c r="AJ880" s="156"/>
      <c r="AK880" s="156"/>
      <c r="AL880" s="156"/>
      <c r="AM880" s="157">
        <f t="shared" si="906"/>
        <v>0</v>
      </c>
      <c r="AN880" s="158">
        <f t="shared" si="907"/>
        <v>4000</v>
      </c>
      <c r="AO880" s="159">
        <v>0.2</v>
      </c>
      <c r="AP880" s="160">
        <f t="shared" si="908"/>
        <v>0</v>
      </c>
      <c r="AQ880" s="161">
        <f t="shared" si="909"/>
        <v>0</v>
      </c>
      <c r="AR880" s="162">
        <f t="shared" si="910"/>
        <v>0</v>
      </c>
      <c r="AS880" s="163"/>
      <c r="AT880" s="164"/>
      <c r="AU880" s="165"/>
      <c r="AV880" s="166"/>
      <c r="AW880" s="167"/>
      <c r="AX880" s="146">
        <f t="shared" si="915"/>
        <v>0</v>
      </c>
      <c r="AY880" s="168"/>
    </row>
    <row r="881" spans="1:51" ht="10.9" hidden="1" customHeight="1" x14ac:dyDescent="0.25">
      <c r="B881" s="140">
        <v>12</v>
      </c>
      <c r="C881" s="302" t="s">
        <v>263</v>
      </c>
      <c r="D881" s="235"/>
      <c r="E881" s="236"/>
      <c r="F881" s="236"/>
      <c r="G881" s="236"/>
      <c r="H881" s="236"/>
      <c r="I881" s="236"/>
      <c r="J881" s="236"/>
      <c r="K881" s="236">
        <f t="shared" si="911"/>
        <v>105413.51005729713</v>
      </c>
      <c r="L881" s="236">
        <f t="shared" si="912"/>
        <v>101198.70543607771</v>
      </c>
      <c r="M881" s="236">
        <f t="shared" si="913"/>
        <v>98842.604515804953</v>
      </c>
      <c r="N881" s="236">
        <f t="shared" si="914"/>
        <v>97573.068115899412</v>
      </c>
      <c r="O881" s="236">
        <v>99003</v>
      </c>
      <c r="P881" s="237"/>
      <c r="Q881" s="223">
        <f t="shared" si="902"/>
        <v>105413.51005729713</v>
      </c>
      <c r="R881" s="147">
        <f t="shared" si="903"/>
        <v>11595.486106302684</v>
      </c>
      <c r="S881" s="147">
        <f t="shared" si="904"/>
        <v>31.768455085760777</v>
      </c>
      <c r="T881" s="148">
        <f t="shared" si="905"/>
        <v>6957.2916637816097</v>
      </c>
      <c r="U881" s="420"/>
      <c r="V881" s="407"/>
      <c r="W881" s="222"/>
      <c r="X881" s="222"/>
      <c r="Y881" s="408"/>
      <c r="Z881" s="409"/>
      <c r="AA881" s="409"/>
      <c r="AB881" s="410"/>
      <c r="AC881" s="155"/>
      <c r="AD881" s="156"/>
      <c r="AE881" s="156"/>
      <c r="AF881" s="156"/>
      <c r="AG881" s="156"/>
      <c r="AH881" s="156"/>
      <c r="AI881" s="156"/>
      <c r="AJ881" s="156"/>
      <c r="AK881" s="156"/>
      <c r="AL881" s="156"/>
      <c r="AM881" s="157">
        <f t="shared" si="906"/>
        <v>0</v>
      </c>
      <c r="AN881" s="158">
        <f t="shared" si="907"/>
        <v>4000</v>
      </c>
      <c r="AO881" s="159">
        <v>0.2</v>
      </c>
      <c r="AP881" s="160">
        <f t="shared" si="908"/>
        <v>0</v>
      </c>
      <c r="AQ881" s="161">
        <f t="shared" si="909"/>
        <v>0</v>
      </c>
      <c r="AR881" s="162">
        <f t="shared" si="910"/>
        <v>0</v>
      </c>
      <c r="AS881" s="163"/>
      <c r="AT881" s="164"/>
      <c r="AU881" s="165"/>
      <c r="AV881" s="166"/>
      <c r="AW881" s="167"/>
      <c r="AX881" s="146">
        <f t="shared" si="915"/>
        <v>0</v>
      </c>
      <c r="AY881" s="168"/>
    </row>
    <row r="882" spans="1:51" ht="10.9" hidden="1" customHeight="1" x14ac:dyDescent="0.25">
      <c r="B882" s="140">
        <v>13</v>
      </c>
      <c r="C882" s="302" t="s">
        <v>264</v>
      </c>
      <c r="D882" s="235"/>
      <c r="E882" s="236"/>
      <c r="F882" s="236"/>
      <c r="G882" s="236"/>
      <c r="H882" s="236"/>
      <c r="I882" s="236"/>
      <c r="J882" s="236"/>
      <c r="K882" s="236">
        <f t="shared" si="911"/>
        <v>102727.14413025895</v>
      </c>
      <c r="L882" s="236">
        <f t="shared" si="912"/>
        <v>98619.749911343883</v>
      </c>
      <c r="M882" s="236">
        <f t="shared" si="913"/>
        <v>96323.692046552751</v>
      </c>
      <c r="N882" s="236">
        <f t="shared" si="914"/>
        <v>95086.508609052005</v>
      </c>
      <c r="O882" s="236">
        <v>96480</v>
      </c>
      <c r="P882" s="237"/>
      <c r="Q882" s="223">
        <f t="shared" si="902"/>
        <v>102727.14413025895</v>
      </c>
      <c r="R882" s="147">
        <f t="shared" si="903"/>
        <v>11299.985854328484</v>
      </c>
      <c r="S882" s="147">
        <f t="shared" si="904"/>
        <v>30.958865354324615</v>
      </c>
      <c r="T882" s="148">
        <f t="shared" si="905"/>
        <v>6779.9915125970901</v>
      </c>
      <c r="U882" s="420"/>
      <c r="V882" s="407"/>
      <c r="W882" s="222"/>
      <c r="X882" s="222"/>
      <c r="Y882" s="408"/>
      <c r="Z882" s="409"/>
      <c r="AA882" s="409"/>
      <c r="AB882" s="410"/>
      <c r="AC882" s="155"/>
      <c r="AD882" s="156"/>
      <c r="AE882" s="156"/>
      <c r="AF882" s="156"/>
      <c r="AG882" s="156"/>
      <c r="AH882" s="156"/>
      <c r="AI882" s="156"/>
      <c r="AJ882" s="156"/>
      <c r="AK882" s="156"/>
      <c r="AL882" s="156"/>
      <c r="AM882" s="157">
        <f t="shared" si="906"/>
        <v>0</v>
      </c>
      <c r="AN882" s="158">
        <f t="shared" si="907"/>
        <v>4000</v>
      </c>
      <c r="AO882" s="159">
        <v>0.2</v>
      </c>
      <c r="AP882" s="160">
        <f t="shared" si="908"/>
        <v>0</v>
      </c>
      <c r="AQ882" s="161">
        <f t="shared" si="909"/>
        <v>0</v>
      </c>
      <c r="AR882" s="162">
        <f t="shared" si="910"/>
        <v>0</v>
      </c>
      <c r="AS882" s="163"/>
      <c r="AT882" s="164"/>
      <c r="AU882" s="165"/>
      <c r="AV882" s="166"/>
      <c r="AW882" s="167"/>
      <c r="AX882" s="146">
        <f t="shared" si="915"/>
        <v>0</v>
      </c>
      <c r="AY882" s="168"/>
    </row>
    <row r="883" spans="1:51" ht="10.9" hidden="1" customHeight="1" x14ac:dyDescent="0.25">
      <c r="B883" s="140">
        <v>14</v>
      </c>
      <c r="C883" s="446" t="s">
        <v>265</v>
      </c>
      <c r="D883" s="235"/>
      <c r="E883" s="236"/>
      <c r="F883" s="236"/>
      <c r="G883" s="236"/>
      <c r="H883" s="236"/>
      <c r="I883" s="236"/>
      <c r="J883" s="236"/>
      <c r="K883" s="236">
        <f t="shared" si="911"/>
        <v>238507.34314480098</v>
      </c>
      <c r="L883" s="236">
        <f t="shared" si="912"/>
        <v>228970.97677643827</v>
      </c>
      <c r="M883" s="236">
        <f t="shared" si="913"/>
        <v>223640.09110182378</v>
      </c>
      <c r="N883" s="236">
        <f t="shared" si="914"/>
        <v>220767.65327480802</v>
      </c>
      <c r="O883" s="236">
        <v>224003</v>
      </c>
      <c r="P883" s="237"/>
      <c r="Q883" s="304">
        <f t="shared" si="902"/>
        <v>238507.34314480098</v>
      </c>
      <c r="R883" s="147">
        <f t="shared" si="903"/>
        <v>26235.807745928108</v>
      </c>
      <c r="S883" s="147">
        <f t="shared" si="904"/>
        <v>71.878925331309887</v>
      </c>
      <c r="T883" s="148">
        <f t="shared" si="905"/>
        <v>15741.484647556865</v>
      </c>
      <c r="U883" s="420"/>
      <c r="V883" s="407"/>
      <c r="W883" s="222"/>
      <c r="X883" s="222"/>
      <c r="Y883" s="408"/>
      <c r="Z883" s="409"/>
      <c r="AA883" s="409"/>
      <c r="AB883" s="410"/>
      <c r="AC883" s="155"/>
      <c r="AD883" s="156"/>
      <c r="AE883" s="156"/>
      <c r="AF883" s="156"/>
      <c r="AG883" s="156"/>
      <c r="AH883" s="156"/>
      <c r="AI883" s="156"/>
      <c r="AJ883" s="156"/>
      <c r="AK883" s="156"/>
      <c r="AL883" s="156"/>
      <c r="AM883" s="157">
        <f t="shared" si="906"/>
        <v>0</v>
      </c>
      <c r="AN883" s="158">
        <f t="shared" si="907"/>
        <v>4000</v>
      </c>
      <c r="AO883" s="159">
        <v>0.2</v>
      </c>
      <c r="AP883" s="160">
        <f t="shared" si="908"/>
        <v>0</v>
      </c>
      <c r="AQ883" s="161">
        <f t="shared" si="909"/>
        <v>0</v>
      </c>
      <c r="AR883" s="162">
        <f t="shared" si="910"/>
        <v>0</v>
      </c>
      <c r="AS883" s="163"/>
      <c r="AT883" s="164"/>
      <c r="AU883" s="165"/>
      <c r="AV883" s="166"/>
      <c r="AW883" s="167"/>
      <c r="AX883" s="146">
        <f t="shared" si="915"/>
        <v>0</v>
      </c>
      <c r="AY883" s="168"/>
    </row>
    <row r="884" spans="1:51" ht="10.9" hidden="1" customHeight="1" x14ac:dyDescent="0.25">
      <c r="B884" s="140"/>
      <c r="C884" s="305"/>
      <c r="D884" s="235"/>
      <c r="E884" s="300"/>
      <c r="F884" s="300"/>
      <c r="G884" s="300"/>
      <c r="H884" s="300"/>
      <c r="I884" s="300"/>
      <c r="J884" s="300"/>
      <c r="K884" s="236"/>
      <c r="L884" s="236"/>
      <c r="M884" s="236"/>
      <c r="N884" s="236"/>
      <c r="O884" s="236"/>
      <c r="P884" s="237"/>
      <c r="Q884" s="223"/>
      <c r="R884" s="167"/>
      <c r="S884" s="167"/>
      <c r="T884" s="146"/>
      <c r="U884" s="420" t="s">
        <v>674</v>
      </c>
      <c r="V884" s="407">
        <v>10</v>
      </c>
      <c r="W884" s="222">
        <f>(500*0.7*0.35)*365</f>
        <v>44712.499999999993</v>
      </c>
      <c r="X884" s="222"/>
      <c r="Y884" s="408"/>
      <c r="Z884" s="409"/>
      <c r="AA884" s="409"/>
      <c r="AB884" s="410"/>
      <c r="AC884" s="411">
        <f>W884*$AC$5</f>
        <v>25933.249999999993</v>
      </c>
      <c r="AD884" s="412">
        <f>W884*$AD$5</f>
        <v>5812.6249999999991</v>
      </c>
      <c r="AE884" s="412">
        <f>W884*$AE$5</f>
        <v>3923.521874999999</v>
      </c>
      <c r="AF884" s="412">
        <f>W884*$AF$5</f>
        <v>1788.4999999999998</v>
      </c>
      <c r="AG884" s="412">
        <f>W884*$AG$5</f>
        <v>894.24999999999989</v>
      </c>
      <c r="AH884" s="412">
        <f>W884*$AH$5</f>
        <v>894.24999999999989</v>
      </c>
      <c r="AI884" s="412">
        <f>W884*$AI$5</f>
        <v>447.12499999999994</v>
      </c>
      <c r="AJ884" s="412">
        <f>W884*$AJ$5</f>
        <v>894.24999999999989</v>
      </c>
      <c r="AK884" s="412">
        <f>W884*$AK$5</f>
        <v>894.24999999999989</v>
      </c>
      <c r="AL884" s="412">
        <f>W884*$AL$5</f>
        <v>3129.875</v>
      </c>
      <c r="AM884" s="413">
        <f t="shared" si="906"/>
        <v>13760.271874999999</v>
      </c>
      <c r="AN884" s="158">
        <f t="shared" si="907"/>
        <v>4000</v>
      </c>
      <c r="AO884" s="159">
        <v>0.2</v>
      </c>
      <c r="AP884" s="160">
        <f t="shared" si="908"/>
        <v>230446025.14499995</v>
      </c>
      <c r="AQ884" s="161">
        <f t="shared" si="909"/>
        <v>64012.789883522768</v>
      </c>
      <c r="AR884" s="162">
        <f t="shared" si="910"/>
        <v>12802.557976704555</v>
      </c>
      <c r="AS884" s="163"/>
      <c r="AT884" s="233"/>
      <c r="AU884" s="187"/>
      <c r="AV884" s="414">
        <f>AR884/$AV$5</f>
        <v>1.8268490263562436</v>
      </c>
      <c r="AW884" s="415"/>
      <c r="AX884" s="146">
        <f>SUM(AU884:AV884)</f>
        <v>1.8268490263562436</v>
      </c>
      <c r="AY884" s="168"/>
    </row>
    <row r="885" spans="1:51" s="263" customFormat="1" ht="17.25" hidden="1" customHeight="1" x14ac:dyDescent="0.25">
      <c r="A885" s="173"/>
      <c r="B885" s="225"/>
      <c r="C885" s="258" t="s">
        <v>266</v>
      </c>
      <c r="D885" s="240">
        <f>SUM(D870:D883)</f>
        <v>0</v>
      </c>
      <c r="E885" s="240">
        <f t="shared" ref="E885:J885" si="916">SUM(E870:E883)</f>
        <v>0</v>
      </c>
      <c r="F885" s="240">
        <f t="shared" si="916"/>
        <v>0</v>
      </c>
      <c r="G885" s="240">
        <f t="shared" si="916"/>
        <v>0</v>
      </c>
      <c r="H885" s="240">
        <f t="shared" si="916"/>
        <v>0</v>
      </c>
      <c r="I885" s="240">
        <f t="shared" si="916"/>
        <v>0</v>
      </c>
      <c r="J885" s="240">
        <f t="shared" si="916"/>
        <v>0</v>
      </c>
      <c r="K885" s="244">
        <v>2047550</v>
      </c>
      <c r="L885" s="244">
        <v>2132828</v>
      </c>
      <c r="M885" s="244">
        <v>2183668</v>
      </c>
      <c r="N885" s="244">
        <v>2212080</v>
      </c>
      <c r="O885" s="244">
        <f>SUM(O870:O883)</f>
        <v>2244498</v>
      </c>
      <c r="P885" s="303"/>
      <c r="Q885" s="304">
        <f t="shared" si="902"/>
        <v>2244498</v>
      </c>
      <c r="R885" s="304">
        <f>MAX(E885:Q885)</f>
        <v>2244498</v>
      </c>
      <c r="S885" s="304">
        <f>MAX(F885:R885)</f>
        <v>2244498</v>
      </c>
      <c r="T885" s="304">
        <f>MAX(G885:S885)</f>
        <v>2244498</v>
      </c>
      <c r="U885" s="424"/>
      <c r="V885" s="417"/>
      <c r="W885" s="304"/>
      <c r="X885" s="304"/>
      <c r="Y885" s="245"/>
      <c r="Z885" s="418"/>
      <c r="AA885" s="418"/>
      <c r="AB885" s="419"/>
      <c r="AC885" s="240">
        <f>SUM(AC870:AC884)</f>
        <v>25933.249999999993</v>
      </c>
      <c r="AD885" s="240">
        <f t="shared" ref="AD885:AM885" si="917">SUM(AD870:AD884)</f>
        <v>5812.6249999999991</v>
      </c>
      <c r="AE885" s="240">
        <f t="shared" si="917"/>
        <v>3923.521874999999</v>
      </c>
      <c r="AF885" s="240">
        <f t="shared" si="917"/>
        <v>1788.4999999999998</v>
      </c>
      <c r="AG885" s="240">
        <f t="shared" si="917"/>
        <v>894.24999999999989</v>
      </c>
      <c r="AH885" s="240">
        <f t="shared" si="917"/>
        <v>894.24999999999989</v>
      </c>
      <c r="AI885" s="240">
        <f t="shared" si="917"/>
        <v>447.12499999999994</v>
      </c>
      <c r="AJ885" s="240">
        <f t="shared" si="917"/>
        <v>894.24999999999989</v>
      </c>
      <c r="AK885" s="240">
        <f t="shared" si="917"/>
        <v>894.24999999999989</v>
      </c>
      <c r="AL885" s="240">
        <f t="shared" si="917"/>
        <v>3129.875</v>
      </c>
      <c r="AM885" s="240">
        <f t="shared" si="917"/>
        <v>13760.271874999999</v>
      </c>
      <c r="AN885" s="261"/>
      <c r="AO885" s="262"/>
      <c r="AP885" s="184">
        <f>SUM(AP870:AP884)</f>
        <v>230446025.14499995</v>
      </c>
      <c r="AQ885" s="184">
        <f t="shared" ref="AQ885:AX885" si="918">SUM(AQ870:AQ884)</f>
        <v>64012.789883522768</v>
      </c>
      <c r="AR885" s="184">
        <f t="shared" si="918"/>
        <v>12802.557976704555</v>
      </c>
      <c r="AS885" s="184"/>
      <c r="AT885" s="184"/>
      <c r="AU885" s="447">
        <f t="shared" si="918"/>
        <v>0</v>
      </c>
      <c r="AV885" s="184">
        <f t="shared" si="918"/>
        <v>1.8268490263562436</v>
      </c>
      <c r="AW885" s="184">
        <f t="shared" si="918"/>
        <v>0</v>
      </c>
      <c r="AX885" s="184">
        <f t="shared" si="918"/>
        <v>1.8268490263562436</v>
      </c>
      <c r="AY885" s="189"/>
    </row>
    <row r="886" spans="1:51" s="139" customFormat="1" ht="10.9" hidden="1" customHeight="1" x14ac:dyDescent="0.25">
      <c r="B886" s="247"/>
      <c r="C886" s="152"/>
      <c r="D886" s="247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248"/>
      <c r="Q886" s="249"/>
      <c r="R886" s="250"/>
      <c r="S886" s="250"/>
      <c r="T886" s="251"/>
      <c r="U886" s="199"/>
      <c r="V886" s="179"/>
      <c r="W886" s="249"/>
      <c r="X886" s="249"/>
      <c r="Y886" s="152"/>
      <c r="Z886" s="153"/>
      <c r="AA886" s="153"/>
      <c r="AB886" s="154"/>
      <c r="AC886" s="247"/>
      <c r="AD886" s="252"/>
      <c r="AE886" s="252"/>
      <c r="AF886" s="252"/>
      <c r="AG886" s="252"/>
      <c r="AH886" s="252"/>
      <c r="AI886" s="252"/>
      <c r="AJ886" s="252"/>
      <c r="AK886" s="252"/>
      <c r="AL886" s="252"/>
      <c r="AM886" s="214"/>
      <c r="AN886" s="203"/>
      <c r="AO886" s="204"/>
      <c r="AP886" s="203"/>
      <c r="AQ886" s="205"/>
      <c r="AR886" s="206"/>
      <c r="AS886" s="253"/>
      <c r="AT886" s="254"/>
      <c r="AU886" s="255"/>
      <c r="AV886" s="256"/>
      <c r="AW886" s="257"/>
      <c r="AX886" s="214"/>
      <c r="AY886" s="212"/>
    </row>
    <row r="887" spans="1:51" s="139" customFormat="1" ht="15" hidden="1" customHeight="1" x14ac:dyDescent="0.25">
      <c r="A887" s="1"/>
      <c r="B887" s="120"/>
      <c r="C887" s="258" t="s">
        <v>267</v>
      </c>
      <c r="D887" s="122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213"/>
      <c r="Q887" s="76"/>
      <c r="R887" s="108"/>
      <c r="S887" s="108"/>
      <c r="T887" s="94"/>
      <c r="U887" s="120"/>
      <c r="V887" s="67"/>
      <c r="W887" s="123"/>
      <c r="X887" s="123"/>
      <c r="Y887" s="125"/>
      <c r="Z887" s="126"/>
      <c r="AA887" s="126"/>
      <c r="AB887" s="127"/>
      <c r="AC887" s="62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125"/>
      <c r="AN887" s="75"/>
      <c r="AO887" s="216"/>
      <c r="AP887" s="75"/>
      <c r="AQ887" s="51"/>
      <c r="AR887" s="259"/>
      <c r="AS887" s="218"/>
      <c r="AT887" s="219"/>
      <c r="AU887" s="220"/>
      <c r="AV887" s="135"/>
      <c r="AW887" s="136"/>
      <c r="AX887" s="137"/>
      <c r="AY887" s="138"/>
    </row>
    <row r="888" spans="1:51" ht="10.9" hidden="1" customHeight="1" x14ac:dyDescent="0.25">
      <c r="B888" s="140">
        <v>1</v>
      </c>
      <c r="C888" s="302" t="s">
        <v>268</v>
      </c>
      <c r="D888" s="235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>
        <v>230316</v>
      </c>
      <c r="O888" s="236"/>
      <c r="P888" s="237"/>
      <c r="Q888" s="223">
        <f t="shared" ref="Q888:Q901" si="919">MAX(D888:P888)</f>
        <v>230316</v>
      </c>
      <c r="R888" s="147">
        <f t="shared" ref="R888:R896" si="920">Q888*$R$10</f>
        <v>25334.76</v>
      </c>
      <c r="S888" s="147">
        <f t="shared" ref="S888:S897" si="921">R888/$S$5</f>
        <v>69.410301369863006</v>
      </c>
      <c r="T888" s="148">
        <f t="shared" ref="T888:T896" si="922">S888*$T$5*$T$10</f>
        <v>15200.855999999998</v>
      </c>
      <c r="U888" s="420"/>
      <c r="V888" s="407"/>
      <c r="W888" s="222"/>
      <c r="X888" s="222"/>
      <c r="Y888" s="408"/>
      <c r="Z888" s="409"/>
      <c r="AA888" s="409"/>
      <c r="AB888" s="410"/>
      <c r="AC888" s="155"/>
      <c r="AD888" s="156"/>
      <c r="AE888" s="156"/>
      <c r="AF888" s="156"/>
      <c r="AG888" s="156"/>
      <c r="AH888" s="156"/>
      <c r="AI888" s="156"/>
      <c r="AJ888" s="156"/>
      <c r="AK888" s="156"/>
      <c r="AL888" s="156"/>
      <c r="AM888" s="157">
        <f t="shared" ref="AM888:AM900" si="923">SUM(AD888:AI888)</f>
        <v>0</v>
      </c>
      <c r="AN888" s="158">
        <f t="shared" ref="AN888:AN901" si="924">$AN$641</f>
        <v>4000</v>
      </c>
      <c r="AO888" s="159">
        <v>0.2</v>
      </c>
      <c r="AP888" s="160">
        <f t="shared" ref="AP888:AP901" si="925">AM888*AN888*$AP$5</f>
        <v>0</v>
      </c>
      <c r="AQ888" s="161">
        <f t="shared" ref="AQ888:AQ901" si="926">AP888*$AQ$5</f>
        <v>0</v>
      </c>
      <c r="AR888" s="162">
        <f t="shared" ref="AR888:AR901" si="927">AQ888*$AR$5</f>
        <v>0</v>
      </c>
      <c r="AS888" s="163"/>
      <c r="AT888" s="164"/>
      <c r="AU888" s="165"/>
      <c r="AV888" s="166"/>
      <c r="AW888" s="167"/>
      <c r="AX888" s="146">
        <f>SUM(AU888:AV888)</f>
        <v>0</v>
      </c>
      <c r="AY888" s="168"/>
    </row>
    <row r="889" spans="1:51" ht="10.9" hidden="1" customHeight="1" x14ac:dyDescent="0.25">
      <c r="B889" s="140">
        <v>2</v>
      </c>
      <c r="C889" s="302" t="s">
        <v>269</v>
      </c>
      <c r="D889" s="235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>
        <v>165091</v>
      </c>
      <c r="O889" s="236"/>
      <c r="P889" s="237"/>
      <c r="Q889" s="223">
        <f t="shared" si="919"/>
        <v>165091</v>
      </c>
      <c r="R889" s="147">
        <f t="shared" si="920"/>
        <v>18160.009999999998</v>
      </c>
      <c r="S889" s="147">
        <f t="shared" si="921"/>
        <v>49.753452054794515</v>
      </c>
      <c r="T889" s="148">
        <f t="shared" si="922"/>
        <v>10896.005999999999</v>
      </c>
      <c r="U889" s="420"/>
      <c r="V889" s="407"/>
      <c r="W889" s="222"/>
      <c r="X889" s="222"/>
      <c r="Y889" s="408"/>
      <c r="Z889" s="409"/>
      <c r="AA889" s="409"/>
      <c r="AB889" s="410"/>
      <c r="AC889" s="155"/>
      <c r="AD889" s="156"/>
      <c r="AE889" s="156"/>
      <c r="AF889" s="156"/>
      <c r="AG889" s="156"/>
      <c r="AH889" s="156"/>
      <c r="AI889" s="156"/>
      <c r="AJ889" s="156"/>
      <c r="AK889" s="156"/>
      <c r="AL889" s="156"/>
      <c r="AM889" s="157">
        <f t="shared" si="923"/>
        <v>0</v>
      </c>
      <c r="AN889" s="158">
        <f t="shared" si="924"/>
        <v>4000</v>
      </c>
      <c r="AO889" s="159">
        <v>0.2</v>
      </c>
      <c r="AP889" s="160">
        <f t="shared" si="925"/>
        <v>0</v>
      </c>
      <c r="AQ889" s="161">
        <f t="shared" si="926"/>
        <v>0</v>
      </c>
      <c r="AR889" s="162">
        <f t="shared" si="927"/>
        <v>0</v>
      </c>
      <c r="AS889" s="163"/>
      <c r="AT889" s="164"/>
      <c r="AU889" s="165"/>
      <c r="AV889" s="166"/>
      <c r="AW889" s="167"/>
      <c r="AX889" s="146">
        <f t="shared" ref="AX889:AX901" si="928">SUM(AU889:AV889)</f>
        <v>0</v>
      </c>
      <c r="AY889" s="168"/>
    </row>
    <row r="890" spans="1:51" ht="10.9" hidden="1" customHeight="1" x14ac:dyDescent="0.25">
      <c r="B890" s="140">
        <v>3</v>
      </c>
      <c r="C890" s="302" t="s">
        <v>270</v>
      </c>
      <c r="D890" s="235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>
        <v>255637</v>
      </c>
      <c r="O890" s="236"/>
      <c r="P890" s="237"/>
      <c r="Q890" s="223">
        <f t="shared" si="919"/>
        <v>255637</v>
      </c>
      <c r="R890" s="147">
        <f t="shared" si="920"/>
        <v>28120.07</v>
      </c>
      <c r="S890" s="147">
        <f t="shared" si="921"/>
        <v>77.04128767123288</v>
      </c>
      <c r="T890" s="148">
        <f t="shared" si="922"/>
        <v>16872.041999999998</v>
      </c>
      <c r="U890" s="420"/>
      <c r="V890" s="407"/>
      <c r="W890" s="222"/>
      <c r="X890" s="222"/>
      <c r="Y890" s="408"/>
      <c r="Z890" s="409"/>
      <c r="AA890" s="409"/>
      <c r="AB890" s="410"/>
      <c r="AC890" s="155"/>
      <c r="AD890" s="156"/>
      <c r="AE890" s="156"/>
      <c r="AF890" s="156"/>
      <c r="AG890" s="156"/>
      <c r="AH890" s="156"/>
      <c r="AI890" s="156"/>
      <c r="AJ890" s="156"/>
      <c r="AK890" s="156"/>
      <c r="AL890" s="156"/>
      <c r="AM890" s="157">
        <f t="shared" si="923"/>
        <v>0</v>
      </c>
      <c r="AN890" s="158">
        <f t="shared" si="924"/>
        <v>4000</v>
      </c>
      <c r="AO890" s="159">
        <v>0.2</v>
      </c>
      <c r="AP890" s="160">
        <f t="shared" si="925"/>
        <v>0</v>
      </c>
      <c r="AQ890" s="161">
        <f t="shared" si="926"/>
        <v>0</v>
      </c>
      <c r="AR890" s="162">
        <f t="shared" si="927"/>
        <v>0</v>
      </c>
      <c r="AS890" s="163"/>
      <c r="AT890" s="164"/>
      <c r="AU890" s="165"/>
      <c r="AV890" s="166"/>
      <c r="AW890" s="167"/>
      <c r="AX890" s="146">
        <f t="shared" si="928"/>
        <v>0</v>
      </c>
      <c r="AY890" s="168"/>
    </row>
    <row r="891" spans="1:51" ht="10.9" hidden="1" customHeight="1" x14ac:dyDescent="0.25">
      <c r="B891" s="140">
        <v>4</v>
      </c>
      <c r="C891" s="302" t="s">
        <v>271</v>
      </c>
      <c r="D891" s="235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>
        <v>179079</v>
      </c>
      <c r="O891" s="236"/>
      <c r="P891" s="237"/>
      <c r="Q891" s="223">
        <f t="shared" si="919"/>
        <v>179079</v>
      </c>
      <c r="R891" s="147">
        <f t="shared" si="920"/>
        <v>19698.689999999999</v>
      </c>
      <c r="S891" s="147">
        <f t="shared" si="921"/>
        <v>53.969013698630135</v>
      </c>
      <c r="T891" s="148">
        <f t="shared" si="922"/>
        <v>11819.213999999998</v>
      </c>
      <c r="U891" s="420"/>
      <c r="V891" s="407"/>
      <c r="W891" s="222"/>
      <c r="X891" s="222"/>
      <c r="Y891" s="408"/>
      <c r="Z891" s="409"/>
      <c r="AA891" s="409"/>
      <c r="AB891" s="410"/>
      <c r="AC891" s="155"/>
      <c r="AD891" s="156"/>
      <c r="AE891" s="156"/>
      <c r="AF891" s="156"/>
      <c r="AG891" s="156"/>
      <c r="AH891" s="156"/>
      <c r="AI891" s="156"/>
      <c r="AJ891" s="156"/>
      <c r="AK891" s="156"/>
      <c r="AL891" s="156"/>
      <c r="AM891" s="157">
        <f t="shared" si="923"/>
        <v>0</v>
      </c>
      <c r="AN891" s="158">
        <f t="shared" si="924"/>
        <v>4000</v>
      </c>
      <c r="AO891" s="159">
        <v>0.2</v>
      </c>
      <c r="AP891" s="160">
        <f t="shared" si="925"/>
        <v>0</v>
      </c>
      <c r="AQ891" s="161">
        <f t="shared" si="926"/>
        <v>0</v>
      </c>
      <c r="AR891" s="162">
        <f t="shared" si="927"/>
        <v>0</v>
      </c>
      <c r="AS891" s="163"/>
      <c r="AT891" s="164"/>
      <c r="AU891" s="165"/>
      <c r="AV891" s="166"/>
      <c r="AW891" s="167"/>
      <c r="AX891" s="146">
        <f t="shared" si="928"/>
        <v>0</v>
      </c>
      <c r="AY891" s="168"/>
    </row>
    <row r="892" spans="1:51" ht="10.9" hidden="1" customHeight="1" x14ac:dyDescent="0.25">
      <c r="B892" s="140">
        <v>5</v>
      </c>
      <c r="C892" s="302" t="s">
        <v>272</v>
      </c>
      <c r="D892" s="235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>
        <v>62580</v>
      </c>
      <c r="O892" s="236"/>
      <c r="P892" s="237"/>
      <c r="Q892" s="223">
        <f t="shared" si="919"/>
        <v>62580</v>
      </c>
      <c r="R892" s="147">
        <f t="shared" si="920"/>
        <v>6883.8</v>
      </c>
      <c r="S892" s="147">
        <f t="shared" si="921"/>
        <v>18.859726027397262</v>
      </c>
      <c r="T892" s="148">
        <f t="shared" si="922"/>
        <v>4130.28</v>
      </c>
      <c r="U892" s="420"/>
      <c r="V892" s="407"/>
      <c r="W892" s="222"/>
      <c r="X892" s="222"/>
      <c r="Y892" s="408"/>
      <c r="Z892" s="409"/>
      <c r="AA892" s="409"/>
      <c r="AB892" s="410"/>
      <c r="AC892" s="155"/>
      <c r="AD892" s="156"/>
      <c r="AE892" s="156"/>
      <c r="AF892" s="156"/>
      <c r="AG892" s="156"/>
      <c r="AH892" s="156"/>
      <c r="AI892" s="156"/>
      <c r="AJ892" s="156"/>
      <c r="AK892" s="156"/>
      <c r="AL892" s="156"/>
      <c r="AM892" s="157">
        <f t="shared" si="923"/>
        <v>0</v>
      </c>
      <c r="AN892" s="158">
        <f t="shared" si="924"/>
        <v>4000</v>
      </c>
      <c r="AO892" s="159">
        <v>0.2</v>
      </c>
      <c r="AP892" s="160">
        <f t="shared" si="925"/>
        <v>0</v>
      </c>
      <c r="AQ892" s="161">
        <f t="shared" si="926"/>
        <v>0</v>
      </c>
      <c r="AR892" s="162">
        <f t="shared" si="927"/>
        <v>0</v>
      </c>
      <c r="AS892" s="163"/>
      <c r="AT892" s="164"/>
      <c r="AU892" s="165"/>
      <c r="AV892" s="166"/>
      <c r="AW892" s="167"/>
      <c r="AX892" s="146">
        <f t="shared" si="928"/>
        <v>0</v>
      </c>
      <c r="AY892" s="168"/>
    </row>
    <row r="893" spans="1:51" ht="10.9" hidden="1" customHeight="1" x14ac:dyDescent="0.25">
      <c r="B893" s="140">
        <v>6</v>
      </c>
      <c r="C893" s="302" t="s">
        <v>273</v>
      </c>
      <c r="D893" s="235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>
        <v>112663</v>
      </c>
      <c r="O893" s="236"/>
      <c r="P893" s="237"/>
      <c r="Q893" s="223">
        <f t="shared" si="919"/>
        <v>112663</v>
      </c>
      <c r="R893" s="147">
        <f t="shared" si="920"/>
        <v>12392.93</v>
      </c>
      <c r="S893" s="147">
        <f t="shared" si="921"/>
        <v>33.953232876712327</v>
      </c>
      <c r="T893" s="148">
        <f t="shared" si="922"/>
        <v>7435.7579999999998</v>
      </c>
      <c r="U893" s="420"/>
      <c r="V893" s="407"/>
      <c r="W893" s="222"/>
      <c r="X893" s="222"/>
      <c r="Y893" s="408"/>
      <c r="Z893" s="409"/>
      <c r="AA893" s="409"/>
      <c r="AB893" s="410"/>
      <c r="AC893" s="155"/>
      <c r="AD893" s="156"/>
      <c r="AE893" s="156"/>
      <c r="AF893" s="156"/>
      <c r="AG893" s="156"/>
      <c r="AH893" s="156"/>
      <c r="AI893" s="156"/>
      <c r="AJ893" s="156"/>
      <c r="AK893" s="156"/>
      <c r="AL893" s="156"/>
      <c r="AM893" s="157">
        <f t="shared" si="923"/>
        <v>0</v>
      </c>
      <c r="AN893" s="158">
        <f t="shared" si="924"/>
        <v>4000</v>
      </c>
      <c r="AO893" s="159">
        <v>0.2</v>
      </c>
      <c r="AP893" s="160">
        <f t="shared" si="925"/>
        <v>0</v>
      </c>
      <c r="AQ893" s="161">
        <f t="shared" si="926"/>
        <v>0</v>
      </c>
      <c r="AR893" s="162">
        <f t="shared" si="927"/>
        <v>0</v>
      </c>
      <c r="AS893" s="163"/>
      <c r="AT893" s="164"/>
      <c r="AU893" s="165"/>
      <c r="AV893" s="166"/>
      <c r="AW893" s="167"/>
      <c r="AX893" s="146">
        <f t="shared" si="928"/>
        <v>0</v>
      </c>
      <c r="AY893" s="168"/>
    </row>
    <row r="894" spans="1:51" ht="10.9" hidden="1" customHeight="1" x14ac:dyDescent="0.25">
      <c r="B894" s="140">
        <v>7</v>
      </c>
      <c r="C894" s="302" t="s">
        <v>274</v>
      </c>
      <c r="D894" s="235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>
        <v>140841</v>
      </c>
      <c r="O894" s="236"/>
      <c r="P894" s="237"/>
      <c r="Q894" s="223">
        <f t="shared" si="919"/>
        <v>140841</v>
      </c>
      <c r="R894" s="147">
        <f t="shared" si="920"/>
        <v>15492.51</v>
      </c>
      <c r="S894" s="147">
        <f t="shared" si="921"/>
        <v>42.445232876712332</v>
      </c>
      <c r="T894" s="148">
        <f t="shared" si="922"/>
        <v>9295.5060000000012</v>
      </c>
      <c r="U894" s="420"/>
      <c r="V894" s="407"/>
      <c r="W894" s="222"/>
      <c r="X894" s="222"/>
      <c r="Y894" s="408"/>
      <c r="Z894" s="409"/>
      <c r="AA894" s="409"/>
      <c r="AB894" s="410"/>
      <c r="AC894" s="155"/>
      <c r="AD894" s="156"/>
      <c r="AE894" s="156"/>
      <c r="AF894" s="156"/>
      <c r="AG894" s="156"/>
      <c r="AH894" s="156"/>
      <c r="AI894" s="156"/>
      <c r="AJ894" s="156"/>
      <c r="AK894" s="156"/>
      <c r="AL894" s="156"/>
      <c r="AM894" s="157">
        <f t="shared" si="923"/>
        <v>0</v>
      </c>
      <c r="AN894" s="158">
        <f t="shared" si="924"/>
        <v>4000</v>
      </c>
      <c r="AO894" s="159">
        <v>0.2</v>
      </c>
      <c r="AP894" s="160">
        <f t="shared" si="925"/>
        <v>0</v>
      </c>
      <c r="AQ894" s="161">
        <f t="shared" si="926"/>
        <v>0</v>
      </c>
      <c r="AR894" s="162">
        <f t="shared" si="927"/>
        <v>0</v>
      </c>
      <c r="AS894" s="163"/>
      <c r="AT894" s="164"/>
      <c r="AU894" s="165"/>
      <c r="AV894" s="166"/>
      <c r="AW894" s="167"/>
      <c r="AX894" s="146">
        <f t="shared" si="928"/>
        <v>0</v>
      </c>
      <c r="AY894" s="168"/>
    </row>
    <row r="895" spans="1:51" ht="10.9" hidden="1" customHeight="1" x14ac:dyDescent="0.25">
      <c r="B895" s="140">
        <v>8</v>
      </c>
      <c r="C895" s="302" t="s">
        <v>275</v>
      </c>
      <c r="D895" s="235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>
        <v>142922</v>
      </c>
      <c r="O895" s="236"/>
      <c r="P895" s="237"/>
      <c r="Q895" s="223">
        <f t="shared" si="919"/>
        <v>142922</v>
      </c>
      <c r="R895" s="147">
        <f t="shared" si="920"/>
        <v>15721.42</v>
      </c>
      <c r="S895" s="147">
        <f t="shared" si="921"/>
        <v>43.072383561643839</v>
      </c>
      <c r="T895" s="148">
        <f t="shared" si="922"/>
        <v>9432.8520000000008</v>
      </c>
      <c r="U895" s="420"/>
      <c r="V895" s="407"/>
      <c r="W895" s="222"/>
      <c r="X895" s="222"/>
      <c r="Y895" s="408"/>
      <c r="Z895" s="409"/>
      <c r="AA895" s="409"/>
      <c r="AB895" s="410"/>
      <c r="AC895" s="155"/>
      <c r="AD895" s="156"/>
      <c r="AE895" s="156"/>
      <c r="AF895" s="156"/>
      <c r="AG895" s="156"/>
      <c r="AH895" s="156"/>
      <c r="AI895" s="156"/>
      <c r="AJ895" s="156"/>
      <c r="AK895" s="156"/>
      <c r="AL895" s="156"/>
      <c r="AM895" s="157">
        <f t="shared" si="923"/>
        <v>0</v>
      </c>
      <c r="AN895" s="158">
        <f t="shared" si="924"/>
        <v>4000</v>
      </c>
      <c r="AO895" s="159">
        <v>0.2</v>
      </c>
      <c r="AP895" s="160">
        <f t="shared" si="925"/>
        <v>0</v>
      </c>
      <c r="AQ895" s="161">
        <f t="shared" si="926"/>
        <v>0</v>
      </c>
      <c r="AR895" s="162">
        <f t="shared" si="927"/>
        <v>0</v>
      </c>
      <c r="AS895" s="163"/>
      <c r="AT895" s="164"/>
      <c r="AU895" s="165"/>
      <c r="AV895" s="166"/>
      <c r="AW895" s="167"/>
      <c r="AX895" s="146">
        <f t="shared" si="928"/>
        <v>0</v>
      </c>
      <c r="AY895" s="168"/>
    </row>
    <row r="896" spans="1:51" ht="10.9" hidden="1" customHeight="1" x14ac:dyDescent="0.25">
      <c r="B896" s="140">
        <v>9</v>
      </c>
      <c r="C896" s="302" t="s">
        <v>276</v>
      </c>
      <c r="D896" s="235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>
        <v>15202</v>
      </c>
      <c r="O896" s="236"/>
      <c r="P896" s="237"/>
      <c r="Q896" s="223">
        <f t="shared" si="919"/>
        <v>15202</v>
      </c>
      <c r="R896" s="147">
        <f t="shared" si="920"/>
        <v>1672.22</v>
      </c>
      <c r="S896" s="147">
        <f t="shared" si="921"/>
        <v>4.5814246575342468</v>
      </c>
      <c r="T896" s="148">
        <f t="shared" si="922"/>
        <v>1003.332</v>
      </c>
      <c r="U896" s="420"/>
      <c r="V896" s="407"/>
      <c r="W896" s="222"/>
      <c r="X896" s="222"/>
      <c r="Y896" s="408"/>
      <c r="Z896" s="409"/>
      <c r="AA896" s="409"/>
      <c r="AB896" s="410"/>
      <c r="AC896" s="155"/>
      <c r="AD896" s="156"/>
      <c r="AE896" s="156"/>
      <c r="AF896" s="156"/>
      <c r="AG896" s="156"/>
      <c r="AH896" s="156"/>
      <c r="AI896" s="156"/>
      <c r="AJ896" s="156"/>
      <c r="AK896" s="156"/>
      <c r="AL896" s="156"/>
      <c r="AM896" s="157">
        <f t="shared" si="923"/>
        <v>0</v>
      </c>
      <c r="AN896" s="158">
        <f t="shared" si="924"/>
        <v>4000</v>
      </c>
      <c r="AO896" s="159">
        <v>0.2</v>
      </c>
      <c r="AP896" s="160">
        <f t="shared" si="925"/>
        <v>0</v>
      </c>
      <c r="AQ896" s="161">
        <f t="shared" si="926"/>
        <v>0</v>
      </c>
      <c r="AR896" s="162">
        <f t="shared" si="927"/>
        <v>0</v>
      </c>
      <c r="AS896" s="163"/>
      <c r="AT896" s="164"/>
      <c r="AU896" s="165"/>
      <c r="AV896" s="166"/>
      <c r="AW896" s="167"/>
      <c r="AX896" s="146">
        <f t="shared" si="928"/>
        <v>0</v>
      </c>
      <c r="AY896" s="168"/>
    </row>
    <row r="897" spans="1:51" ht="10.9" hidden="1" customHeight="1" x14ac:dyDescent="0.25">
      <c r="B897" s="140">
        <v>10</v>
      </c>
      <c r="C897" s="446" t="s">
        <v>277</v>
      </c>
      <c r="D897" s="235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>
        <v>557579</v>
      </c>
      <c r="O897" s="236"/>
      <c r="P897" s="237"/>
      <c r="Q897" s="304">
        <f t="shared" si="919"/>
        <v>557579</v>
      </c>
      <c r="R897" s="147">
        <f>Q897*$R$9</f>
        <v>81406.534</v>
      </c>
      <c r="S897" s="147">
        <f t="shared" si="921"/>
        <v>223.0316</v>
      </c>
      <c r="T897" s="148">
        <f>S897*$T$5*$T$9</f>
        <v>56984.573799999998</v>
      </c>
      <c r="U897" s="420"/>
      <c r="V897" s="407"/>
      <c r="W897" s="222"/>
      <c r="X897" s="222"/>
      <c r="Y897" s="408"/>
      <c r="Z897" s="409"/>
      <c r="AA897" s="409"/>
      <c r="AB897" s="410"/>
      <c r="AC897" s="155"/>
      <c r="AD897" s="156"/>
      <c r="AE897" s="156"/>
      <c r="AF897" s="156"/>
      <c r="AG897" s="156"/>
      <c r="AH897" s="156"/>
      <c r="AI897" s="156"/>
      <c r="AJ897" s="156"/>
      <c r="AK897" s="156"/>
      <c r="AL897" s="156"/>
      <c r="AM897" s="157">
        <f t="shared" si="923"/>
        <v>0</v>
      </c>
      <c r="AN897" s="158">
        <f t="shared" si="924"/>
        <v>4000</v>
      </c>
      <c r="AO897" s="159">
        <v>0.2</v>
      </c>
      <c r="AP897" s="160">
        <f t="shared" si="925"/>
        <v>0</v>
      </c>
      <c r="AQ897" s="161">
        <f t="shared" si="926"/>
        <v>0</v>
      </c>
      <c r="AR897" s="162">
        <f t="shared" si="927"/>
        <v>0</v>
      </c>
      <c r="AS897" s="163"/>
      <c r="AT897" s="164"/>
      <c r="AU897" s="165"/>
      <c r="AV897" s="166"/>
      <c r="AW897" s="167"/>
      <c r="AX897" s="146">
        <f t="shared" si="928"/>
        <v>0</v>
      </c>
      <c r="AY897" s="168"/>
    </row>
    <row r="898" spans="1:51" ht="10.9" hidden="1" customHeight="1" x14ac:dyDescent="0.25">
      <c r="B898" s="140"/>
      <c r="C898" s="446"/>
      <c r="D898" s="235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7"/>
      <c r="Q898" s="223"/>
      <c r="R898" s="167"/>
      <c r="S898" s="147"/>
      <c r="T898" s="146"/>
      <c r="U898" s="420" t="s">
        <v>675</v>
      </c>
      <c r="V898" s="407">
        <v>56</v>
      </c>
      <c r="W898" s="222">
        <f>(822*0.25)*365</f>
        <v>75007.5</v>
      </c>
      <c r="X898" s="222"/>
      <c r="Y898" s="408"/>
      <c r="Z898" s="409"/>
      <c r="AA898" s="409"/>
      <c r="AB898" s="410"/>
      <c r="AC898" s="411">
        <f>W898*$AC$5</f>
        <v>43504.35</v>
      </c>
      <c r="AD898" s="412">
        <f>W898*$AD$5</f>
        <v>9750.9750000000004</v>
      </c>
      <c r="AE898" s="412">
        <f>W898*$AE$5</f>
        <v>6581.9081249999999</v>
      </c>
      <c r="AF898" s="412">
        <f>W898*$AF$5</f>
        <v>3000.3</v>
      </c>
      <c r="AG898" s="412">
        <f>W898*$AG$5</f>
        <v>1500.15</v>
      </c>
      <c r="AH898" s="412">
        <f>W898*$AH$5</f>
        <v>1500.15</v>
      </c>
      <c r="AI898" s="412">
        <f>W898*$AI$5</f>
        <v>750.07500000000005</v>
      </c>
      <c r="AJ898" s="412">
        <f>W898*$AJ$5</f>
        <v>1500.15</v>
      </c>
      <c r="AK898" s="412">
        <f>W898*$AK$5</f>
        <v>1500.15</v>
      </c>
      <c r="AL898" s="412">
        <f>W898*$AL$5</f>
        <v>5250.5250000000005</v>
      </c>
      <c r="AM898" s="413">
        <f t="shared" si="923"/>
        <v>23083.558125000003</v>
      </c>
      <c r="AN898" s="158">
        <f t="shared" si="924"/>
        <v>4000</v>
      </c>
      <c r="AO898" s="159">
        <v>0.2</v>
      </c>
      <c r="AP898" s="160">
        <f t="shared" si="925"/>
        <v>386584964.63100004</v>
      </c>
      <c r="AQ898" s="161">
        <f t="shared" si="926"/>
        <v>107384.720988277</v>
      </c>
      <c r="AR898" s="162">
        <f t="shared" si="927"/>
        <v>21476.944197655401</v>
      </c>
      <c r="AS898" s="163"/>
      <c r="AT898" s="233"/>
      <c r="AU898" s="187">
        <v>0.5</v>
      </c>
      <c r="AV898" s="414">
        <f>AR898/$AV$5</f>
        <v>3.0646324482955767</v>
      </c>
      <c r="AW898" s="415"/>
      <c r="AX898" s="146">
        <f t="shared" si="928"/>
        <v>3.5646324482955767</v>
      </c>
      <c r="AY898" s="168"/>
    </row>
    <row r="899" spans="1:51" ht="10.9" hidden="1" customHeight="1" x14ac:dyDescent="0.25">
      <c r="B899" s="140">
        <v>11</v>
      </c>
      <c r="C899" s="448" t="s">
        <v>278</v>
      </c>
      <c r="D899" s="235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>
        <v>727500</v>
      </c>
      <c r="O899" s="236"/>
      <c r="P899" s="237"/>
      <c r="Q899" s="304">
        <f t="shared" si="919"/>
        <v>727500</v>
      </c>
      <c r="R899" s="147">
        <f>Q899*$R$8</f>
        <v>119310</v>
      </c>
      <c r="S899" s="147">
        <f>R899/$S$5</f>
        <v>326.8767123287671</v>
      </c>
      <c r="T899" s="148">
        <f>S899*$T$5*$T$8</f>
        <v>95448</v>
      </c>
      <c r="U899" s="420"/>
      <c r="V899" s="407"/>
      <c r="W899" s="222"/>
      <c r="X899" s="222"/>
      <c r="Y899" s="408"/>
      <c r="Z899" s="409"/>
      <c r="AA899" s="409"/>
      <c r="AB899" s="410"/>
      <c r="AC899" s="155"/>
      <c r="AD899" s="156"/>
      <c r="AE899" s="156"/>
      <c r="AF899" s="156"/>
      <c r="AG899" s="156"/>
      <c r="AH899" s="156"/>
      <c r="AI899" s="156"/>
      <c r="AJ899" s="156"/>
      <c r="AK899" s="156"/>
      <c r="AL899" s="156"/>
      <c r="AM899" s="157">
        <f t="shared" si="923"/>
        <v>0</v>
      </c>
      <c r="AN899" s="158">
        <f t="shared" si="924"/>
        <v>4000</v>
      </c>
      <c r="AO899" s="159">
        <v>0.2</v>
      </c>
      <c r="AP899" s="160">
        <f t="shared" si="925"/>
        <v>0</v>
      </c>
      <c r="AQ899" s="161">
        <f t="shared" si="926"/>
        <v>0</v>
      </c>
      <c r="AR899" s="162">
        <f t="shared" si="927"/>
        <v>0</v>
      </c>
      <c r="AS899" s="163"/>
      <c r="AT899" s="233"/>
      <c r="AU899" s="187"/>
      <c r="AV899" s="166"/>
      <c r="AW899" s="167"/>
      <c r="AX899" s="146">
        <f t="shared" si="928"/>
        <v>0</v>
      </c>
      <c r="AY899" s="168"/>
    </row>
    <row r="900" spans="1:51" ht="10.9" hidden="1" customHeight="1" x14ac:dyDescent="0.25">
      <c r="B900" s="140"/>
      <c r="C900" s="128"/>
      <c r="D900" s="300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7"/>
      <c r="Q900" s="223"/>
      <c r="R900" s="167"/>
      <c r="S900" s="147"/>
      <c r="T900" s="146"/>
      <c r="U900" s="420" t="s">
        <v>676</v>
      </c>
      <c r="V900" s="407">
        <v>10</v>
      </c>
      <c r="W900" s="222">
        <f>(1283*0.25)*365</f>
        <v>117073.75</v>
      </c>
      <c r="X900" s="222"/>
      <c r="Y900" s="408" t="s">
        <v>677</v>
      </c>
      <c r="Z900" s="409"/>
      <c r="AA900" s="409"/>
      <c r="AB900" s="410"/>
      <c r="AC900" s="411">
        <f>W900*$AC$5</f>
        <v>67902.774999999994</v>
      </c>
      <c r="AD900" s="412">
        <f>W900*$AD$5</f>
        <v>15219.5875</v>
      </c>
      <c r="AE900" s="412">
        <f>W900*$AE$5</f>
        <v>10273.221562499999</v>
      </c>
      <c r="AF900" s="412">
        <f>W900*$AF$5</f>
        <v>4682.95</v>
      </c>
      <c r="AG900" s="412">
        <f>W900*$AG$5</f>
        <v>2341.4749999999999</v>
      </c>
      <c r="AH900" s="412">
        <f>W900*$AH$5</f>
        <v>2341.4749999999999</v>
      </c>
      <c r="AI900" s="412">
        <f>W900*$AI$5</f>
        <v>1170.7375</v>
      </c>
      <c r="AJ900" s="412">
        <f>W900*$AJ$5</f>
        <v>2341.4749999999999</v>
      </c>
      <c r="AK900" s="412">
        <f>W900*$AK$5</f>
        <v>2341.4749999999999</v>
      </c>
      <c r="AL900" s="412">
        <f>W900*$AL$5</f>
        <v>8195.1625000000004</v>
      </c>
      <c r="AM900" s="413">
        <f t="shared" si="923"/>
        <v>36029.446562500001</v>
      </c>
      <c r="AN900" s="158">
        <f t="shared" si="924"/>
        <v>4000</v>
      </c>
      <c r="AO900" s="159">
        <v>0.2</v>
      </c>
      <c r="AP900" s="160">
        <f t="shared" si="925"/>
        <v>603392347.47149992</v>
      </c>
      <c r="AQ900" s="161">
        <f t="shared" si="926"/>
        <v>167608.99881746882</v>
      </c>
      <c r="AR900" s="162">
        <f t="shared" si="927"/>
        <v>33521.799763493764</v>
      </c>
      <c r="AS900" s="163"/>
      <c r="AT900" s="233"/>
      <c r="AU900" s="187">
        <v>0.5</v>
      </c>
      <c r="AV900" s="414">
        <f>AR900/$AV$5</f>
        <v>4.7833618383980827</v>
      </c>
      <c r="AW900" s="415">
        <f>AV900</f>
        <v>4.7833618383980827</v>
      </c>
      <c r="AX900" s="146">
        <f t="shared" si="928"/>
        <v>5.2833618383980827</v>
      </c>
      <c r="AY900" s="168"/>
    </row>
    <row r="901" spans="1:51" ht="10.9" hidden="1" customHeight="1" x14ac:dyDescent="0.25">
      <c r="B901" s="140">
        <v>12</v>
      </c>
      <c r="C901" s="305" t="s">
        <v>279</v>
      </c>
      <c r="D901" s="235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>
        <v>143683</v>
      </c>
      <c r="O901" s="236"/>
      <c r="P901" s="237"/>
      <c r="Q901" s="223">
        <f t="shared" si="919"/>
        <v>143683</v>
      </c>
      <c r="R901" s="147">
        <f>Q901*$R$10</f>
        <v>15805.13</v>
      </c>
      <c r="S901" s="147">
        <f>R901/$S$5</f>
        <v>43.301726027397258</v>
      </c>
      <c r="T901" s="148">
        <f>S901*$T$5*$T$10</f>
        <v>9483.0779999999995</v>
      </c>
      <c r="U901" s="420"/>
      <c r="V901" s="407"/>
      <c r="W901" s="222"/>
      <c r="X901" s="222"/>
      <c r="Y901" s="408"/>
      <c r="Z901" s="409"/>
      <c r="AA901" s="409"/>
      <c r="AB901" s="410"/>
      <c r="AC901" s="155"/>
      <c r="AD901" s="156"/>
      <c r="AE901" s="156"/>
      <c r="AF901" s="156"/>
      <c r="AG901" s="156"/>
      <c r="AH901" s="156"/>
      <c r="AI901" s="156"/>
      <c r="AJ901" s="156"/>
      <c r="AK901" s="156"/>
      <c r="AL901" s="156"/>
      <c r="AM901" s="157">
        <f>SUM(AD901:AI901)</f>
        <v>0</v>
      </c>
      <c r="AN901" s="158">
        <f t="shared" si="924"/>
        <v>4000</v>
      </c>
      <c r="AO901" s="159">
        <v>0.2</v>
      </c>
      <c r="AP901" s="160">
        <f t="shared" si="925"/>
        <v>0</v>
      </c>
      <c r="AQ901" s="161">
        <f t="shared" si="926"/>
        <v>0</v>
      </c>
      <c r="AR901" s="162">
        <f t="shared" si="927"/>
        <v>0</v>
      </c>
      <c r="AS901" s="163"/>
      <c r="AT901" s="164"/>
      <c r="AU901" s="165"/>
      <c r="AV901" s="166"/>
      <c r="AW901" s="167"/>
      <c r="AX901" s="146">
        <f t="shared" si="928"/>
        <v>0</v>
      </c>
      <c r="AY901" s="168"/>
    </row>
    <row r="902" spans="1:51" s="263" customFormat="1" ht="17.25" hidden="1" customHeight="1" x14ac:dyDescent="0.25">
      <c r="A902" s="173"/>
      <c r="B902" s="225"/>
      <c r="C902" s="258" t="s">
        <v>280</v>
      </c>
      <c r="D902" s="240">
        <f>SUM(D888:D901)</f>
        <v>0</v>
      </c>
      <c r="E902" s="240">
        <f t="shared" ref="E902:M902" si="929">SUM(E888:E901)</f>
        <v>0</v>
      </c>
      <c r="F902" s="240">
        <f t="shared" si="929"/>
        <v>0</v>
      </c>
      <c r="G902" s="240">
        <f t="shared" si="929"/>
        <v>0</v>
      </c>
      <c r="H902" s="240">
        <f t="shared" si="929"/>
        <v>0</v>
      </c>
      <c r="I902" s="240">
        <f t="shared" si="929"/>
        <v>0</v>
      </c>
      <c r="J902" s="240">
        <f t="shared" si="929"/>
        <v>0</v>
      </c>
      <c r="K902" s="240">
        <f t="shared" si="929"/>
        <v>0</v>
      </c>
      <c r="L902" s="240">
        <f t="shared" si="929"/>
        <v>0</v>
      </c>
      <c r="M902" s="240">
        <f t="shared" si="929"/>
        <v>0</v>
      </c>
      <c r="N902" s="240">
        <f>SUM(N888:N901)</f>
        <v>2733093</v>
      </c>
      <c r="O902" s="240">
        <f t="shared" ref="O902:U902" si="930">SUM(O888:O901)</f>
        <v>0</v>
      </c>
      <c r="P902" s="240">
        <f t="shared" si="930"/>
        <v>0</v>
      </c>
      <c r="Q902" s="240">
        <f t="shared" si="930"/>
        <v>2733093</v>
      </c>
      <c r="R902" s="240">
        <f t="shared" si="930"/>
        <v>359998.07400000002</v>
      </c>
      <c r="S902" s="240">
        <f t="shared" si="930"/>
        <v>986.2960931506849</v>
      </c>
      <c r="T902" s="240">
        <f t="shared" si="930"/>
        <v>248001.49779999998</v>
      </c>
      <c r="U902" s="424">
        <f t="shared" si="930"/>
        <v>0</v>
      </c>
      <c r="V902" s="425"/>
      <c r="W902" s="240">
        <f>SUM(W888:W901)</f>
        <v>192081.25</v>
      </c>
      <c r="X902" s="240">
        <f>SUM(X888:X901)</f>
        <v>0</v>
      </c>
      <c r="Y902" s="240">
        <f>SUM(Y888:Y901)</f>
        <v>0</v>
      </c>
      <c r="Z902" s="424"/>
      <c r="AA902" s="424"/>
      <c r="AB902" s="426"/>
      <c r="AC902" s="240">
        <f t="shared" ref="AC902:AM902" si="931">SUM(AC888:AC901)</f>
        <v>111407.125</v>
      </c>
      <c r="AD902" s="244">
        <f t="shared" si="931"/>
        <v>24970.5625</v>
      </c>
      <c r="AE902" s="244">
        <f t="shared" si="931"/>
        <v>16855.129687499997</v>
      </c>
      <c r="AF902" s="244">
        <f t="shared" si="931"/>
        <v>7683.25</v>
      </c>
      <c r="AG902" s="244">
        <f t="shared" si="931"/>
        <v>3841.625</v>
      </c>
      <c r="AH902" s="244">
        <f t="shared" si="931"/>
        <v>3841.625</v>
      </c>
      <c r="AI902" s="244">
        <f t="shared" si="931"/>
        <v>1920.8125</v>
      </c>
      <c r="AJ902" s="244">
        <f t="shared" si="931"/>
        <v>3841.625</v>
      </c>
      <c r="AK902" s="244">
        <f t="shared" si="931"/>
        <v>3841.625</v>
      </c>
      <c r="AL902" s="244">
        <f t="shared" si="931"/>
        <v>13445.6875</v>
      </c>
      <c r="AM902" s="245">
        <f t="shared" si="931"/>
        <v>59113.004687500004</v>
      </c>
      <c r="AN902" s="261"/>
      <c r="AO902" s="262"/>
      <c r="AP902" s="184">
        <f>SUM(AP888:AP901)</f>
        <v>989977312.10249996</v>
      </c>
      <c r="AQ902" s="184">
        <f t="shared" ref="AQ902:AX902" si="932">SUM(AQ888:AQ901)</f>
        <v>274993.71980574582</v>
      </c>
      <c r="AR902" s="184">
        <f t="shared" si="932"/>
        <v>54998.743961149165</v>
      </c>
      <c r="AS902" s="185"/>
      <c r="AT902" s="186"/>
      <c r="AU902" s="246">
        <f t="shared" si="932"/>
        <v>1</v>
      </c>
      <c r="AV902" s="246">
        <f t="shared" si="932"/>
        <v>7.8479942866936589</v>
      </c>
      <c r="AW902" s="246">
        <f t="shared" si="932"/>
        <v>4.7833618383980827</v>
      </c>
      <c r="AX902" s="185">
        <f t="shared" si="932"/>
        <v>8.8479942866936589</v>
      </c>
      <c r="AY902" s="189"/>
    </row>
    <row r="903" spans="1:51" s="139" customFormat="1" ht="10.9" hidden="1" customHeight="1" x14ac:dyDescent="0.25">
      <c r="B903" s="449"/>
      <c r="C903" s="449"/>
      <c r="D903" s="449"/>
      <c r="E903" s="449"/>
      <c r="F903" s="449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/>
      <c r="Q903" s="267"/>
      <c r="R903" s="267"/>
      <c r="S903" s="267"/>
      <c r="T903" s="267"/>
      <c r="U903" s="450"/>
      <c r="V903" s="451"/>
      <c r="W903" s="267"/>
      <c r="X903" s="267"/>
      <c r="Y903" s="449"/>
      <c r="Z903" s="452"/>
      <c r="AA903" s="452"/>
      <c r="AB903" s="453"/>
      <c r="AC903" s="449"/>
      <c r="AD903" s="454"/>
      <c r="AE903" s="454"/>
      <c r="AF903" s="454"/>
      <c r="AG903" s="454"/>
      <c r="AH903" s="454"/>
      <c r="AI903" s="454"/>
      <c r="AJ903" s="454"/>
      <c r="AK903" s="454"/>
      <c r="AL903" s="454"/>
      <c r="AM903" s="257"/>
      <c r="AN903" s="267"/>
      <c r="AO903" s="455"/>
      <c r="AP903" s="267"/>
      <c r="AQ903" s="456"/>
      <c r="AR903" s="456"/>
      <c r="AS903" s="457"/>
      <c r="AT903" s="457"/>
      <c r="AU903" s="255"/>
      <c r="AV903" s="257"/>
      <c r="AW903" s="257"/>
      <c r="AX903" s="257"/>
      <c r="AY903" s="257"/>
    </row>
    <row r="904" spans="1:51" s="139" customFormat="1" ht="15" hidden="1" customHeight="1" x14ac:dyDescent="0.25">
      <c r="A904" s="1"/>
      <c r="B904" s="120"/>
      <c r="C904" s="258" t="s">
        <v>281</v>
      </c>
      <c r="D904" s="122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213"/>
      <c r="Q904" s="76"/>
      <c r="R904" s="108"/>
      <c r="S904" s="108"/>
      <c r="T904" s="94"/>
      <c r="U904" s="120"/>
      <c r="V904" s="67"/>
      <c r="W904" s="123"/>
      <c r="X904" s="123"/>
      <c r="Y904" s="125"/>
      <c r="Z904" s="126"/>
      <c r="AA904" s="126"/>
      <c r="AB904" s="127"/>
      <c r="AC904" s="62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125"/>
      <c r="AN904" s="75"/>
      <c r="AO904" s="216"/>
      <c r="AP904" s="75"/>
      <c r="AQ904" s="51"/>
      <c r="AR904" s="259"/>
      <c r="AS904" s="218"/>
      <c r="AT904" s="219"/>
      <c r="AU904" s="220"/>
      <c r="AV904" s="135"/>
      <c r="AW904" s="136"/>
      <c r="AX904" s="137"/>
      <c r="AY904" s="138"/>
    </row>
    <row r="905" spans="1:51" ht="10.9" hidden="1" customHeight="1" x14ac:dyDescent="0.2">
      <c r="B905" s="140">
        <v>1</v>
      </c>
      <c r="C905" s="302" t="s">
        <v>282</v>
      </c>
      <c r="D905" s="235"/>
      <c r="E905" s="236"/>
      <c r="F905" s="236"/>
      <c r="G905" s="236"/>
      <c r="H905" s="236"/>
      <c r="I905" s="236"/>
      <c r="J905" s="306">
        <v>260640</v>
      </c>
      <c r="K905" s="306">
        <v>265629</v>
      </c>
      <c r="L905" s="306">
        <v>270091</v>
      </c>
      <c r="M905" s="306">
        <v>274526</v>
      </c>
      <c r="N905" s="306">
        <v>296333</v>
      </c>
      <c r="O905" s="306">
        <v>303430</v>
      </c>
      <c r="P905" s="307"/>
      <c r="Q905" s="223">
        <f t="shared" ref="Q905:Q918" si="933">MAX(D905:P905)</f>
        <v>303430</v>
      </c>
      <c r="R905" s="147">
        <f>Q905*$R$10</f>
        <v>33377.300000000003</v>
      </c>
      <c r="S905" s="147">
        <f t="shared" ref="S905:S915" si="934">R905/$S$5</f>
        <v>91.444657534246588</v>
      </c>
      <c r="T905" s="148">
        <f>S905*$T$5*$T$10</f>
        <v>20026.38</v>
      </c>
      <c r="U905" s="420"/>
      <c r="V905" s="407"/>
      <c r="W905" s="222"/>
      <c r="X905" s="222"/>
      <c r="Y905" s="408"/>
      <c r="Z905" s="409"/>
      <c r="AA905" s="409"/>
      <c r="AB905" s="410"/>
      <c r="AC905" s="155"/>
      <c r="AD905" s="156"/>
      <c r="AE905" s="156"/>
      <c r="AF905" s="156"/>
      <c r="AG905" s="156"/>
      <c r="AH905" s="156"/>
      <c r="AI905" s="156"/>
      <c r="AJ905" s="156"/>
      <c r="AK905" s="156"/>
      <c r="AL905" s="156"/>
      <c r="AM905" s="157">
        <f t="shared" ref="AM905:AM918" si="935">SUM(AD905:AI905)</f>
        <v>0</v>
      </c>
      <c r="AN905" s="158">
        <f t="shared" ref="AN905:AN918" si="936">$AN$641</f>
        <v>4000</v>
      </c>
      <c r="AO905" s="159">
        <v>0.2</v>
      </c>
      <c r="AP905" s="160">
        <f t="shared" ref="AP905:AP918" si="937">AM905*AN905*$AP$5</f>
        <v>0</v>
      </c>
      <c r="AQ905" s="161">
        <f t="shared" ref="AQ905:AQ918" si="938">AP905*$AQ$5</f>
        <v>0</v>
      </c>
      <c r="AR905" s="162">
        <f t="shared" ref="AR905:AR918" si="939">AQ905*$AR$5</f>
        <v>0</v>
      </c>
      <c r="AS905" s="163"/>
      <c r="AT905" s="164"/>
      <c r="AU905" s="165"/>
      <c r="AV905" s="166"/>
      <c r="AW905" s="167"/>
      <c r="AX905" s="146">
        <f>SUM(AU905:AV905)</f>
        <v>0</v>
      </c>
      <c r="AY905" s="168"/>
    </row>
    <row r="906" spans="1:51" ht="10.9" hidden="1" customHeight="1" x14ac:dyDescent="0.2">
      <c r="B906" s="140">
        <v>2</v>
      </c>
      <c r="C906" s="302" t="s">
        <v>283</v>
      </c>
      <c r="D906" s="235"/>
      <c r="E906" s="236"/>
      <c r="F906" s="236"/>
      <c r="G906" s="236"/>
      <c r="H906" s="236"/>
      <c r="I906" s="236"/>
      <c r="J906" s="306">
        <v>269111</v>
      </c>
      <c r="K906" s="306">
        <v>272000</v>
      </c>
      <c r="L906" s="306">
        <v>276574</v>
      </c>
      <c r="M906" s="306">
        <v>281120</v>
      </c>
      <c r="N906" s="306">
        <v>290142</v>
      </c>
      <c r="O906" s="306">
        <v>296987</v>
      </c>
      <c r="P906" s="307"/>
      <c r="Q906" s="223">
        <f t="shared" si="933"/>
        <v>296987</v>
      </c>
      <c r="R906" s="147">
        <f>Q906*$R$10</f>
        <v>32668.57</v>
      </c>
      <c r="S906" s="147">
        <f t="shared" si="934"/>
        <v>89.502931506849308</v>
      </c>
      <c r="T906" s="148">
        <f>S906*$T$5*$T$10</f>
        <v>19601.141999999996</v>
      </c>
      <c r="U906" s="420"/>
      <c r="V906" s="407"/>
      <c r="W906" s="222"/>
      <c r="X906" s="222"/>
      <c r="Y906" s="408"/>
      <c r="Z906" s="409"/>
      <c r="AA906" s="409"/>
      <c r="AB906" s="410"/>
      <c r="AC906" s="155"/>
      <c r="AD906" s="156"/>
      <c r="AE906" s="156"/>
      <c r="AF906" s="156"/>
      <c r="AG906" s="156"/>
      <c r="AH906" s="156"/>
      <c r="AI906" s="156"/>
      <c r="AJ906" s="156"/>
      <c r="AK906" s="156"/>
      <c r="AL906" s="156"/>
      <c r="AM906" s="157">
        <f t="shared" si="935"/>
        <v>0</v>
      </c>
      <c r="AN906" s="158">
        <f t="shared" si="936"/>
        <v>4000</v>
      </c>
      <c r="AO906" s="159">
        <v>0.2</v>
      </c>
      <c r="AP906" s="160">
        <f t="shared" si="937"/>
        <v>0</v>
      </c>
      <c r="AQ906" s="161">
        <f t="shared" si="938"/>
        <v>0</v>
      </c>
      <c r="AR906" s="162">
        <f t="shared" si="939"/>
        <v>0</v>
      </c>
      <c r="AS906" s="163"/>
      <c r="AT906" s="164"/>
      <c r="AU906" s="165"/>
      <c r="AV906" s="166"/>
      <c r="AW906" s="167"/>
      <c r="AX906" s="146">
        <f t="shared" ref="AX906:AX918" si="940">SUM(AU906:AV906)</f>
        <v>0</v>
      </c>
      <c r="AY906" s="168"/>
    </row>
    <row r="907" spans="1:51" ht="10.9" hidden="1" customHeight="1" x14ac:dyDescent="0.2">
      <c r="B907" s="140">
        <v>3</v>
      </c>
      <c r="C907" s="302" t="s">
        <v>284</v>
      </c>
      <c r="D907" s="235"/>
      <c r="E907" s="236"/>
      <c r="F907" s="236"/>
      <c r="G907" s="236"/>
      <c r="H907" s="236"/>
      <c r="I907" s="236"/>
      <c r="J907" s="306">
        <v>470048</v>
      </c>
      <c r="K907" s="306">
        <v>480010</v>
      </c>
      <c r="L907" s="306">
        <v>489056</v>
      </c>
      <c r="M907" s="306">
        <v>498088</v>
      </c>
      <c r="N907" s="306">
        <v>506839</v>
      </c>
      <c r="O907" s="306">
        <v>516663</v>
      </c>
      <c r="P907" s="307"/>
      <c r="Q907" s="223">
        <f t="shared" si="933"/>
        <v>516663</v>
      </c>
      <c r="R907" s="147">
        <f>Q907*$R$9</f>
        <v>75432.797999999995</v>
      </c>
      <c r="S907" s="147">
        <f t="shared" si="934"/>
        <v>206.6652</v>
      </c>
      <c r="T907" s="148">
        <f>S907*$T$5*$T$9</f>
        <v>52802.958599999991</v>
      </c>
      <c r="U907" s="420"/>
      <c r="V907" s="407"/>
      <c r="W907" s="222"/>
      <c r="X907" s="222"/>
      <c r="Y907" s="408"/>
      <c r="Z907" s="409"/>
      <c r="AA907" s="409"/>
      <c r="AB907" s="410"/>
      <c r="AC907" s="155"/>
      <c r="AD907" s="156"/>
      <c r="AE907" s="156"/>
      <c r="AF907" s="156"/>
      <c r="AG907" s="156"/>
      <c r="AH907" s="156"/>
      <c r="AI907" s="156"/>
      <c r="AJ907" s="156"/>
      <c r="AK907" s="156"/>
      <c r="AL907" s="156"/>
      <c r="AM907" s="157">
        <f t="shared" si="935"/>
        <v>0</v>
      </c>
      <c r="AN907" s="158">
        <f t="shared" si="936"/>
        <v>4000</v>
      </c>
      <c r="AO907" s="159">
        <v>0.2</v>
      </c>
      <c r="AP907" s="160">
        <f t="shared" si="937"/>
        <v>0</v>
      </c>
      <c r="AQ907" s="161">
        <f t="shared" si="938"/>
        <v>0</v>
      </c>
      <c r="AR907" s="162">
        <f t="shared" si="939"/>
        <v>0</v>
      </c>
      <c r="AS907" s="163"/>
      <c r="AT907" s="164"/>
      <c r="AU907" s="165"/>
      <c r="AV907" s="166"/>
      <c r="AW907" s="167"/>
      <c r="AX907" s="146">
        <f t="shared" si="940"/>
        <v>0</v>
      </c>
      <c r="AY907" s="168"/>
    </row>
    <row r="908" spans="1:51" ht="10.9" hidden="1" customHeight="1" x14ac:dyDescent="0.2">
      <c r="B908" s="140">
        <v>4</v>
      </c>
      <c r="C908" s="302" t="s">
        <v>285</v>
      </c>
      <c r="D908" s="235"/>
      <c r="E908" s="236"/>
      <c r="F908" s="236"/>
      <c r="G908" s="236"/>
      <c r="H908" s="236"/>
      <c r="I908" s="236"/>
      <c r="J908" s="306">
        <v>266313</v>
      </c>
      <c r="K908" s="306">
        <v>269448</v>
      </c>
      <c r="L908" s="306">
        <v>272332</v>
      </c>
      <c r="M908" s="306">
        <v>275145</v>
      </c>
      <c r="N908" s="306">
        <v>276147</v>
      </c>
      <c r="O908" s="306">
        <v>278678</v>
      </c>
      <c r="P908" s="307"/>
      <c r="Q908" s="223">
        <f t="shared" si="933"/>
        <v>278678</v>
      </c>
      <c r="R908" s="147">
        <f t="shared" ref="R908:R914" si="941">Q908*$R$10</f>
        <v>30654.58</v>
      </c>
      <c r="S908" s="147">
        <f t="shared" si="934"/>
        <v>83.985150684931511</v>
      </c>
      <c r="T908" s="148">
        <f t="shared" ref="T908:T914" si="942">S908*$T$5*$T$10</f>
        <v>18392.748</v>
      </c>
      <c r="U908" s="420"/>
      <c r="V908" s="407"/>
      <c r="W908" s="222"/>
      <c r="X908" s="222"/>
      <c r="Y908" s="408"/>
      <c r="Z908" s="409"/>
      <c r="AA908" s="409"/>
      <c r="AB908" s="410"/>
      <c r="AC908" s="155"/>
      <c r="AD908" s="156"/>
      <c r="AE908" s="156"/>
      <c r="AF908" s="156"/>
      <c r="AG908" s="156"/>
      <c r="AH908" s="156"/>
      <c r="AI908" s="156"/>
      <c r="AJ908" s="156"/>
      <c r="AK908" s="156"/>
      <c r="AL908" s="156"/>
      <c r="AM908" s="157">
        <f t="shared" si="935"/>
        <v>0</v>
      </c>
      <c r="AN908" s="158">
        <f t="shared" si="936"/>
        <v>4000</v>
      </c>
      <c r="AO908" s="159">
        <v>0.2</v>
      </c>
      <c r="AP908" s="160">
        <f t="shared" si="937"/>
        <v>0</v>
      </c>
      <c r="AQ908" s="161">
        <f t="shared" si="938"/>
        <v>0</v>
      </c>
      <c r="AR908" s="162">
        <f t="shared" si="939"/>
        <v>0</v>
      </c>
      <c r="AS908" s="163"/>
      <c r="AT908" s="164"/>
      <c r="AU908" s="165"/>
      <c r="AV908" s="166"/>
      <c r="AW908" s="167"/>
      <c r="AX908" s="146">
        <f t="shared" si="940"/>
        <v>0</v>
      </c>
      <c r="AY908" s="168"/>
    </row>
    <row r="909" spans="1:51" ht="10.9" hidden="1" customHeight="1" x14ac:dyDescent="0.2">
      <c r="B909" s="140">
        <v>5</v>
      </c>
      <c r="C909" s="302" t="s">
        <v>286</v>
      </c>
      <c r="D909" s="235"/>
      <c r="E909" s="236"/>
      <c r="F909" s="236"/>
      <c r="G909" s="236"/>
      <c r="H909" s="236"/>
      <c r="I909" s="236"/>
      <c r="J909" s="306">
        <v>150587</v>
      </c>
      <c r="K909" s="306">
        <v>152077</v>
      </c>
      <c r="L909" s="306">
        <v>153066</v>
      </c>
      <c r="M909" s="306">
        <v>154005</v>
      </c>
      <c r="N909" s="306">
        <v>167877</v>
      </c>
      <c r="O909" s="306">
        <v>170468</v>
      </c>
      <c r="P909" s="307"/>
      <c r="Q909" s="223">
        <f t="shared" si="933"/>
        <v>170468</v>
      </c>
      <c r="R909" s="147">
        <f t="shared" si="941"/>
        <v>18751.48</v>
      </c>
      <c r="S909" s="147">
        <f t="shared" si="934"/>
        <v>51.373917808219176</v>
      </c>
      <c r="T909" s="148">
        <f t="shared" si="942"/>
        <v>11250.887999999999</v>
      </c>
      <c r="U909" s="420"/>
      <c r="V909" s="407"/>
      <c r="W909" s="222"/>
      <c r="X909" s="222"/>
      <c r="Y909" s="408"/>
      <c r="Z909" s="409"/>
      <c r="AA909" s="409"/>
      <c r="AB909" s="410"/>
      <c r="AC909" s="155"/>
      <c r="AD909" s="156"/>
      <c r="AE909" s="156"/>
      <c r="AF909" s="156"/>
      <c r="AG909" s="156"/>
      <c r="AH909" s="156"/>
      <c r="AI909" s="156"/>
      <c r="AJ909" s="156"/>
      <c r="AK909" s="156"/>
      <c r="AL909" s="156"/>
      <c r="AM909" s="157">
        <f t="shared" si="935"/>
        <v>0</v>
      </c>
      <c r="AN909" s="158">
        <f t="shared" si="936"/>
        <v>4000</v>
      </c>
      <c r="AO909" s="159">
        <v>0.2</v>
      </c>
      <c r="AP909" s="160">
        <f t="shared" si="937"/>
        <v>0</v>
      </c>
      <c r="AQ909" s="161">
        <f t="shared" si="938"/>
        <v>0</v>
      </c>
      <c r="AR909" s="162">
        <f t="shared" si="939"/>
        <v>0</v>
      </c>
      <c r="AS909" s="163"/>
      <c r="AT909" s="164"/>
      <c r="AU909" s="165"/>
      <c r="AV909" s="166"/>
      <c r="AW909" s="167"/>
      <c r="AX909" s="146">
        <f t="shared" si="940"/>
        <v>0</v>
      </c>
      <c r="AY909" s="168"/>
    </row>
    <row r="910" spans="1:51" ht="10.9" hidden="1" customHeight="1" x14ac:dyDescent="0.2">
      <c r="B910" s="140">
        <v>6</v>
      </c>
      <c r="C910" s="302" t="s">
        <v>287</v>
      </c>
      <c r="D910" s="235"/>
      <c r="E910" s="236"/>
      <c r="F910" s="236"/>
      <c r="G910" s="236"/>
      <c r="H910" s="236"/>
      <c r="I910" s="236"/>
      <c r="J910" s="306">
        <v>205765</v>
      </c>
      <c r="K910" s="306">
        <v>207402</v>
      </c>
      <c r="L910" s="306">
        <v>208571</v>
      </c>
      <c r="M910" s="306">
        <v>209669</v>
      </c>
      <c r="N910" s="306">
        <v>212485</v>
      </c>
      <c r="O910" s="306">
        <v>213747</v>
      </c>
      <c r="P910" s="307"/>
      <c r="Q910" s="223">
        <f t="shared" si="933"/>
        <v>213747</v>
      </c>
      <c r="R910" s="147">
        <f t="shared" si="941"/>
        <v>23512.170000000002</v>
      </c>
      <c r="S910" s="147">
        <f t="shared" si="934"/>
        <v>64.416904109589041</v>
      </c>
      <c r="T910" s="148">
        <f t="shared" si="942"/>
        <v>14107.301999999998</v>
      </c>
      <c r="U910" s="420"/>
      <c r="V910" s="407"/>
      <c r="W910" s="222"/>
      <c r="X910" s="222"/>
      <c r="Y910" s="408"/>
      <c r="Z910" s="409"/>
      <c r="AA910" s="409"/>
      <c r="AB910" s="410"/>
      <c r="AC910" s="155"/>
      <c r="AD910" s="156"/>
      <c r="AE910" s="156"/>
      <c r="AF910" s="156"/>
      <c r="AG910" s="156"/>
      <c r="AH910" s="156"/>
      <c r="AI910" s="156"/>
      <c r="AJ910" s="156"/>
      <c r="AK910" s="156"/>
      <c r="AL910" s="156"/>
      <c r="AM910" s="157">
        <f t="shared" si="935"/>
        <v>0</v>
      </c>
      <c r="AN910" s="158">
        <f t="shared" si="936"/>
        <v>4000</v>
      </c>
      <c r="AO910" s="159">
        <v>0.2</v>
      </c>
      <c r="AP910" s="160">
        <f t="shared" si="937"/>
        <v>0</v>
      </c>
      <c r="AQ910" s="161">
        <f t="shared" si="938"/>
        <v>0</v>
      </c>
      <c r="AR910" s="162">
        <f t="shared" si="939"/>
        <v>0</v>
      </c>
      <c r="AS910" s="163"/>
      <c r="AT910" s="164"/>
      <c r="AU910" s="165"/>
      <c r="AV910" s="166"/>
      <c r="AW910" s="167"/>
      <c r="AX910" s="146">
        <f t="shared" si="940"/>
        <v>0</v>
      </c>
      <c r="AY910" s="168"/>
    </row>
    <row r="911" spans="1:51" ht="10.9" hidden="1" customHeight="1" x14ac:dyDescent="0.2">
      <c r="B911" s="140">
        <v>7</v>
      </c>
      <c r="C911" s="302" t="s">
        <v>288</v>
      </c>
      <c r="D911" s="235"/>
      <c r="E911" s="236"/>
      <c r="F911" s="236"/>
      <c r="G911" s="236"/>
      <c r="H911" s="236"/>
      <c r="I911" s="236"/>
      <c r="J911" s="306">
        <v>239650</v>
      </c>
      <c r="K911" s="306">
        <v>242189</v>
      </c>
      <c r="L911" s="306">
        <v>244192</v>
      </c>
      <c r="M911" s="306">
        <v>246120</v>
      </c>
      <c r="N911" s="306">
        <v>243460</v>
      </c>
      <c r="O911" s="306">
        <v>244889</v>
      </c>
      <c r="P911" s="307"/>
      <c r="Q911" s="223">
        <f t="shared" si="933"/>
        <v>246120</v>
      </c>
      <c r="R911" s="147">
        <f t="shared" si="941"/>
        <v>27073.200000000001</v>
      </c>
      <c r="S911" s="147">
        <f t="shared" si="934"/>
        <v>74.173150684931514</v>
      </c>
      <c r="T911" s="148">
        <f t="shared" si="942"/>
        <v>16243.920000000002</v>
      </c>
      <c r="U911" s="420"/>
      <c r="V911" s="407"/>
      <c r="W911" s="222"/>
      <c r="X911" s="222"/>
      <c r="Y911" s="408"/>
      <c r="Z911" s="409"/>
      <c r="AA911" s="409"/>
      <c r="AB911" s="410"/>
      <c r="AC911" s="155"/>
      <c r="AD911" s="156"/>
      <c r="AE911" s="156"/>
      <c r="AF911" s="156"/>
      <c r="AG911" s="156"/>
      <c r="AH911" s="156"/>
      <c r="AI911" s="156"/>
      <c r="AJ911" s="156"/>
      <c r="AK911" s="156"/>
      <c r="AL911" s="156"/>
      <c r="AM911" s="157">
        <f t="shared" si="935"/>
        <v>0</v>
      </c>
      <c r="AN911" s="158">
        <f t="shared" si="936"/>
        <v>4000</v>
      </c>
      <c r="AO911" s="159">
        <v>0.2</v>
      </c>
      <c r="AP911" s="160">
        <f t="shared" si="937"/>
        <v>0</v>
      </c>
      <c r="AQ911" s="161">
        <f t="shared" si="938"/>
        <v>0</v>
      </c>
      <c r="AR911" s="162">
        <f t="shared" si="939"/>
        <v>0</v>
      </c>
      <c r="AS911" s="163"/>
      <c r="AT911" s="164"/>
      <c r="AU911" s="165"/>
      <c r="AV911" s="166"/>
      <c r="AW911" s="167"/>
      <c r="AX911" s="146">
        <f t="shared" si="940"/>
        <v>0</v>
      </c>
      <c r="AY911" s="168"/>
    </row>
    <row r="912" spans="1:51" ht="10.9" hidden="1" customHeight="1" x14ac:dyDescent="0.2">
      <c r="B912" s="140">
        <v>8</v>
      </c>
      <c r="C912" s="302" t="s">
        <v>289</v>
      </c>
      <c r="D912" s="235"/>
      <c r="E912" s="236"/>
      <c r="F912" s="236"/>
      <c r="G912" s="236"/>
      <c r="H912" s="236"/>
      <c r="I912" s="236"/>
      <c r="J912" s="306">
        <v>211731</v>
      </c>
      <c r="K912" s="306">
        <v>214191</v>
      </c>
      <c r="L912" s="306">
        <v>216181</v>
      </c>
      <c r="M912" s="306">
        <v>218109</v>
      </c>
      <c r="N912" s="306">
        <v>209246</v>
      </c>
      <c r="O912" s="306">
        <v>209979</v>
      </c>
      <c r="P912" s="307"/>
      <c r="Q912" s="223">
        <f t="shared" si="933"/>
        <v>218109</v>
      </c>
      <c r="R912" s="147">
        <f t="shared" si="941"/>
        <v>23991.99</v>
      </c>
      <c r="S912" s="147">
        <f t="shared" si="934"/>
        <v>65.731479452054799</v>
      </c>
      <c r="T912" s="148">
        <f t="shared" si="942"/>
        <v>14395.194000000001</v>
      </c>
      <c r="U912" s="420"/>
      <c r="V912" s="407"/>
      <c r="W912" s="222"/>
      <c r="X912" s="222"/>
      <c r="Y912" s="408"/>
      <c r="Z912" s="409"/>
      <c r="AA912" s="409"/>
      <c r="AB912" s="410"/>
      <c r="AC912" s="155"/>
      <c r="AD912" s="156"/>
      <c r="AE912" s="156"/>
      <c r="AF912" s="156"/>
      <c r="AG912" s="156"/>
      <c r="AH912" s="156"/>
      <c r="AI912" s="156"/>
      <c r="AJ912" s="156"/>
      <c r="AK912" s="156"/>
      <c r="AL912" s="156"/>
      <c r="AM912" s="157">
        <f t="shared" si="935"/>
        <v>0</v>
      </c>
      <c r="AN912" s="158">
        <f t="shared" si="936"/>
        <v>4000</v>
      </c>
      <c r="AO912" s="159">
        <v>0.2</v>
      </c>
      <c r="AP912" s="160">
        <f t="shared" si="937"/>
        <v>0</v>
      </c>
      <c r="AQ912" s="161">
        <f t="shared" si="938"/>
        <v>0</v>
      </c>
      <c r="AR912" s="162">
        <f t="shared" si="939"/>
        <v>0</v>
      </c>
      <c r="AS912" s="163"/>
      <c r="AT912" s="164"/>
      <c r="AU912" s="165"/>
      <c r="AV912" s="166"/>
      <c r="AW912" s="167"/>
      <c r="AX912" s="146">
        <f t="shared" si="940"/>
        <v>0</v>
      </c>
      <c r="AY912" s="168"/>
    </row>
    <row r="913" spans="1:51" ht="10.9" hidden="1" customHeight="1" x14ac:dyDescent="0.2">
      <c r="B913" s="140">
        <v>9</v>
      </c>
      <c r="C913" s="302" t="s">
        <v>290</v>
      </c>
      <c r="D913" s="235"/>
      <c r="E913" s="236"/>
      <c r="F913" s="236"/>
      <c r="G913" s="236"/>
      <c r="H913" s="236"/>
      <c r="I913" s="236"/>
      <c r="J913" s="306">
        <v>189009</v>
      </c>
      <c r="K913" s="306">
        <v>191000</v>
      </c>
      <c r="L913" s="306">
        <v>193082</v>
      </c>
      <c r="M913" s="306">
        <v>195114</v>
      </c>
      <c r="N913" s="306">
        <v>218620</v>
      </c>
      <c r="O913" s="306">
        <v>223813</v>
      </c>
      <c r="P913" s="307"/>
      <c r="Q913" s="223">
        <f t="shared" si="933"/>
        <v>223813</v>
      </c>
      <c r="R913" s="147">
        <f t="shared" si="941"/>
        <v>24619.43</v>
      </c>
      <c r="S913" s="147">
        <f t="shared" si="934"/>
        <v>67.450493150684935</v>
      </c>
      <c r="T913" s="148">
        <f t="shared" si="942"/>
        <v>14771.657999999999</v>
      </c>
      <c r="U913" s="420"/>
      <c r="V913" s="407"/>
      <c r="W913" s="222"/>
      <c r="X913" s="222"/>
      <c r="Y913" s="408"/>
      <c r="Z913" s="409"/>
      <c r="AA913" s="409"/>
      <c r="AB913" s="410"/>
      <c r="AC913" s="155"/>
      <c r="AD913" s="156"/>
      <c r="AE913" s="156"/>
      <c r="AF913" s="156"/>
      <c r="AG913" s="156"/>
      <c r="AH913" s="156"/>
      <c r="AI913" s="156"/>
      <c r="AJ913" s="156"/>
      <c r="AK913" s="156"/>
      <c r="AL913" s="156"/>
      <c r="AM913" s="157">
        <f t="shared" si="935"/>
        <v>0</v>
      </c>
      <c r="AN913" s="158">
        <f t="shared" si="936"/>
        <v>4000</v>
      </c>
      <c r="AO913" s="159">
        <v>0.2</v>
      </c>
      <c r="AP913" s="160">
        <f t="shared" si="937"/>
        <v>0</v>
      </c>
      <c r="AQ913" s="161">
        <f t="shared" si="938"/>
        <v>0</v>
      </c>
      <c r="AR913" s="162">
        <f t="shared" si="939"/>
        <v>0</v>
      </c>
      <c r="AS913" s="163"/>
      <c r="AT913" s="164"/>
      <c r="AU913" s="165"/>
      <c r="AV913" s="166"/>
      <c r="AW913" s="167"/>
      <c r="AX913" s="146">
        <f t="shared" si="940"/>
        <v>0</v>
      </c>
      <c r="AY913" s="168"/>
    </row>
    <row r="914" spans="1:51" ht="10.9" hidden="1" customHeight="1" x14ac:dyDescent="0.2">
      <c r="B914" s="140">
        <v>10</v>
      </c>
      <c r="C914" s="302" t="s">
        <v>291</v>
      </c>
      <c r="D914" s="235"/>
      <c r="E914" s="236"/>
      <c r="F914" s="236"/>
      <c r="G914" s="236"/>
      <c r="H914" s="236"/>
      <c r="I914" s="236"/>
      <c r="J914" s="306">
        <v>216008</v>
      </c>
      <c r="K914" s="306">
        <v>221304</v>
      </c>
      <c r="L914" s="306">
        <v>226208</v>
      </c>
      <c r="M914" s="306">
        <v>231135</v>
      </c>
      <c r="N914" s="306">
        <v>267929</v>
      </c>
      <c r="O914" s="306">
        <v>277924</v>
      </c>
      <c r="P914" s="307"/>
      <c r="Q914" s="223">
        <f t="shared" si="933"/>
        <v>277924</v>
      </c>
      <c r="R914" s="147">
        <f t="shared" si="941"/>
        <v>30571.64</v>
      </c>
      <c r="S914" s="147">
        <f t="shared" si="934"/>
        <v>83.757917808219176</v>
      </c>
      <c r="T914" s="148">
        <f t="shared" si="942"/>
        <v>18342.984</v>
      </c>
      <c r="U914" s="420"/>
      <c r="V914" s="407"/>
      <c r="W914" s="222"/>
      <c r="X914" s="222"/>
      <c r="Y914" s="408"/>
      <c r="Z914" s="409"/>
      <c r="AA914" s="409"/>
      <c r="AB914" s="410"/>
      <c r="AC914" s="155"/>
      <c r="AD914" s="156"/>
      <c r="AE914" s="156"/>
      <c r="AF914" s="156"/>
      <c r="AG914" s="156"/>
      <c r="AH914" s="156"/>
      <c r="AI914" s="156"/>
      <c r="AJ914" s="156"/>
      <c r="AK914" s="156"/>
      <c r="AL914" s="156"/>
      <c r="AM914" s="157">
        <f t="shared" si="935"/>
        <v>0</v>
      </c>
      <c r="AN914" s="158">
        <f t="shared" si="936"/>
        <v>4000</v>
      </c>
      <c r="AO914" s="159">
        <v>0.2</v>
      </c>
      <c r="AP914" s="160">
        <f t="shared" si="937"/>
        <v>0</v>
      </c>
      <c r="AQ914" s="161">
        <f t="shared" si="938"/>
        <v>0</v>
      </c>
      <c r="AR914" s="162">
        <f t="shared" si="939"/>
        <v>0</v>
      </c>
      <c r="AS914" s="163"/>
      <c r="AT914" s="164"/>
      <c r="AU914" s="165"/>
      <c r="AV914" s="166"/>
      <c r="AW914" s="167"/>
      <c r="AX914" s="146">
        <f t="shared" si="940"/>
        <v>0</v>
      </c>
      <c r="AY914" s="168"/>
    </row>
    <row r="915" spans="1:51" ht="10.9" hidden="1" customHeight="1" x14ac:dyDescent="0.2">
      <c r="B915" s="140">
        <v>11</v>
      </c>
      <c r="C915" s="446" t="s">
        <v>292</v>
      </c>
      <c r="D915" s="235"/>
      <c r="E915" s="236"/>
      <c r="F915" s="236"/>
      <c r="G915" s="236"/>
      <c r="H915" s="236"/>
      <c r="I915" s="236"/>
      <c r="J915" s="306">
        <v>602725</v>
      </c>
      <c r="K915" s="306">
        <v>615570</v>
      </c>
      <c r="L915" s="306">
        <v>627245</v>
      </c>
      <c r="M915" s="306">
        <v>638902</v>
      </c>
      <c r="N915" s="306">
        <v>625481</v>
      </c>
      <c r="O915" s="306">
        <v>634990</v>
      </c>
      <c r="P915" s="307"/>
      <c r="Q915" s="304">
        <f t="shared" si="933"/>
        <v>638902</v>
      </c>
      <c r="R915" s="147">
        <f>Q915*$R$9</f>
        <v>93279.691999999995</v>
      </c>
      <c r="S915" s="147">
        <f t="shared" si="934"/>
        <v>255.5608</v>
      </c>
      <c r="T915" s="148">
        <f>S915*$T$5*$T$9</f>
        <v>65295.78439999999</v>
      </c>
      <c r="U915" s="420"/>
      <c r="V915" s="407"/>
      <c r="W915" s="222"/>
      <c r="X915" s="222"/>
      <c r="Y915" s="408"/>
      <c r="Z915" s="409"/>
      <c r="AA915" s="409"/>
      <c r="AB915" s="410"/>
      <c r="AC915" s="155"/>
      <c r="AD915" s="156"/>
      <c r="AE915" s="156"/>
      <c r="AF915" s="156"/>
      <c r="AG915" s="156"/>
      <c r="AH915" s="156"/>
      <c r="AI915" s="156"/>
      <c r="AJ915" s="156"/>
      <c r="AK915" s="156"/>
      <c r="AL915" s="156"/>
      <c r="AM915" s="157">
        <f t="shared" si="935"/>
        <v>0</v>
      </c>
      <c r="AN915" s="158">
        <f t="shared" si="936"/>
        <v>4000</v>
      </c>
      <c r="AO915" s="159">
        <v>0.2</v>
      </c>
      <c r="AP915" s="160">
        <f t="shared" si="937"/>
        <v>0</v>
      </c>
      <c r="AQ915" s="161">
        <f t="shared" si="938"/>
        <v>0</v>
      </c>
      <c r="AR915" s="162">
        <f t="shared" si="939"/>
        <v>0</v>
      </c>
      <c r="AS915" s="163"/>
      <c r="AT915" s="164"/>
      <c r="AU915" s="165"/>
      <c r="AV915" s="166"/>
      <c r="AW915" s="167"/>
      <c r="AX915" s="146">
        <f t="shared" si="940"/>
        <v>0</v>
      </c>
      <c r="AY915" s="168"/>
    </row>
    <row r="916" spans="1:51" ht="10.9" hidden="1" customHeight="1" x14ac:dyDescent="0.2">
      <c r="B916" s="140"/>
      <c r="C916" s="302"/>
      <c r="D916" s="235"/>
      <c r="E916" s="236"/>
      <c r="F916" s="236"/>
      <c r="G916" s="236"/>
      <c r="H916" s="236"/>
      <c r="I916" s="236"/>
      <c r="J916" s="306"/>
      <c r="K916" s="306"/>
      <c r="L916" s="306"/>
      <c r="M916" s="306"/>
      <c r="N916" s="306"/>
      <c r="O916" s="306"/>
      <c r="P916" s="307"/>
      <c r="Q916" s="223"/>
      <c r="R916" s="167"/>
      <c r="S916" s="147"/>
      <c r="T916" s="146"/>
      <c r="U916" s="420" t="s">
        <v>678</v>
      </c>
      <c r="V916" s="407">
        <v>39.5</v>
      </c>
      <c r="W916" s="222">
        <f>(200)*365</f>
        <v>73000</v>
      </c>
      <c r="X916" s="222"/>
      <c r="Y916" s="408"/>
      <c r="Z916" s="409"/>
      <c r="AA916" s="409"/>
      <c r="AB916" s="410"/>
      <c r="AC916" s="411">
        <f>W916*$AC$5</f>
        <v>42340</v>
      </c>
      <c r="AD916" s="412">
        <f>W916*$AD$5</f>
        <v>9490</v>
      </c>
      <c r="AE916" s="412">
        <f>W916*$AE$5</f>
        <v>6405.75</v>
      </c>
      <c r="AF916" s="412">
        <f>W916*$AF$5</f>
        <v>2920</v>
      </c>
      <c r="AG916" s="412">
        <f>W916*$AG$5</f>
        <v>1460</v>
      </c>
      <c r="AH916" s="412">
        <f>W916*$AH$5</f>
        <v>1460</v>
      </c>
      <c r="AI916" s="412">
        <f>W916*$AI$5</f>
        <v>730</v>
      </c>
      <c r="AJ916" s="412">
        <f>W916*$AJ$5</f>
        <v>1460</v>
      </c>
      <c r="AK916" s="412">
        <f>W916*$AK$5</f>
        <v>1460</v>
      </c>
      <c r="AL916" s="412">
        <f>W916*$AL$5</f>
        <v>5110.0000000000009</v>
      </c>
      <c r="AM916" s="413">
        <f>SUM(AD916:AI916)</f>
        <v>22465.75</v>
      </c>
      <c r="AN916" s="158">
        <f t="shared" si="936"/>
        <v>4000</v>
      </c>
      <c r="AO916" s="159">
        <v>0.2</v>
      </c>
      <c r="AP916" s="160">
        <f t="shared" si="937"/>
        <v>376238408.39999998</v>
      </c>
      <c r="AQ916" s="161">
        <f t="shared" si="938"/>
        <v>104510.67736085351</v>
      </c>
      <c r="AR916" s="162">
        <f t="shared" si="939"/>
        <v>20902.135472170703</v>
      </c>
      <c r="AS916" s="163"/>
      <c r="AT916" s="233"/>
      <c r="AU916" s="187">
        <v>0.5</v>
      </c>
      <c r="AV916" s="414">
        <f>AR916/$AV$5</f>
        <v>2.9826106552754998</v>
      </c>
      <c r="AW916" s="415"/>
      <c r="AX916" s="146">
        <f t="shared" si="940"/>
        <v>3.4826106552754998</v>
      </c>
      <c r="AY916" s="168"/>
    </row>
    <row r="917" spans="1:51" ht="10.9" hidden="1" customHeight="1" x14ac:dyDescent="0.2">
      <c r="B917" s="140">
        <v>12</v>
      </c>
      <c r="C917" s="302" t="s">
        <v>293</v>
      </c>
      <c r="D917" s="235"/>
      <c r="E917" s="236"/>
      <c r="F917" s="236"/>
      <c r="G917" s="236"/>
      <c r="H917" s="236"/>
      <c r="I917" s="236"/>
      <c r="J917" s="306">
        <v>163175</v>
      </c>
      <c r="K917" s="306">
        <v>164000</v>
      </c>
      <c r="L917" s="306">
        <v>167737</v>
      </c>
      <c r="M917" s="306">
        <v>171496</v>
      </c>
      <c r="N917" s="306">
        <v>199627</v>
      </c>
      <c r="O917" s="306">
        <v>209547</v>
      </c>
      <c r="P917" s="307"/>
      <c r="Q917" s="223">
        <f t="shared" si="933"/>
        <v>209547</v>
      </c>
      <c r="R917" s="147">
        <f>Q917*$R$10</f>
        <v>23050.170000000002</v>
      </c>
      <c r="S917" s="147">
        <f>R917/$S$5</f>
        <v>63.151150684931515</v>
      </c>
      <c r="T917" s="148">
        <f>S917*$T$5*$T$10</f>
        <v>13830.102000000001</v>
      </c>
      <c r="U917" s="420"/>
      <c r="V917" s="407"/>
      <c r="W917" s="222"/>
      <c r="X917" s="222"/>
      <c r="Y917" s="408"/>
      <c r="Z917" s="409"/>
      <c r="AA917" s="409"/>
      <c r="AB917" s="410"/>
      <c r="AC917" s="155"/>
      <c r="AD917" s="156"/>
      <c r="AE917" s="156"/>
      <c r="AF917" s="156"/>
      <c r="AG917" s="156"/>
      <c r="AH917" s="156"/>
      <c r="AI917" s="156"/>
      <c r="AJ917" s="156"/>
      <c r="AK917" s="156"/>
      <c r="AL917" s="156"/>
      <c r="AM917" s="157">
        <f t="shared" si="935"/>
        <v>0</v>
      </c>
      <c r="AN917" s="158">
        <f t="shared" si="936"/>
        <v>4000</v>
      </c>
      <c r="AO917" s="159">
        <v>0.2</v>
      </c>
      <c r="AP917" s="160">
        <f t="shared" si="937"/>
        <v>0</v>
      </c>
      <c r="AQ917" s="161">
        <f t="shared" si="938"/>
        <v>0</v>
      </c>
      <c r="AR917" s="162">
        <f t="shared" si="939"/>
        <v>0</v>
      </c>
      <c r="AS917" s="163"/>
      <c r="AT917" s="164"/>
      <c r="AU917" s="165"/>
      <c r="AV917" s="166"/>
      <c r="AW917" s="167"/>
      <c r="AX917" s="146">
        <f t="shared" si="940"/>
        <v>0</v>
      </c>
      <c r="AY917" s="168"/>
    </row>
    <row r="918" spans="1:51" ht="10.9" hidden="1" customHeight="1" x14ac:dyDescent="0.2">
      <c r="B918" s="140">
        <v>13</v>
      </c>
      <c r="C918" s="305" t="s">
        <v>294</v>
      </c>
      <c r="D918" s="235"/>
      <c r="E918" s="236"/>
      <c r="F918" s="236"/>
      <c r="G918" s="236"/>
      <c r="H918" s="236"/>
      <c r="I918" s="236"/>
      <c r="J918" s="306">
        <v>101022</v>
      </c>
      <c r="K918" s="306">
        <v>101860</v>
      </c>
      <c r="L918" s="306">
        <v>102296</v>
      </c>
      <c r="M918" s="306">
        <v>102696</v>
      </c>
      <c r="N918" s="306">
        <v>112430</v>
      </c>
      <c r="O918" s="306">
        <v>114009</v>
      </c>
      <c r="P918" s="307"/>
      <c r="Q918" s="223">
        <f t="shared" si="933"/>
        <v>114009</v>
      </c>
      <c r="R918" s="147">
        <f>Q918*$R$10</f>
        <v>12540.99</v>
      </c>
      <c r="S918" s="147">
        <f>R918/$S$5</f>
        <v>34.358876712328765</v>
      </c>
      <c r="T918" s="148">
        <f>S918*$T$5*$T$10</f>
        <v>7524.5939999999991</v>
      </c>
      <c r="U918" s="420"/>
      <c r="V918" s="407"/>
      <c r="W918" s="222"/>
      <c r="X918" s="222"/>
      <c r="Y918" s="408"/>
      <c r="Z918" s="409"/>
      <c r="AA918" s="409"/>
      <c r="AB918" s="410"/>
      <c r="AC918" s="155"/>
      <c r="AD918" s="156"/>
      <c r="AE918" s="156"/>
      <c r="AF918" s="156"/>
      <c r="AG918" s="156"/>
      <c r="AH918" s="156"/>
      <c r="AI918" s="156"/>
      <c r="AJ918" s="156"/>
      <c r="AK918" s="156"/>
      <c r="AL918" s="156"/>
      <c r="AM918" s="157">
        <f t="shared" si="935"/>
        <v>0</v>
      </c>
      <c r="AN918" s="158">
        <f t="shared" si="936"/>
        <v>4000</v>
      </c>
      <c r="AO918" s="159">
        <v>0.2</v>
      </c>
      <c r="AP918" s="160">
        <f t="shared" si="937"/>
        <v>0</v>
      </c>
      <c r="AQ918" s="161">
        <f t="shared" si="938"/>
        <v>0</v>
      </c>
      <c r="AR918" s="162">
        <f t="shared" si="939"/>
        <v>0</v>
      </c>
      <c r="AS918" s="163"/>
      <c r="AT918" s="164"/>
      <c r="AU918" s="165"/>
      <c r="AV918" s="166"/>
      <c r="AW918" s="167"/>
      <c r="AX918" s="146">
        <f t="shared" si="940"/>
        <v>0</v>
      </c>
      <c r="AY918" s="168"/>
    </row>
    <row r="919" spans="1:51" s="263" customFormat="1" ht="18.399999999999999" hidden="1" customHeight="1" x14ac:dyDescent="0.25">
      <c r="A919" s="173"/>
      <c r="B919" s="308"/>
      <c r="C919" s="258" t="s">
        <v>295</v>
      </c>
      <c r="D919" s="240">
        <f>SUM(D905:D918)</f>
        <v>0</v>
      </c>
      <c r="E919" s="240">
        <f t="shared" ref="E919:U919" si="943">SUM(E905:E918)</f>
        <v>0</v>
      </c>
      <c r="F919" s="240">
        <f t="shared" si="943"/>
        <v>0</v>
      </c>
      <c r="G919" s="240">
        <f t="shared" si="943"/>
        <v>0</v>
      </c>
      <c r="H919" s="240">
        <f t="shared" si="943"/>
        <v>0</v>
      </c>
      <c r="I919" s="240">
        <f t="shared" si="943"/>
        <v>0</v>
      </c>
      <c r="J919" s="240">
        <f t="shared" si="943"/>
        <v>3345784</v>
      </c>
      <c r="K919" s="240">
        <f t="shared" si="943"/>
        <v>3396680</v>
      </c>
      <c r="L919" s="240">
        <f t="shared" si="943"/>
        <v>3446631</v>
      </c>
      <c r="M919" s="240">
        <f t="shared" si="943"/>
        <v>3496125</v>
      </c>
      <c r="N919" s="240">
        <f t="shared" si="943"/>
        <v>3626616</v>
      </c>
      <c r="O919" s="240">
        <f t="shared" si="943"/>
        <v>3695124</v>
      </c>
      <c r="P919" s="240">
        <f t="shared" si="943"/>
        <v>0</v>
      </c>
      <c r="Q919" s="240">
        <f t="shared" si="943"/>
        <v>3708397</v>
      </c>
      <c r="R919" s="240">
        <f t="shared" si="943"/>
        <v>449524.01</v>
      </c>
      <c r="S919" s="240">
        <f t="shared" si="943"/>
        <v>1231.5726301369864</v>
      </c>
      <c r="T919" s="240">
        <f t="shared" si="943"/>
        <v>286585.65499999997</v>
      </c>
      <c r="U919" s="424">
        <f t="shared" si="943"/>
        <v>0</v>
      </c>
      <c r="V919" s="425"/>
      <c r="W919" s="240">
        <f>SUM(W905:W918)</f>
        <v>73000</v>
      </c>
      <c r="X919" s="240">
        <f>SUM(X905:X918)</f>
        <v>0</v>
      </c>
      <c r="Y919" s="240">
        <f>SUM(Y905:Y918)</f>
        <v>0</v>
      </c>
      <c r="Z919" s="424"/>
      <c r="AA919" s="424"/>
      <c r="AB919" s="426"/>
      <c r="AC919" s="240">
        <f t="shared" ref="AC919:AM919" si="944">SUM(AC905:AC918)</f>
        <v>42340</v>
      </c>
      <c r="AD919" s="244">
        <f t="shared" si="944"/>
        <v>9490</v>
      </c>
      <c r="AE919" s="244">
        <f t="shared" si="944"/>
        <v>6405.75</v>
      </c>
      <c r="AF919" s="244">
        <f t="shared" si="944"/>
        <v>2920</v>
      </c>
      <c r="AG919" s="244">
        <f t="shared" si="944"/>
        <v>1460</v>
      </c>
      <c r="AH919" s="244">
        <f t="shared" si="944"/>
        <v>1460</v>
      </c>
      <c r="AI919" s="244">
        <f t="shared" si="944"/>
        <v>730</v>
      </c>
      <c r="AJ919" s="244">
        <f t="shared" si="944"/>
        <v>1460</v>
      </c>
      <c r="AK919" s="244">
        <f t="shared" si="944"/>
        <v>1460</v>
      </c>
      <c r="AL919" s="244">
        <f t="shared" si="944"/>
        <v>5110.0000000000009</v>
      </c>
      <c r="AM919" s="245">
        <f t="shared" si="944"/>
        <v>22465.75</v>
      </c>
      <c r="AN919" s="261"/>
      <c r="AO919" s="262"/>
      <c r="AP919" s="184">
        <f>SUM(AP905:AP918)</f>
        <v>376238408.39999998</v>
      </c>
      <c r="AQ919" s="184">
        <f t="shared" ref="AQ919:AX919" si="945">SUM(AQ905:AQ918)</f>
        <v>104510.67736085351</v>
      </c>
      <c r="AR919" s="184">
        <f t="shared" si="945"/>
        <v>20902.135472170703</v>
      </c>
      <c r="AS919" s="185"/>
      <c r="AT919" s="186"/>
      <c r="AU919" s="435">
        <v>0.5</v>
      </c>
      <c r="AV919" s="246">
        <f t="shared" si="945"/>
        <v>2.9826106552754998</v>
      </c>
      <c r="AW919" s="246">
        <f t="shared" si="945"/>
        <v>0</v>
      </c>
      <c r="AX919" s="185">
        <f t="shared" si="945"/>
        <v>3.4826106552754998</v>
      </c>
      <c r="AY919" s="189"/>
    </row>
    <row r="920" spans="1:51" s="1" customFormat="1" ht="10.9" hidden="1" customHeight="1" x14ac:dyDescent="0.25">
      <c r="B920" s="458"/>
      <c r="C920" s="458"/>
      <c r="D920" s="458"/>
      <c r="E920" s="458"/>
      <c r="F920" s="458"/>
      <c r="G920" s="458"/>
      <c r="H920" s="458"/>
      <c r="I920" s="458"/>
      <c r="J920" s="458"/>
      <c r="K920" s="458"/>
      <c r="L920" s="458"/>
      <c r="M920" s="458"/>
      <c r="N920" s="458"/>
      <c r="O920" s="458"/>
      <c r="P920" s="458"/>
      <c r="Q920" s="459"/>
      <c r="R920" s="459"/>
      <c r="S920" s="459"/>
      <c r="T920" s="459"/>
      <c r="U920" s="460"/>
      <c r="V920" s="461"/>
      <c r="W920" s="459"/>
      <c r="X920" s="459"/>
      <c r="Y920" s="458"/>
      <c r="Z920" s="462"/>
      <c r="AA920" s="462"/>
      <c r="AB920" s="463"/>
      <c r="AC920" s="458"/>
      <c r="AD920" s="464"/>
      <c r="AE920" s="464"/>
      <c r="AF920" s="464"/>
      <c r="AG920" s="464"/>
      <c r="AH920" s="464"/>
      <c r="AI920" s="464"/>
      <c r="AJ920" s="464"/>
      <c r="AK920" s="464"/>
      <c r="AL920" s="464"/>
      <c r="AM920" s="465"/>
      <c r="AN920" s="459"/>
      <c r="AO920" s="466"/>
      <c r="AP920" s="459"/>
      <c r="AQ920" s="467"/>
      <c r="AR920" s="467"/>
      <c r="AS920" s="468"/>
      <c r="AT920" s="468"/>
      <c r="AU920" s="469"/>
      <c r="AV920" s="465"/>
      <c r="AW920" s="465"/>
      <c r="AX920" s="465"/>
      <c r="AY920" s="465"/>
    </row>
    <row r="921" spans="1:51" s="351" customFormat="1" ht="20.85" hidden="1" customHeight="1" x14ac:dyDescent="0.25">
      <c r="A921" s="346"/>
      <c r="B921" s="470"/>
      <c r="C921" s="439" t="s">
        <v>296</v>
      </c>
      <c r="D921" s="440"/>
      <c r="E921" s="441"/>
      <c r="F921" s="441"/>
      <c r="G921" s="441"/>
      <c r="H921" s="441"/>
      <c r="I921" s="441"/>
      <c r="J921" s="441"/>
      <c r="K921" s="441"/>
      <c r="L921" s="441"/>
      <c r="M921" s="441"/>
      <c r="N921" s="441"/>
      <c r="O921" s="441"/>
      <c r="P921" s="442"/>
      <c r="Q921" s="443">
        <f>Q867+Q885+Q902+Q919</f>
        <v>13163336</v>
      </c>
      <c r="R921" s="443">
        <f>R867+R885+R902+R919</f>
        <v>3603313.9720000001</v>
      </c>
      <c r="S921" s="443">
        <f>S867+S885+S902+S919</f>
        <v>2248220.7834849316</v>
      </c>
      <c r="T921" s="443">
        <f>T867+T885+T902+T919</f>
        <v>3131691.2043999997</v>
      </c>
      <c r="U921" s="443">
        <f t="shared" ref="U921:AX921" si="946">U867+U885+U902+U919</f>
        <v>0</v>
      </c>
      <c r="V921" s="443">
        <f t="shared" si="946"/>
        <v>0</v>
      </c>
      <c r="W921" s="443">
        <f t="shared" si="946"/>
        <v>374581.25</v>
      </c>
      <c r="X921" s="443">
        <f t="shared" si="946"/>
        <v>0</v>
      </c>
      <c r="Y921" s="443">
        <f t="shared" si="946"/>
        <v>0</v>
      </c>
      <c r="Z921" s="443">
        <f t="shared" si="946"/>
        <v>0</v>
      </c>
      <c r="AA921" s="443">
        <f t="shared" si="946"/>
        <v>0</v>
      </c>
      <c r="AB921" s="443">
        <f t="shared" si="946"/>
        <v>0</v>
      </c>
      <c r="AC921" s="443">
        <f t="shared" si="946"/>
        <v>243190.375</v>
      </c>
      <c r="AD921" s="443">
        <f t="shared" si="946"/>
        <v>54508.1875</v>
      </c>
      <c r="AE921" s="443">
        <f t="shared" si="946"/>
        <v>36793.026562499996</v>
      </c>
      <c r="AF921" s="443">
        <f t="shared" si="946"/>
        <v>16771.75</v>
      </c>
      <c r="AG921" s="443">
        <f t="shared" si="946"/>
        <v>8385.875</v>
      </c>
      <c r="AH921" s="443">
        <f t="shared" si="946"/>
        <v>8385.875</v>
      </c>
      <c r="AI921" s="443">
        <f t="shared" si="946"/>
        <v>4192.9375</v>
      </c>
      <c r="AJ921" s="443">
        <f t="shared" si="946"/>
        <v>8385.875</v>
      </c>
      <c r="AK921" s="443">
        <f t="shared" si="946"/>
        <v>8385.875</v>
      </c>
      <c r="AL921" s="443">
        <f t="shared" si="946"/>
        <v>29350.5625</v>
      </c>
      <c r="AM921" s="443">
        <f t="shared" si="946"/>
        <v>129037.6515625</v>
      </c>
      <c r="AN921" s="443">
        <f t="shared" si="946"/>
        <v>0</v>
      </c>
      <c r="AO921" s="443">
        <f t="shared" si="946"/>
        <v>0</v>
      </c>
      <c r="AP921" s="443">
        <f t="shared" si="946"/>
        <v>2161019358.2474999</v>
      </c>
      <c r="AQ921" s="443">
        <f t="shared" si="946"/>
        <v>600283.20309140242</v>
      </c>
      <c r="AR921" s="443">
        <f t="shared" si="946"/>
        <v>120056.64061828049</v>
      </c>
      <c r="AS921" s="443">
        <f t="shared" si="946"/>
        <v>0</v>
      </c>
      <c r="AT921" s="443">
        <f t="shared" si="946"/>
        <v>0</v>
      </c>
      <c r="AU921" s="443">
        <f t="shared" si="946"/>
        <v>2</v>
      </c>
      <c r="AV921" s="443">
        <f t="shared" si="946"/>
        <v>17.131369951238653</v>
      </c>
      <c r="AW921" s="443">
        <f t="shared" si="946"/>
        <v>9.2572778213113338</v>
      </c>
      <c r="AX921" s="443">
        <f t="shared" si="946"/>
        <v>19.131369951238653</v>
      </c>
      <c r="AY921" s="444"/>
    </row>
    <row r="922" spans="1:51" s="139" customFormat="1" ht="10.9" hidden="1" customHeight="1" x14ac:dyDescent="0.25">
      <c r="B922" s="449"/>
      <c r="C922" s="449"/>
      <c r="D922" s="449"/>
      <c r="E922" s="449"/>
      <c r="F922" s="449"/>
      <c r="G922" s="449"/>
      <c r="H922" s="449"/>
      <c r="I922" s="449"/>
      <c r="J922" s="449"/>
      <c r="K922" s="449"/>
      <c r="L922" s="449"/>
      <c r="M922" s="449"/>
      <c r="N922" s="449"/>
      <c r="O922" s="449"/>
      <c r="P922" s="449"/>
      <c r="Q922" s="267"/>
      <c r="R922" s="267"/>
      <c r="S922" s="267"/>
      <c r="T922" s="267"/>
      <c r="U922" s="450"/>
      <c r="V922" s="471"/>
      <c r="W922" s="267"/>
      <c r="X922" s="267"/>
      <c r="Y922" s="449"/>
      <c r="Z922" s="452"/>
      <c r="AA922" s="452"/>
      <c r="AB922" s="453"/>
      <c r="AC922" s="449"/>
      <c r="AD922" s="454"/>
      <c r="AE922" s="454"/>
      <c r="AF922" s="454"/>
      <c r="AG922" s="454"/>
      <c r="AH922" s="454"/>
      <c r="AI922" s="454"/>
      <c r="AJ922" s="454"/>
      <c r="AK922" s="454"/>
      <c r="AL922" s="454"/>
      <c r="AM922" s="257"/>
      <c r="AN922" s="267"/>
      <c r="AO922" s="455"/>
      <c r="AP922" s="267"/>
      <c r="AQ922" s="456"/>
      <c r="AR922" s="456"/>
      <c r="AS922" s="457"/>
      <c r="AT922" s="457"/>
      <c r="AU922" s="255"/>
      <c r="AV922" s="267"/>
      <c r="AW922" s="267"/>
      <c r="AX922" s="267"/>
      <c r="AY922" s="267"/>
    </row>
    <row r="923" spans="1:51" s="326" customFormat="1" ht="24.75" hidden="1" customHeight="1" x14ac:dyDescent="0.25">
      <c r="A923" s="290"/>
      <c r="B923" s="291" t="s">
        <v>297</v>
      </c>
      <c r="C923" s="320"/>
      <c r="D923" s="321"/>
      <c r="E923" s="321"/>
      <c r="F923" s="321"/>
      <c r="G923" s="321"/>
      <c r="H923" s="321"/>
      <c r="I923" s="321"/>
      <c r="J923" s="321"/>
      <c r="K923" s="321"/>
      <c r="L923" s="321"/>
      <c r="M923" s="321"/>
      <c r="N923" s="321"/>
      <c r="O923" s="321"/>
      <c r="P923" s="321"/>
      <c r="Q923" s="321"/>
      <c r="R923" s="321"/>
      <c r="S923" s="322"/>
      <c r="T923" s="321"/>
      <c r="U923" s="321"/>
      <c r="V923" s="321"/>
      <c r="W923" s="321"/>
      <c r="X923" s="321"/>
      <c r="Y923" s="321"/>
      <c r="Z923" s="321"/>
      <c r="AA923" s="321"/>
      <c r="AB923" s="323"/>
      <c r="AC923" s="323"/>
      <c r="AD923" s="323"/>
      <c r="AE923" s="323"/>
      <c r="AF923" s="323"/>
      <c r="AG923" s="323"/>
      <c r="AH923" s="323"/>
      <c r="AI923" s="323"/>
      <c r="AJ923" s="323"/>
      <c r="AK923" s="323"/>
      <c r="AL923" s="323"/>
      <c r="AM923" s="323"/>
      <c r="AN923" s="324"/>
      <c r="AO923" s="321"/>
      <c r="AP923" s="325"/>
      <c r="AQ923" s="325"/>
      <c r="AR923" s="325"/>
      <c r="AS923" s="325"/>
      <c r="AT923" s="325"/>
      <c r="AU923" s="325"/>
      <c r="AV923" s="325"/>
      <c r="AW923" s="325"/>
      <c r="AX923" s="325"/>
      <c r="AY923" s="325"/>
    </row>
    <row r="924" spans="1:51" s="139" customFormat="1" ht="15" hidden="1" customHeight="1" x14ac:dyDescent="0.25">
      <c r="A924" s="1"/>
      <c r="B924" s="120"/>
      <c r="C924" s="121" t="s">
        <v>298</v>
      </c>
      <c r="D924" s="122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213"/>
      <c r="Q924" s="76"/>
      <c r="R924" s="108"/>
      <c r="S924" s="108"/>
      <c r="T924" s="94"/>
      <c r="U924" s="120"/>
      <c r="V924" s="67"/>
      <c r="W924" s="123"/>
      <c r="X924" s="123"/>
      <c r="Y924" s="125"/>
      <c r="Z924" s="126"/>
      <c r="AA924" s="126"/>
      <c r="AB924" s="127"/>
      <c r="AC924" s="62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125"/>
      <c r="AN924" s="75"/>
      <c r="AO924" s="216"/>
      <c r="AP924" s="75"/>
      <c r="AQ924" s="51"/>
      <c r="AR924" s="217"/>
      <c r="AS924" s="218"/>
      <c r="AT924" s="219"/>
      <c r="AU924" s="220"/>
      <c r="AV924" s="135"/>
      <c r="AW924" s="136"/>
      <c r="AX924" s="137"/>
      <c r="AY924" s="138"/>
    </row>
    <row r="925" spans="1:51" s="139" customFormat="1" ht="11.25" hidden="1" x14ac:dyDescent="0.2">
      <c r="A925" s="1"/>
      <c r="B925" s="140">
        <v>1</v>
      </c>
      <c r="C925" s="472" t="s">
        <v>299</v>
      </c>
      <c r="D925" s="142"/>
      <c r="E925" s="143"/>
      <c r="F925" s="143"/>
      <c r="G925" s="143"/>
      <c r="H925" s="143"/>
      <c r="I925" s="143"/>
      <c r="J925" s="143"/>
      <c r="K925" s="143"/>
      <c r="L925" s="143"/>
      <c r="M925" s="143"/>
      <c r="N925" s="328">
        <v>2062232</v>
      </c>
      <c r="O925" s="143"/>
      <c r="P925" s="145"/>
      <c r="Q925" s="304">
        <f t="shared" ref="Q925:Q930" si="947">MAX(D925:P925)</f>
        <v>2062232</v>
      </c>
      <c r="R925" s="147">
        <f>Q925*$R$7</f>
        <v>488748.984</v>
      </c>
      <c r="S925" s="147">
        <f t="shared" ref="S925:S930" si="948">R925/$S$5</f>
        <v>1339.038312328767</v>
      </c>
      <c r="T925" s="148">
        <f>S925*$T$5*$T$7</f>
        <v>439874.08559999993</v>
      </c>
      <c r="U925" s="420"/>
      <c r="V925" s="407"/>
      <c r="W925" s="236"/>
      <c r="X925" s="236"/>
      <c r="Y925" s="408"/>
      <c r="Z925" s="409"/>
      <c r="AA925" s="409"/>
      <c r="AB925" s="410"/>
      <c r="AC925" s="155"/>
      <c r="AD925" s="156"/>
      <c r="AE925" s="156"/>
      <c r="AF925" s="156"/>
      <c r="AG925" s="156"/>
      <c r="AH925" s="156"/>
      <c r="AI925" s="156"/>
      <c r="AJ925" s="156"/>
      <c r="AK925" s="156"/>
      <c r="AL925" s="156"/>
      <c r="AM925" s="157"/>
      <c r="AN925" s="158">
        <f t="shared" ref="AN925:AN930" si="949">$AN$641</f>
        <v>4000</v>
      </c>
      <c r="AO925" s="159"/>
      <c r="AP925" s="160"/>
      <c r="AQ925" s="161"/>
      <c r="AR925" s="162"/>
      <c r="AS925" s="163"/>
      <c r="AT925" s="164"/>
      <c r="AU925" s="165"/>
      <c r="AV925" s="166"/>
      <c r="AW925" s="167"/>
      <c r="AX925" s="146"/>
      <c r="AY925" s="168"/>
    </row>
    <row r="926" spans="1:51" s="139" customFormat="1" ht="11.25" hidden="1" x14ac:dyDescent="0.2">
      <c r="A926" s="1"/>
      <c r="B926" s="140">
        <v>2</v>
      </c>
      <c r="C926" s="473" t="s">
        <v>300</v>
      </c>
      <c r="D926" s="142"/>
      <c r="E926" s="143"/>
      <c r="F926" s="143"/>
      <c r="G926" s="143"/>
      <c r="H926" s="143"/>
      <c r="I926" s="143"/>
      <c r="J926" s="143"/>
      <c r="K926" s="143"/>
      <c r="L926" s="143"/>
      <c r="M926" s="143"/>
      <c r="N926" s="328">
        <v>2693896</v>
      </c>
      <c r="O926" s="143"/>
      <c r="P926" s="145"/>
      <c r="Q926" s="304">
        <f t="shared" si="947"/>
        <v>2693896</v>
      </c>
      <c r="R926" s="147">
        <f>Q926*$R$7</f>
        <v>638453.35199999996</v>
      </c>
      <c r="S926" s="147">
        <f t="shared" si="948"/>
        <v>1749.1872657534245</v>
      </c>
      <c r="T926" s="148">
        <f>S926*$T$5*$T$7</f>
        <v>574608.01679999998</v>
      </c>
      <c r="U926" s="420"/>
      <c r="V926" s="407"/>
      <c r="W926" s="236"/>
      <c r="X926" s="236"/>
      <c r="Y926" s="408"/>
      <c r="Z926" s="409"/>
      <c r="AA926" s="409"/>
      <c r="AB926" s="410"/>
      <c r="AC926" s="155"/>
      <c r="AD926" s="156"/>
      <c r="AE926" s="156"/>
      <c r="AF926" s="156"/>
      <c r="AG926" s="156"/>
      <c r="AH926" s="156"/>
      <c r="AI926" s="156"/>
      <c r="AJ926" s="156"/>
      <c r="AK926" s="156"/>
      <c r="AL926" s="156"/>
      <c r="AM926" s="157"/>
      <c r="AN926" s="158">
        <f t="shared" si="949"/>
        <v>4000</v>
      </c>
      <c r="AO926" s="159"/>
      <c r="AP926" s="160"/>
      <c r="AQ926" s="161"/>
      <c r="AR926" s="162"/>
      <c r="AS926" s="163"/>
      <c r="AT926" s="164"/>
      <c r="AU926" s="165"/>
      <c r="AV926" s="166"/>
      <c r="AW926" s="167"/>
      <c r="AX926" s="146"/>
      <c r="AY926" s="168"/>
    </row>
    <row r="927" spans="1:51" s="139" customFormat="1" ht="11.25" hidden="1" x14ac:dyDescent="0.2">
      <c r="A927" s="1"/>
      <c r="B927" s="140">
        <v>3</v>
      </c>
      <c r="C927" s="364" t="s">
        <v>301</v>
      </c>
      <c r="D927" s="142"/>
      <c r="E927" s="143"/>
      <c r="F927" s="143"/>
      <c r="G927" s="143"/>
      <c r="H927" s="143"/>
      <c r="I927" s="143"/>
      <c r="J927" s="143"/>
      <c r="K927" s="143"/>
      <c r="L927" s="143"/>
      <c r="M927" s="143"/>
      <c r="N927" s="328">
        <v>899515</v>
      </c>
      <c r="O927" s="143"/>
      <c r="P927" s="145"/>
      <c r="Q927" s="304">
        <f t="shared" si="947"/>
        <v>899515</v>
      </c>
      <c r="R927" s="147">
        <f>Q927*$R$9</f>
        <v>131329.19</v>
      </c>
      <c r="S927" s="147">
        <f t="shared" si="948"/>
        <v>359.80599999999998</v>
      </c>
      <c r="T927" s="148">
        <f>S927*$T$5*$T$9</f>
        <v>91930.43299999999</v>
      </c>
      <c r="U927" s="420"/>
      <c r="V927" s="407"/>
      <c r="W927" s="236"/>
      <c r="X927" s="236"/>
      <c r="Y927" s="408"/>
      <c r="Z927" s="409"/>
      <c r="AA927" s="409"/>
      <c r="AB927" s="410"/>
      <c r="AC927" s="155"/>
      <c r="AD927" s="156"/>
      <c r="AE927" s="156"/>
      <c r="AF927" s="156"/>
      <c r="AG927" s="156"/>
      <c r="AH927" s="156"/>
      <c r="AI927" s="156"/>
      <c r="AJ927" s="156"/>
      <c r="AK927" s="156"/>
      <c r="AL927" s="156"/>
      <c r="AM927" s="157"/>
      <c r="AN927" s="158">
        <f t="shared" si="949"/>
        <v>4000</v>
      </c>
      <c r="AO927" s="159"/>
      <c r="AP927" s="160"/>
      <c r="AQ927" s="161"/>
      <c r="AR927" s="162"/>
      <c r="AS927" s="163"/>
      <c r="AT927" s="164"/>
      <c r="AU927" s="165"/>
      <c r="AV927" s="166"/>
      <c r="AW927" s="167"/>
      <c r="AX927" s="146"/>
      <c r="AY927" s="168"/>
    </row>
    <row r="928" spans="1:51" s="139" customFormat="1" ht="11.25" hidden="1" x14ac:dyDescent="0.2">
      <c r="A928" s="1"/>
      <c r="B928" s="140">
        <v>4</v>
      </c>
      <c r="C928" s="364" t="s">
        <v>302</v>
      </c>
      <c r="D928" s="142"/>
      <c r="E928" s="143"/>
      <c r="F928" s="143"/>
      <c r="G928" s="143"/>
      <c r="H928" s="143"/>
      <c r="I928" s="143"/>
      <c r="J928" s="143"/>
      <c r="K928" s="143"/>
      <c r="L928" s="143"/>
      <c r="M928" s="143"/>
      <c r="N928" s="328">
        <v>2281945</v>
      </c>
      <c r="O928" s="143"/>
      <c r="P928" s="145"/>
      <c r="Q928" s="304">
        <f t="shared" si="947"/>
        <v>2281945</v>
      </c>
      <c r="R928" s="147">
        <f>Q928*$R$7</f>
        <v>540820.96499999997</v>
      </c>
      <c r="S928" s="147">
        <f t="shared" si="948"/>
        <v>1481.7012739726026</v>
      </c>
      <c r="T928" s="148">
        <f>S928*$T$5*$T$7</f>
        <v>486738.86849999998</v>
      </c>
      <c r="U928" s="420"/>
      <c r="V928" s="407"/>
      <c r="W928" s="236"/>
      <c r="X928" s="236"/>
      <c r="Y928" s="408"/>
      <c r="Z928" s="409"/>
      <c r="AA928" s="409"/>
      <c r="AB928" s="410"/>
      <c r="AC928" s="155"/>
      <c r="AD928" s="156"/>
      <c r="AE928" s="156"/>
      <c r="AF928" s="156"/>
      <c r="AG928" s="156"/>
      <c r="AH928" s="156"/>
      <c r="AI928" s="156"/>
      <c r="AJ928" s="156"/>
      <c r="AK928" s="156"/>
      <c r="AL928" s="156"/>
      <c r="AM928" s="157"/>
      <c r="AN928" s="158">
        <f t="shared" si="949"/>
        <v>4000</v>
      </c>
      <c r="AO928" s="159"/>
      <c r="AP928" s="160"/>
      <c r="AQ928" s="161"/>
      <c r="AR928" s="162"/>
      <c r="AS928" s="163"/>
      <c r="AT928" s="164"/>
      <c r="AU928" s="165"/>
      <c r="AV928" s="166"/>
      <c r="AW928" s="167"/>
      <c r="AX928" s="146"/>
      <c r="AY928" s="168"/>
    </row>
    <row r="929" spans="1:51" s="139" customFormat="1" ht="11.25" hidden="1" x14ac:dyDescent="0.2">
      <c r="A929" s="1"/>
      <c r="B929" s="140">
        <v>5</v>
      </c>
      <c r="C929" s="364" t="s">
        <v>303</v>
      </c>
      <c r="D929" s="142"/>
      <c r="E929" s="143"/>
      <c r="F929" s="143"/>
      <c r="G929" s="143"/>
      <c r="H929" s="143"/>
      <c r="I929" s="143"/>
      <c r="J929" s="143"/>
      <c r="K929" s="143"/>
      <c r="L929" s="143"/>
      <c r="M929" s="143"/>
      <c r="N929" s="328">
        <v>1645659</v>
      </c>
      <c r="O929" s="143"/>
      <c r="P929" s="145"/>
      <c r="Q929" s="304">
        <f t="shared" si="947"/>
        <v>1645659</v>
      </c>
      <c r="R929" s="147">
        <f>Q929*$R$7</f>
        <v>390021.18299999996</v>
      </c>
      <c r="S929" s="147">
        <f t="shared" si="948"/>
        <v>1068.5511863013699</v>
      </c>
      <c r="T929" s="148">
        <f>S929*$T$5*$T$7</f>
        <v>351019.06470000005</v>
      </c>
      <c r="U929" s="420"/>
      <c r="V929" s="407"/>
      <c r="W929" s="236"/>
      <c r="X929" s="236"/>
      <c r="Y929" s="408"/>
      <c r="Z929" s="409"/>
      <c r="AA929" s="409"/>
      <c r="AB929" s="410"/>
      <c r="AC929" s="155"/>
      <c r="AD929" s="156"/>
      <c r="AE929" s="156"/>
      <c r="AF929" s="156"/>
      <c r="AG929" s="156"/>
      <c r="AH929" s="156"/>
      <c r="AI929" s="156"/>
      <c r="AJ929" s="156"/>
      <c r="AK929" s="156"/>
      <c r="AL929" s="156"/>
      <c r="AM929" s="157"/>
      <c r="AN929" s="158">
        <f t="shared" si="949"/>
        <v>4000</v>
      </c>
      <c r="AO929" s="159"/>
      <c r="AP929" s="160"/>
      <c r="AQ929" s="161"/>
      <c r="AR929" s="162"/>
      <c r="AS929" s="163"/>
      <c r="AT929" s="164"/>
      <c r="AU929" s="165"/>
      <c r="AV929" s="166"/>
      <c r="AW929" s="167"/>
      <c r="AX929" s="146"/>
      <c r="AY929" s="168"/>
    </row>
    <row r="930" spans="1:51" s="139" customFormat="1" ht="11.25" hidden="1" x14ac:dyDescent="0.2">
      <c r="A930" s="1"/>
      <c r="B930" s="140">
        <v>6</v>
      </c>
      <c r="C930" s="330" t="s">
        <v>304</v>
      </c>
      <c r="D930" s="142"/>
      <c r="E930" s="143"/>
      <c r="F930" s="143"/>
      <c r="G930" s="143"/>
      <c r="H930" s="143"/>
      <c r="I930" s="143"/>
      <c r="J930" s="143"/>
      <c r="K930" s="143"/>
      <c r="L930" s="143"/>
      <c r="M930" s="143"/>
      <c r="N930" s="328">
        <v>21082</v>
      </c>
      <c r="O930" s="143"/>
      <c r="P930" s="145"/>
      <c r="Q930" s="304">
        <f t="shared" si="947"/>
        <v>21082</v>
      </c>
      <c r="R930" s="147">
        <f>Q930*$R$10</f>
        <v>2319.02</v>
      </c>
      <c r="S930" s="147">
        <f t="shared" si="948"/>
        <v>6.3534794520547946</v>
      </c>
      <c r="T930" s="148">
        <f>S930*$T$5*$T$10</f>
        <v>1391.412</v>
      </c>
      <c r="U930" s="420"/>
      <c r="V930" s="407"/>
      <c r="W930" s="236"/>
      <c r="X930" s="236"/>
      <c r="Y930" s="408"/>
      <c r="Z930" s="409"/>
      <c r="AA930" s="409"/>
      <c r="AB930" s="410"/>
      <c r="AC930" s="155"/>
      <c r="AD930" s="156"/>
      <c r="AE930" s="156"/>
      <c r="AF930" s="156"/>
      <c r="AG930" s="156"/>
      <c r="AH930" s="156"/>
      <c r="AI930" s="156"/>
      <c r="AJ930" s="156"/>
      <c r="AK930" s="156"/>
      <c r="AL930" s="156"/>
      <c r="AM930" s="157"/>
      <c r="AN930" s="158">
        <f t="shared" si="949"/>
        <v>4000</v>
      </c>
      <c r="AO930" s="159"/>
      <c r="AP930" s="160"/>
      <c r="AQ930" s="161"/>
      <c r="AR930" s="162"/>
      <c r="AS930" s="163"/>
      <c r="AT930" s="164"/>
      <c r="AU930" s="165"/>
      <c r="AV930" s="166"/>
      <c r="AW930" s="167"/>
      <c r="AX930" s="146"/>
      <c r="AY930" s="168"/>
    </row>
    <row r="931" spans="1:51" s="190" customFormat="1" ht="16.7" hidden="1" customHeight="1" x14ac:dyDescent="0.25">
      <c r="A931" s="173"/>
      <c r="B931" s="120"/>
      <c r="C931" s="121" t="s">
        <v>305</v>
      </c>
      <c r="D931" s="240">
        <f t="shared" ref="D931:T931" si="950">SUM(D925:D930)</f>
        <v>0</v>
      </c>
      <c r="E931" s="240">
        <f t="shared" si="950"/>
        <v>0</v>
      </c>
      <c r="F931" s="240">
        <f t="shared" si="950"/>
        <v>0</v>
      </c>
      <c r="G931" s="240">
        <f t="shared" si="950"/>
        <v>0</v>
      </c>
      <c r="H931" s="240">
        <f t="shared" si="950"/>
        <v>0</v>
      </c>
      <c r="I931" s="240">
        <f t="shared" si="950"/>
        <v>0</v>
      </c>
      <c r="J931" s="240">
        <f t="shared" si="950"/>
        <v>0</v>
      </c>
      <c r="K931" s="240">
        <f t="shared" si="950"/>
        <v>0</v>
      </c>
      <c r="L931" s="240">
        <f t="shared" si="950"/>
        <v>0</v>
      </c>
      <c r="M931" s="240">
        <f t="shared" si="950"/>
        <v>0</v>
      </c>
      <c r="N931" s="240">
        <f t="shared" si="950"/>
        <v>9604329</v>
      </c>
      <c r="O931" s="240">
        <f t="shared" si="950"/>
        <v>0</v>
      </c>
      <c r="P931" s="240">
        <f t="shared" si="950"/>
        <v>0</v>
      </c>
      <c r="Q931" s="240">
        <f t="shared" si="950"/>
        <v>9604329</v>
      </c>
      <c r="R931" s="240">
        <f t="shared" si="950"/>
        <v>2191692.6939999997</v>
      </c>
      <c r="S931" s="240">
        <f t="shared" si="950"/>
        <v>6004.6375178082189</v>
      </c>
      <c r="T931" s="240">
        <f t="shared" si="950"/>
        <v>1945561.8805999998</v>
      </c>
      <c r="U931" s="424">
        <f>SUM(U925:U930)</f>
        <v>0</v>
      </c>
      <c r="V931" s="424">
        <f t="shared" ref="V931:AX931" si="951">SUM(V925:V930)</f>
        <v>0</v>
      </c>
      <c r="W931" s="424">
        <f t="shared" si="951"/>
        <v>0</v>
      </c>
      <c r="X931" s="424">
        <f t="shared" si="951"/>
        <v>0</v>
      </c>
      <c r="Y931" s="424">
        <f t="shared" si="951"/>
        <v>0</v>
      </c>
      <c r="Z931" s="424">
        <f t="shared" si="951"/>
        <v>0</v>
      </c>
      <c r="AA931" s="424">
        <f t="shared" si="951"/>
        <v>0</v>
      </c>
      <c r="AB931" s="424">
        <f t="shared" si="951"/>
        <v>0</v>
      </c>
      <c r="AC931" s="424">
        <f t="shared" si="951"/>
        <v>0</v>
      </c>
      <c r="AD931" s="424">
        <f t="shared" si="951"/>
        <v>0</v>
      </c>
      <c r="AE931" s="424">
        <f t="shared" si="951"/>
        <v>0</v>
      </c>
      <c r="AF931" s="424">
        <f t="shared" si="951"/>
        <v>0</v>
      </c>
      <c r="AG931" s="424">
        <f t="shared" si="951"/>
        <v>0</v>
      </c>
      <c r="AH931" s="424">
        <f t="shared" si="951"/>
        <v>0</v>
      </c>
      <c r="AI931" s="424">
        <f t="shared" si="951"/>
        <v>0</v>
      </c>
      <c r="AJ931" s="424">
        <f t="shared" si="951"/>
        <v>0</v>
      </c>
      <c r="AK931" s="424">
        <f t="shared" si="951"/>
        <v>0</v>
      </c>
      <c r="AL931" s="424">
        <f t="shared" si="951"/>
        <v>0</v>
      </c>
      <c r="AM931" s="424">
        <f t="shared" si="951"/>
        <v>0</v>
      </c>
      <c r="AN931" s="424"/>
      <c r="AO931" s="424"/>
      <c r="AP931" s="424">
        <f t="shared" si="951"/>
        <v>0</v>
      </c>
      <c r="AQ931" s="424">
        <f t="shared" si="951"/>
        <v>0</v>
      </c>
      <c r="AR931" s="424">
        <f t="shared" si="951"/>
        <v>0</v>
      </c>
      <c r="AS931" s="424">
        <f t="shared" si="951"/>
        <v>0</v>
      </c>
      <c r="AT931" s="424">
        <f t="shared" si="951"/>
        <v>0</v>
      </c>
      <c r="AU931" s="424">
        <f t="shared" si="951"/>
        <v>0</v>
      </c>
      <c r="AV931" s="424">
        <f t="shared" si="951"/>
        <v>0</v>
      </c>
      <c r="AW931" s="424">
        <f t="shared" si="951"/>
        <v>0</v>
      </c>
      <c r="AX931" s="424">
        <f t="shared" si="951"/>
        <v>0</v>
      </c>
      <c r="AY931" s="189"/>
    </row>
    <row r="932" spans="1:51" hidden="1" x14ac:dyDescent="0.25"/>
    <row r="933" spans="1:51" s="139" customFormat="1" ht="15" hidden="1" customHeight="1" x14ac:dyDescent="0.25">
      <c r="A933" s="1"/>
      <c r="B933" s="120"/>
      <c r="C933" s="121" t="s">
        <v>306</v>
      </c>
      <c r="D933" s="122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213"/>
      <c r="Q933" s="76"/>
      <c r="R933" s="108"/>
      <c r="S933" s="108"/>
      <c r="T933" s="94"/>
      <c r="U933" s="120"/>
      <c r="V933" s="67"/>
      <c r="W933" s="123"/>
      <c r="X933" s="123"/>
      <c r="Y933" s="125"/>
      <c r="Z933" s="126"/>
      <c r="AA933" s="126"/>
      <c r="AB933" s="127"/>
      <c r="AC933" s="62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125"/>
      <c r="AN933" s="75"/>
      <c r="AO933" s="216"/>
      <c r="AP933" s="75"/>
      <c r="AQ933" s="51"/>
      <c r="AR933" s="217"/>
      <c r="AS933" s="218"/>
      <c r="AT933" s="219"/>
      <c r="AU933" s="220"/>
      <c r="AV933" s="135"/>
      <c r="AW933" s="136"/>
      <c r="AX933" s="137"/>
      <c r="AY933" s="138"/>
    </row>
    <row r="934" spans="1:51" s="139" customFormat="1" ht="11.25" hidden="1" x14ac:dyDescent="0.2">
      <c r="A934" s="1"/>
      <c r="B934" s="140">
        <v>1</v>
      </c>
      <c r="C934" s="232" t="s">
        <v>307</v>
      </c>
      <c r="D934" s="142"/>
      <c r="E934" s="143"/>
      <c r="F934" s="143"/>
      <c r="G934" s="143"/>
      <c r="H934" s="143"/>
      <c r="I934" s="143"/>
      <c r="J934" s="143"/>
      <c r="K934" s="143"/>
      <c r="L934" s="143"/>
      <c r="M934" s="143"/>
      <c r="N934" s="331">
        <v>1149610</v>
      </c>
      <c r="O934" s="331">
        <v>1172179</v>
      </c>
      <c r="P934" s="145"/>
      <c r="Q934" s="304">
        <f t="shared" ref="Q934:Q946" si="952">MAX(D934:P934)</f>
        <v>1172179</v>
      </c>
      <c r="R934" s="147">
        <f>Q934*$R$8</f>
        <v>192237.356</v>
      </c>
      <c r="S934" s="147">
        <f>R934/$S$5</f>
        <v>526.67768767123289</v>
      </c>
      <c r="T934" s="148">
        <f>S934*$T$5*$T$8</f>
        <v>153789.8848</v>
      </c>
      <c r="U934" s="420"/>
      <c r="V934" s="407"/>
      <c r="W934" s="236"/>
      <c r="X934" s="236"/>
      <c r="Y934" s="408"/>
      <c r="Z934" s="409"/>
      <c r="AA934" s="409"/>
      <c r="AB934" s="410"/>
      <c r="AC934" s="155"/>
      <c r="AD934" s="156"/>
      <c r="AE934" s="156"/>
      <c r="AF934" s="156"/>
      <c r="AG934" s="156"/>
      <c r="AH934" s="156"/>
      <c r="AI934" s="156"/>
      <c r="AJ934" s="156"/>
      <c r="AK934" s="156"/>
      <c r="AL934" s="156"/>
      <c r="AM934" s="157"/>
      <c r="AN934" s="158">
        <f t="shared" ref="AN934:AN947" si="953">$AN$641</f>
        <v>4000</v>
      </c>
      <c r="AO934" s="159"/>
      <c r="AP934" s="160"/>
      <c r="AQ934" s="161"/>
      <c r="AR934" s="162"/>
      <c r="AS934" s="163"/>
      <c r="AT934" s="164"/>
      <c r="AU934" s="165"/>
      <c r="AV934" s="166"/>
      <c r="AW934" s="167"/>
      <c r="AX934" s="146"/>
      <c r="AY934" s="168"/>
    </row>
    <row r="935" spans="1:51" s="139" customFormat="1" ht="11.25" hidden="1" x14ac:dyDescent="0.2">
      <c r="A935" s="1"/>
      <c r="B935" s="140"/>
      <c r="C935" s="170"/>
      <c r="D935" s="142"/>
      <c r="E935" s="143"/>
      <c r="F935" s="143"/>
      <c r="G935" s="143"/>
      <c r="H935" s="143"/>
      <c r="I935" s="143"/>
      <c r="J935" s="143"/>
      <c r="K935" s="143"/>
      <c r="L935" s="143"/>
      <c r="M935" s="143"/>
      <c r="N935" s="331"/>
      <c r="O935" s="331"/>
      <c r="P935" s="145"/>
      <c r="Q935" s="223"/>
      <c r="R935" s="167"/>
      <c r="S935" s="429"/>
      <c r="T935" s="146"/>
      <c r="U935" s="420" t="s">
        <v>679</v>
      </c>
      <c r="V935" s="407"/>
      <c r="W935" s="236"/>
      <c r="X935" s="236"/>
      <c r="Y935" s="408"/>
      <c r="Z935" s="409"/>
      <c r="AA935" s="409"/>
      <c r="AB935" s="410"/>
      <c r="AC935" s="411">
        <f>W935*52%</f>
        <v>0</v>
      </c>
      <c r="AD935" s="412">
        <f>W935*25%</f>
        <v>0</v>
      </c>
      <c r="AE935" s="412">
        <f>W935*9%</f>
        <v>0</v>
      </c>
      <c r="AF935" s="412">
        <f>W935*5%</f>
        <v>0</v>
      </c>
      <c r="AG935" s="412">
        <f>W935*3%</f>
        <v>0</v>
      </c>
      <c r="AH935" s="412">
        <f>W935*1%</f>
        <v>0</v>
      </c>
      <c r="AI935" s="412">
        <f>W935*2%</f>
        <v>0</v>
      </c>
      <c r="AJ935" s="412">
        <f>W935*1%</f>
        <v>0</v>
      </c>
      <c r="AK935" s="412">
        <f>W935*4%</f>
        <v>0</v>
      </c>
      <c r="AL935" s="412">
        <f>W935*1%</f>
        <v>0</v>
      </c>
      <c r="AM935" s="413">
        <f>SUM(AD935:AI935)</f>
        <v>0</v>
      </c>
      <c r="AN935" s="158">
        <f t="shared" si="953"/>
        <v>4000</v>
      </c>
      <c r="AO935" s="159">
        <v>0.2</v>
      </c>
      <c r="AP935" s="160">
        <f>AM935*AN935*$AP$5</f>
        <v>0</v>
      </c>
      <c r="AQ935" s="161">
        <f>AP935*$AQ$5</f>
        <v>0</v>
      </c>
      <c r="AR935" s="162">
        <f>AQ935*$AR$5</f>
        <v>0</v>
      </c>
      <c r="AS935" s="163"/>
      <c r="AT935" s="233"/>
      <c r="AU935" s="187"/>
      <c r="AV935" s="414">
        <f>AR935/$AV$5</f>
        <v>0</v>
      </c>
      <c r="AW935" s="415"/>
      <c r="AX935" s="146">
        <f>SUM(AU935:AV935)</f>
        <v>0</v>
      </c>
      <c r="AY935" s="168"/>
    </row>
    <row r="936" spans="1:51" s="139" customFormat="1" ht="11.25" hidden="1" x14ac:dyDescent="0.2">
      <c r="A936" s="1"/>
      <c r="B936" s="140">
        <v>2</v>
      </c>
      <c r="C936" s="232" t="s">
        <v>308</v>
      </c>
      <c r="D936" s="142"/>
      <c r="E936" s="143"/>
      <c r="F936" s="143"/>
      <c r="G936" s="143"/>
      <c r="H936" s="143"/>
      <c r="I936" s="143"/>
      <c r="J936" s="143"/>
      <c r="K936" s="143"/>
      <c r="L936" s="143"/>
      <c r="M936" s="143"/>
      <c r="N936" s="332">
        <v>1204095</v>
      </c>
      <c r="O936" s="331">
        <v>1228884</v>
      </c>
      <c r="P936" s="145"/>
      <c r="Q936" s="304">
        <f t="shared" si="952"/>
        <v>1228884</v>
      </c>
      <c r="R936" s="147">
        <f>Q936*$R$8</f>
        <v>201536.976</v>
      </c>
      <c r="S936" s="147">
        <f>R936/$S$5</f>
        <v>552.15609863013697</v>
      </c>
      <c r="T936" s="148">
        <f>S936*$T$5*$T$8</f>
        <v>161229.5808</v>
      </c>
      <c r="U936" s="420"/>
      <c r="V936" s="407"/>
      <c r="W936" s="236"/>
      <c r="X936" s="236"/>
      <c r="Y936" s="408"/>
      <c r="Z936" s="409"/>
      <c r="AA936" s="409"/>
      <c r="AB936" s="410"/>
      <c r="AC936" s="155"/>
      <c r="AD936" s="156"/>
      <c r="AE936" s="156"/>
      <c r="AF936" s="156"/>
      <c r="AG936" s="156"/>
      <c r="AH936" s="156"/>
      <c r="AI936" s="156"/>
      <c r="AJ936" s="156"/>
      <c r="AK936" s="156"/>
      <c r="AL936" s="156"/>
      <c r="AM936" s="157"/>
      <c r="AN936" s="158">
        <f t="shared" si="953"/>
        <v>4000</v>
      </c>
      <c r="AO936" s="159"/>
      <c r="AP936" s="160"/>
      <c r="AQ936" s="161"/>
      <c r="AR936" s="162"/>
      <c r="AS936" s="163"/>
      <c r="AT936" s="164"/>
      <c r="AU936" s="165"/>
      <c r="AV936" s="166"/>
      <c r="AW936" s="167"/>
      <c r="AX936" s="146"/>
      <c r="AY936" s="168"/>
    </row>
    <row r="937" spans="1:51" s="139" customFormat="1" ht="11.25" hidden="1" x14ac:dyDescent="0.2">
      <c r="A937" s="1"/>
      <c r="B937" s="140">
        <v>3</v>
      </c>
      <c r="C937" s="232" t="s">
        <v>309</v>
      </c>
      <c r="D937" s="142"/>
      <c r="E937" s="143"/>
      <c r="F937" s="143"/>
      <c r="G937" s="143"/>
      <c r="H937" s="143"/>
      <c r="I937" s="143"/>
      <c r="J937" s="143"/>
      <c r="K937" s="143"/>
      <c r="L937" s="143"/>
      <c r="M937" s="143"/>
      <c r="N937" s="331">
        <v>2834376</v>
      </c>
      <c r="O937" s="331">
        <v>2960474</v>
      </c>
      <c r="P937" s="145"/>
      <c r="Q937" s="304">
        <f t="shared" si="952"/>
        <v>2960474</v>
      </c>
      <c r="R937" s="147">
        <f>Q937*$R$7</f>
        <v>701632.33799999999</v>
      </c>
      <c r="S937" s="147">
        <f>R937/$S$5</f>
        <v>1922.2803780821916</v>
      </c>
      <c r="T937" s="148">
        <f>S937*$T$5*$T$7</f>
        <v>631469.10420000006</v>
      </c>
      <c r="U937" s="420"/>
      <c r="V937" s="407"/>
      <c r="W937" s="236"/>
      <c r="X937" s="236"/>
      <c r="Y937" s="408"/>
      <c r="Z937" s="409"/>
      <c r="AA937" s="409"/>
      <c r="AB937" s="410"/>
      <c r="AC937" s="155"/>
      <c r="AD937" s="156"/>
      <c r="AE937" s="156"/>
      <c r="AF937" s="156"/>
      <c r="AG937" s="156"/>
      <c r="AH937" s="156"/>
      <c r="AI937" s="156"/>
      <c r="AJ937" s="156"/>
      <c r="AK937" s="156"/>
      <c r="AL937" s="156"/>
      <c r="AM937" s="157"/>
      <c r="AN937" s="158">
        <f t="shared" si="953"/>
        <v>4000</v>
      </c>
      <c r="AO937" s="159"/>
      <c r="AP937" s="160"/>
      <c r="AQ937" s="161"/>
      <c r="AR937" s="162"/>
      <c r="AS937" s="163"/>
      <c r="AT937" s="164"/>
      <c r="AU937" s="165"/>
      <c r="AV937" s="166"/>
      <c r="AW937" s="167"/>
      <c r="AX937" s="146"/>
      <c r="AY937" s="168"/>
    </row>
    <row r="938" spans="1:51" s="139" customFormat="1" ht="11.25" hidden="1" x14ac:dyDescent="0.2">
      <c r="A938" s="1"/>
      <c r="B938" s="140"/>
      <c r="C938" s="170"/>
      <c r="D938" s="142"/>
      <c r="E938" s="143"/>
      <c r="F938" s="143"/>
      <c r="G938" s="143"/>
      <c r="H938" s="143"/>
      <c r="I938" s="143"/>
      <c r="J938" s="143"/>
      <c r="K938" s="143"/>
      <c r="L938" s="143"/>
      <c r="M938" s="143"/>
      <c r="N938" s="331"/>
      <c r="O938" s="331"/>
      <c r="P938" s="145"/>
      <c r="Q938" s="223"/>
      <c r="R938" s="167"/>
      <c r="S938" s="429"/>
      <c r="T938" s="146"/>
      <c r="U938" s="420" t="s">
        <v>680</v>
      </c>
      <c r="V938" s="407">
        <v>12</v>
      </c>
      <c r="W938" s="236"/>
      <c r="X938" s="236"/>
      <c r="Y938" s="408"/>
      <c r="Z938" s="409"/>
      <c r="AA938" s="409"/>
      <c r="AB938" s="410"/>
      <c r="AC938" s="411">
        <f>W938*52%</f>
        <v>0</v>
      </c>
      <c r="AD938" s="412">
        <f>W938*25%</f>
        <v>0</v>
      </c>
      <c r="AE938" s="412">
        <f>W938*9%</f>
        <v>0</v>
      </c>
      <c r="AF938" s="412">
        <f>W938*5%</f>
        <v>0</v>
      </c>
      <c r="AG938" s="412">
        <f>W938*3%</f>
        <v>0</v>
      </c>
      <c r="AH938" s="412">
        <f>W938*1%</f>
        <v>0</v>
      </c>
      <c r="AI938" s="412">
        <f>W938*2%</f>
        <v>0</v>
      </c>
      <c r="AJ938" s="412">
        <f>W938*1%</f>
        <v>0</v>
      </c>
      <c r="AK938" s="412">
        <f>W938*4%</f>
        <v>0</v>
      </c>
      <c r="AL938" s="412">
        <f>W938*1%</f>
        <v>0</v>
      </c>
      <c r="AM938" s="413">
        <f>SUM(AD938:AI938)</f>
        <v>0</v>
      </c>
      <c r="AN938" s="158">
        <f t="shared" si="953"/>
        <v>4000</v>
      </c>
      <c r="AO938" s="159">
        <v>0.2</v>
      </c>
      <c r="AP938" s="160">
        <f>AM938*AN938*$AP$5</f>
        <v>0</v>
      </c>
      <c r="AQ938" s="161">
        <f>AP938*$AQ$5</f>
        <v>0</v>
      </c>
      <c r="AR938" s="162">
        <f>AQ938*$AR$5</f>
        <v>0</v>
      </c>
      <c r="AS938" s="163"/>
      <c r="AT938" s="233"/>
      <c r="AU938" s="187"/>
      <c r="AV938" s="414">
        <f>AR938/$AV$5</f>
        <v>0</v>
      </c>
      <c r="AW938" s="415"/>
      <c r="AX938" s="146">
        <f>SUM(AU938:AV938)</f>
        <v>0</v>
      </c>
      <c r="AY938" s="168"/>
    </row>
    <row r="939" spans="1:51" s="139" customFormat="1" ht="11.25" hidden="1" x14ac:dyDescent="0.2">
      <c r="A939" s="1"/>
      <c r="B939" s="140">
        <v>4</v>
      </c>
      <c r="C939" s="232" t="s">
        <v>310</v>
      </c>
      <c r="D939" s="142"/>
      <c r="E939" s="143"/>
      <c r="F939" s="143"/>
      <c r="G939" s="143"/>
      <c r="H939" s="143"/>
      <c r="I939" s="143"/>
      <c r="J939" s="143"/>
      <c r="K939" s="143"/>
      <c r="L939" s="143"/>
      <c r="M939" s="143"/>
      <c r="N939" s="331">
        <v>1402818</v>
      </c>
      <c r="O939" s="331">
        <v>1434137</v>
      </c>
      <c r="P939" s="145"/>
      <c r="Q939" s="304">
        <f t="shared" si="952"/>
        <v>1434137</v>
      </c>
      <c r="R939" s="147">
        <f>Q939*$R$8</f>
        <v>235198.46800000002</v>
      </c>
      <c r="S939" s="147">
        <f>R939/$S$5</f>
        <v>644.37936438356166</v>
      </c>
      <c r="T939" s="148">
        <f>S939*$T$5*$T$8</f>
        <v>188158.77439999999</v>
      </c>
      <c r="U939" s="420"/>
      <c r="V939" s="407"/>
      <c r="W939" s="236"/>
      <c r="X939" s="236"/>
      <c r="Y939" s="408"/>
      <c r="Z939" s="409"/>
      <c r="AA939" s="409"/>
      <c r="AB939" s="410"/>
      <c r="AC939" s="155"/>
      <c r="AD939" s="156"/>
      <c r="AE939" s="156"/>
      <c r="AF939" s="156"/>
      <c r="AG939" s="156"/>
      <c r="AH939" s="156"/>
      <c r="AI939" s="156"/>
      <c r="AJ939" s="156"/>
      <c r="AK939" s="156"/>
      <c r="AL939" s="156"/>
      <c r="AM939" s="157"/>
      <c r="AN939" s="158">
        <f t="shared" si="953"/>
        <v>4000</v>
      </c>
      <c r="AO939" s="159"/>
      <c r="AP939" s="160"/>
      <c r="AQ939" s="161"/>
      <c r="AR939" s="162"/>
      <c r="AS939" s="163"/>
      <c r="AT939" s="164"/>
      <c r="AU939" s="165"/>
      <c r="AV939" s="166"/>
      <c r="AW939" s="167"/>
      <c r="AX939" s="146"/>
      <c r="AY939" s="168"/>
    </row>
    <row r="940" spans="1:51" s="139" customFormat="1" ht="11.25" hidden="1" x14ac:dyDescent="0.2">
      <c r="A940" s="1"/>
      <c r="B940" s="140"/>
      <c r="C940" s="170"/>
      <c r="D940" s="142"/>
      <c r="E940" s="143"/>
      <c r="F940" s="143"/>
      <c r="G940" s="143"/>
      <c r="H940" s="143"/>
      <c r="I940" s="143"/>
      <c r="J940" s="143"/>
      <c r="K940" s="143"/>
      <c r="L940" s="143"/>
      <c r="M940" s="143"/>
      <c r="N940" s="331"/>
      <c r="O940" s="331"/>
      <c r="P940" s="145"/>
      <c r="Q940" s="223"/>
      <c r="R940" s="167"/>
      <c r="S940" s="429"/>
      <c r="T940" s="146"/>
      <c r="U940" s="420" t="s">
        <v>681</v>
      </c>
      <c r="V940" s="407"/>
      <c r="W940" s="236">
        <f>100*365</f>
        <v>36500</v>
      </c>
      <c r="X940" s="236"/>
      <c r="Y940" s="408"/>
      <c r="Z940" s="409"/>
      <c r="AA940" s="409"/>
      <c r="AB940" s="410"/>
      <c r="AC940" s="411">
        <f>W940*52%</f>
        <v>18980</v>
      </c>
      <c r="AD940" s="412">
        <f>W940*25%</f>
        <v>9125</v>
      </c>
      <c r="AE940" s="412">
        <f>W940*9%</f>
        <v>3285</v>
      </c>
      <c r="AF940" s="412">
        <f>W940*5%</f>
        <v>1825</v>
      </c>
      <c r="AG940" s="412">
        <f>W940*3%</f>
        <v>1095</v>
      </c>
      <c r="AH940" s="412">
        <f>W940*1%</f>
        <v>365</v>
      </c>
      <c r="AI940" s="412">
        <f>W940*2%</f>
        <v>730</v>
      </c>
      <c r="AJ940" s="412">
        <f>W940*1%</f>
        <v>365</v>
      </c>
      <c r="AK940" s="412">
        <f>W940*4%</f>
        <v>1460</v>
      </c>
      <c r="AL940" s="412">
        <f>W940*1%</f>
        <v>365</v>
      </c>
      <c r="AM940" s="413">
        <f>SUM(AD940:AI940)</f>
        <v>16425</v>
      </c>
      <c r="AN940" s="158">
        <f t="shared" si="953"/>
        <v>4000</v>
      </c>
      <c r="AO940" s="159">
        <v>0.2</v>
      </c>
      <c r="AP940" s="160">
        <f>AM940*AN940*$AP$5</f>
        <v>275072760</v>
      </c>
      <c r="AQ940" s="161">
        <f>AP940*$AQ$5</f>
        <v>76409.106112727997</v>
      </c>
      <c r="AR940" s="162">
        <f>AQ940*$AR$5</f>
        <v>15281.821222545601</v>
      </c>
      <c r="AS940" s="163"/>
      <c r="AT940" s="233"/>
      <c r="AU940" s="187"/>
      <c r="AV940" s="414">
        <f>AR940/$AV$5</f>
        <v>2.1806251744500003</v>
      </c>
      <c r="AW940" s="415"/>
      <c r="AX940" s="146">
        <f>SUM(AU940:AV940)</f>
        <v>2.1806251744500003</v>
      </c>
      <c r="AY940" s="168"/>
    </row>
    <row r="941" spans="1:51" s="139" customFormat="1" ht="11.25" hidden="1" x14ac:dyDescent="0.2">
      <c r="A941" s="1"/>
      <c r="B941" s="140">
        <v>5</v>
      </c>
      <c r="C941" s="232" t="s">
        <v>311</v>
      </c>
      <c r="D941" s="142"/>
      <c r="E941" s="143"/>
      <c r="F941" s="143"/>
      <c r="G941" s="143"/>
      <c r="H941" s="143"/>
      <c r="I941" s="143"/>
      <c r="J941" s="143"/>
      <c r="K941" s="143"/>
      <c r="L941" s="143"/>
      <c r="M941" s="143"/>
      <c r="N941" s="331">
        <v>1798601</v>
      </c>
      <c r="O941" s="331">
        <v>1869791</v>
      </c>
      <c r="P941" s="145"/>
      <c r="Q941" s="304">
        <f t="shared" si="952"/>
        <v>1869791</v>
      </c>
      <c r="R941" s="147">
        <f>Q941*$R$7</f>
        <v>443140.467</v>
      </c>
      <c r="S941" s="147">
        <f>R941/$S$5</f>
        <v>1214.0834712328767</v>
      </c>
      <c r="T941" s="148">
        <f>S941*$T$5*$T$7</f>
        <v>398826.4203</v>
      </c>
      <c r="U941" s="420"/>
      <c r="V941" s="407"/>
      <c r="W941" s="236"/>
      <c r="X941" s="236"/>
      <c r="Y941" s="408"/>
      <c r="Z941" s="409"/>
      <c r="AA941" s="409"/>
      <c r="AB941" s="410"/>
      <c r="AC941" s="155"/>
      <c r="AD941" s="156"/>
      <c r="AE941" s="156"/>
      <c r="AF941" s="156"/>
      <c r="AG941" s="156"/>
      <c r="AH941" s="156"/>
      <c r="AI941" s="156"/>
      <c r="AJ941" s="156"/>
      <c r="AK941" s="156"/>
      <c r="AL941" s="156"/>
      <c r="AM941" s="157"/>
      <c r="AN941" s="158">
        <f t="shared" si="953"/>
        <v>4000</v>
      </c>
      <c r="AO941" s="159"/>
      <c r="AP941" s="160"/>
      <c r="AQ941" s="161"/>
      <c r="AR941" s="162"/>
      <c r="AS941" s="163"/>
      <c r="AT941" s="164"/>
      <c r="AU941" s="165"/>
      <c r="AV941" s="166"/>
      <c r="AW941" s="167"/>
      <c r="AX941" s="146"/>
      <c r="AY941" s="168"/>
    </row>
    <row r="942" spans="1:51" s="139" customFormat="1" ht="11.25" hidden="1" x14ac:dyDescent="0.2">
      <c r="A942" s="1"/>
      <c r="B942" s="140"/>
      <c r="C942" s="170"/>
      <c r="D942" s="142"/>
      <c r="E942" s="143"/>
      <c r="F942" s="143"/>
      <c r="G942" s="143"/>
      <c r="H942" s="143"/>
      <c r="I942" s="143"/>
      <c r="J942" s="143"/>
      <c r="K942" s="143"/>
      <c r="L942" s="143"/>
      <c r="M942" s="143"/>
      <c r="N942" s="331"/>
      <c r="O942" s="331"/>
      <c r="P942" s="145"/>
      <c r="Q942" s="223"/>
      <c r="R942" s="167"/>
      <c r="S942" s="429"/>
      <c r="T942" s="146"/>
      <c r="U942" s="420" t="s">
        <v>682</v>
      </c>
      <c r="V942" s="407">
        <v>30</v>
      </c>
      <c r="W942" s="236">
        <f>(1710*0.25)*365</f>
        <v>156037.5</v>
      </c>
      <c r="X942" s="236"/>
      <c r="Y942" s="408"/>
      <c r="Z942" s="409"/>
      <c r="AA942" s="409"/>
      <c r="AB942" s="410"/>
      <c r="AC942" s="411">
        <f>W942*52%</f>
        <v>81139.5</v>
      </c>
      <c r="AD942" s="412">
        <f>W942*25%</f>
        <v>39009.375</v>
      </c>
      <c r="AE942" s="412">
        <f>W942*9%</f>
        <v>14043.375</v>
      </c>
      <c r="AF942" s="412">
        <f>W942*5%</f>
        <v>7801.875</v>
      </c>
      <c r="AG942" s="412">
        <f>W942*3%</f>
        <v>4681.125</v>
      </c>
      <c r="AH942" s="412">
        <f>W942*1%</f>
        <v>1560.375</v>
      </c>
      <c r="AI942" s="412">
        <f>W942*2%</f>
        <v>3120.75</v>
      </c>
      <c r="AJ942" s="412">
        <f>W942*1%</f>
        <v>1560.375</v>
      </c>
      <c r="AK942" s="412">
        <f>W942*4%</f>
        <v>6241.5</v>
      </c>
      <c r="AL942" s="412">
        <f>W942*1%</f>
        <v>1560.375</v>
      </c>
      <c r="AM942" s="413">
        <f>SUM(AD942:AI942)</f>
        <v>70216.875</v>
      </c>
      <c r="AN942" s="158">
        <f t="shared" si="953"/>
        <v>4000</v>
      </c>
      <c r="AO942" s="159">
        <v>0.2</v>
      </c>
      <c r="AP942" s="160">
        <f>AM942*AN942*$AP$5</f>
        <v>1175936049</v>
      </c>
      <c r="AQ942" s="161">
        <f>AP942*$AQ$5</f>
        <v>326648.92863191222</v>
      </c>
      <c r="AR942" s="162">
        <f>AQ942*$AR$5</f>
        <v>65329.785726382448</v>
      </c>
      <c r="AS942" s="163"/>
      <c r="AT942" s="233"/>
      <c r="AU942" s="187">
        <v>0.75</v>
      </c>
      <c r="AV942" s="414">
        <f>AR942/$AV$5</f>
        <v>9.3221726207737508</v>
      </c>
      <c r="AW942" s="415"/>
      <c r="AX942" s="146">
        <f>SUM(AU942:AV942)</f>
        <v>10.072172620773751</v>
      </c>
      <c r="AY942" s="168"/>
    </row>
    <row r="943" spans="1:51" s="139" customFormat="1" ht="11.25" hidden="1" x14ac:dyDescent="0.2">
      <c r="A943" s="1"/>
      <c r="B943" s="140">
        <v>6</v>
      </c>
      <c r="C943" s="170" t="s">
        <v>312</v>
      </c>
      <c r="D943" s="142"/>
      <c r="E943" s="143"/>
      <c r="F943" s="143"/>
      <c r="G943" s="143"/>
      <c r="H943" s="143"/>
      <c r="I943" s="143"/>
      <c r="J943" s="143"/>
      <c r="K943" s="143"/>
      <c r="L943" s="143"/>
      <c r="M943" s="143"/>
      <c r="N943" s="331">
        <v>374559</v>
      </c>
      <c r="O943" s="331">
        <v>385720</v>
      </c>
      <c r="P943" s="145"/>
      <c r="Q943" s="223">
        <f t="shared" si="952"/>
        <v>385720</v>
      </c>
      <c r="R943" s="147">
        <f>Q943*$R$10</f>
        <v>42429.2</v>
      </c>
      <c r="S943" s="147">
        <f>R943/$S$5</f>
        <v>116.24438356164383</v>
      </c>
      <c r="T943" s="148">
        <f>S943*$T$5*$T$10</f>
        <v>25457.519999999997</v>
      </c>
      <c r="U943" s="420"/>
      <c r="V943" s="407"/>
      <c r="W943" s="236"/>
      <c r="X943" s="236"/>
      <c r="Y943" s="408"/>
      <c r="Z943" s="409"/>
      <c r="AA943" s="409"/>
      <c r="AB943" s="410"/>
      <c r="AC943" s="155"/>
      <c r="AD943" s="156"/>
      <c r="AE943" s="156"/>
      <c r="AF943" s="156"/>
      <c r="AG943" s="156"/>
      <c r="AH943" s="156"/>
      <c r="AI943" s="156"/>
      <c r="AJ943" s="156"/>
      <c r="AK943" s="156"/>
      <c r="AL943" s="156"/>
      <c r="AM943" s="157"/>
      <c r="AN943" s="158">
        <f t="shared" si="953"/>
        <v>4000</v>
      </c>
      <c r="AO943" s="159"/>
      <c r="AP943" s="160"/>
      <c r="AQ943" s="161"/>
      <c r="AR943" s="162"/>
      <c r="AS943" s="163"/>
      <c r="AT943" s="164"/>
      <c r="AU943" s="165"/>
      <c r="AV943" s="166"/>
      <c r="AW943" s="167"/>
      <c r="AX943" s="146"/>
      <c r="AY943" s="168"/>
    </row>
    <row r="944" spans="1:51" s="139" customFormat="1" ht="11.25" hidden="1" x14ac:dyDescent="0.2">
      <c r="A944" s="1"/>
      <c r="B944" s="140"/>
      <c r="C944" s="170"/>
      <c r="D944" s="142"/>
      <c r="E944" s="143"/>
      <c r="F944" s="143"/>
      <c r="G944" s="143"/>
      <c r="H944" s="143"/>
      <c r="I944" s="143"/>
      <c r="J944" s="143"/>
      <c r="K944" s="143"/>
      <c r="L944" s="143"/>
      <c r="M944" s="143"/>
      <c r="N944" s="331"/>
      <c r="O944" s="331"/>
      <c r="P944" s="145"/>
      <c r="Q944" s="223"/>
      <c r="R944" s="167"/>
      <c r="S944" s="429"/>
      <c r="T944" s="146"/>
      <c r="U944" s="420" t="s">
        <v>683</v>
      </c>
      <c r="V944" s="407">
        <v>2.5</v>
      </c>
      <c r="W944" s="236">
        <f>(S943/3)*365</f>
        <v>14143.066666666668</v>
      </c>
      <c r="X944" s="236"/>
      <c r="Y944" s="408"/>
      <c r="Z944" s="409"/>
      <c r="AA944" s="409"/>
      <c r="AB944" s="410"/>
      <c r="AC944" s="411">
        <f>W944*52%</f>
        <v>7354.394666666667</v>
      </c>
      <c r="AD944" s="412">
        <f>W944*25%</f>
        <v>3535.7666666666669</v>
      </c>
      <c r="AE944" s="412">
        <f>W944*9%</f>
        <v>1272.876</v>
      </c>
      <c r="AF944" s="412">
        <f>W944*5%</f>
        <v>707.15333333333342</v>
      </c>
      <c r="AG944" s="412">
        <f>W944*3%</f>
        <v>424.29200000000003</v>
      </c>
      <c r="AH944" s="412">
        <f>W944*1%</f>
        <v>141.43066666666667</v>
      </c>
      <c r="AI944" s="412">
        <f>W944*2%</f>
        <v>282.86133333333333</v>
      </c>
      <c r="AJ944" s="412">
        <f>W944*1%</f>
        <v>141.43066666666667</v>
      </c>
      <c r="AK944" s="412">
        <f>W944*4%</f>
        <v>565.72266666666667</v>
      </c>
      <c r="AL944" s="412">
        <f>W944*1%</f>
        <v>141.43066666666667</v>
      </c>
      <c r="AM944" s="413">
        <f>SUM(AD944:AI944)</f>
        <v>6364.380000000001</v>
      </c>
      <c r="AN944" s="158">
        <f t="shared" si="953"/>
        <v>4000</v>
      </c>
      <c r="AO944" s="159">
        <v>0.2</v>
      </c>
      <c r="AP944" s="160">
        <f>AM944*AN944*$AP$5</f>
        <v>106585544.73600002</v>
      </c>
      <c r="AQ944" s="161">
        <f>AP944*$AQ$5</f>
        <v>29607.098128567664</v>
      </c>
      <c r="AR944" s="162">
        <f>AQ944*$AR$5</f>
        <v>5921.4196257135336</v>
      </c>
      <c r="AS944" s="163"/>
      <c r="AT944" s="233"/>
      <c r="AU944" s="187"/>
      <c r="AV944" s="414">
        <f>AR944/$AV$5</f>
        <v>0.84495143060980793</v>
      </c>
      <c r="AW944" s="415"/>
      <c r="AX944" s="146">
        <f>SUM(AU944:AV944)</f>
        <v>0.84495143060980793</v>
      </c>
      <c r="AY944" s="168"/>
    </row>
    <row r="945" spans="1:51" s="139" customFormat="1" ht="11.25" hidden="1" x14ac:dyDescent="0.2">
      <c r="A945" s="1"/>
      <c r="B945" s="140">
        <v>7</v>
      </c>
      <c r="C945" s="170" t="s">
        <v>313</v>
      </c>
      <c r="D945" s="142"/>
      <c r="E945" s="143"/>
      <c r="F945" s="143"/>
      <c r="G945" s="143"/>
      <c r="H945" s="143"/>
      <c r="I945" s="143"/>
      <c r="J945" s="143"/>
      <c r="K945" s="143"/>
      <c r="L945" s="143"/>
      <c r="M945" s="143"/>
      <c r="N945" s="331">
        <v>557785</v>
      </c>
      <c r="O945" s="331">
        <v>598407</v>
      </c>
      <c r="P945" s="145"/>
      <c r="Q945" s="223">
        <f t="shared" si="952"/>
        <v>598407</v>
      </c>
      <c r="R945" s="147">
        <f>Q945*$R$9</f>
        <v>87367.421999999991</v>
      </c>
      <c r="S945" s="147">
        <f>R945/$S$5</f>
        <v>239.36279999999996</v>
      </c>
      <c r="T945" s="148">
        <f>S945*$T$5*$T$9</f>
        <v>61157.19539999999</v>
      </c>
      <c r="U945" s="420"/>
      <c r="V945" s="407"/>
      <c r="W945" s="236"/>
      <c r="X945" s="236"/>
      <c r="Y945" s="408"/>
      <c r="Z945" s="409"/>
      <c r="AA945" s="409"/>
      <c r="AB945" s="410"/>
      <c r="AC945" s="155"/>
      <c r="AD945" s="156"/>
      <c r="AE945" s="156"/>
      <c r="AF945" s="156"/>
      <c r="AG945" s="156"/>
      <c r="AH945" s="156"/>
      <c r="AI945" s="156"/>
      <c r="AJ945" s="156"/>
      <c r="AK945" s="156"/>
      <c r="AL945" s="156"/>
      <c r="AM945" s="157"/>
      <c r="AN945" s="158">
        <f t="shared" si="953"/>
        <v>4000</v>
      </c>
      <c r="AO945" s="159"/>
      <c r="AP945" s="160"/>
      <c r="AQ945" s="161"/>
      <c r="AR945" s="162"/>
      <c r="AS945" s="163"/>
      <c r="AT945" s="164"/>
      <c r="AU945" s="165"/>
      <c r="AV945" s="166"/>
      <c r="AW945" s="167"/>
      <c r="AX945" s="146"/>
      <c r="AY945" s="168"/>
    </row>
    <row r="946" spans="1:51" s="139" customFormat="1" ht="11.25" hidden="1" x14ac:dyDescent="0.2">
      <c r="A946" s="1"/>
      <c r="B946" s="140">
        <v>8</v>
      </c>
      <c r="C946" s="232" t="s">
        <v>314</v>
      </c>
      <c r="D946" s="142"/>
      <c r="E946" s="143"/>
      <c r="F946" s="143"/>
      <c r="G946" s="143"/>
      <c r="H946" s="143"/>
      <c r="I946" s="143"/>
      <c r="J946" s="143"/>
      <c r="K946" s="143"/>
      <c r="L946" s="143"/>
      <c r="M946" s="143"/>
      <c r="N946" s="331">
        <v>1290322</v>
      </c>
      <c r="O946" s="331">
        <v>1355926</v>
      </c>
      <c r="P946" s="145"/>
      <c r="Q946" s="304">
        <f t="shared" si="952"/>
        <v>1355926</v>
      </c>
      <c r="R946" s="147">
        <f>Q946*$R$8</f>
        <v>222371.864</v>
      </c>
      <c r="S946" s="147">
        <f>R946/$S$5</f>
        <v>609.23798356164389</v>
      </c>
      <c r="T946" s="148">
        <f>S946*$T$5*$T$8</f>
        <v>177897.49120000005</v>
      </c>
      <c r="U946" s="420"/>
      <c r="V946" s="407"/>
      <c r="W946" s="236"/>
      <c r="X946" s="236"/>
      <c r="Y946" s="408"/>
      <c r="Z946" s="409"/>
      <c r="AA946" s="409"/>
      <c r="AB946" s="410"/>
      <c r="AC946" s="155"/>
      <c r="AD946" s="156"/>
      <c r="AE946" s="156"/>
      <c r="AF946" s="156"/>
      <c r="AG946" s="156"/>
      <c r="AH946" s="156"/>
      <c r="AI946" s="156"/>
      <c r="AJ946" s="156"/>
      <c r="AK946" s="156"/>
      <c r="AL946" s="156"/>
      <c r="AM946" s="157"/>
      <c r="AN946" s="158">
        <f t="shared" si="953"/>
        <v>4000</v>
      </c>
      <c r="AO946" s="159"/>
      <c r="AP946" s="160"/>
      <c r="AQ946" s="161"/>
      <c r="AR946" s="162"/>
      <c r="AS946" s="163"/>
      <c r="AT946" s="164"/>
      <c r="AU946" s="165"/>
      <c r="AV946" s="166"/>
      <c r="AW946" s="167"/>
      <c r="AX946" s="146"/>
      <c r="AY946" s="168"/>
    </row>
    <row r="947" spans="1:51" s="139" customFormat="1" ht="11.25" hidden="1" x14ac:dyDescent="0.2">
      <c r="A947" s="1"/>
      <c r="B947" s="140"/>
      <c r="C947" s="172"/>
      <c r="D947" s="142"/>
      <c r="E947" s="485"/>
      <c r="F947" s="485"/>
      <c r="G947" s="485"/>
      <c r="H947" s="485"/>
      <c r="I947" s="485"/>
      <c r="J947" s="485"/>
      <c r="K947" s="485"/>
      <c r="L947" s="485"/>
      <c r="M947" s="485"/>
      <c r="N947" s="486"/>
      <c r="O947" s="486"/>
      <c r="P947" s="487"/>
      <c r="Q947" s="166"/>
      <c r="R947" s="167"/>
      <c r="S947" s="231"/>
      <c r="T947" s="167"/>
      <c r="U947" s="420" t="s">
        <v>684</v>
      </c>
      <c r="V947" s="407">
        <v>2.5</v>
      </c>
      <c r="W947" s="300"/>
      <c r="X947" s="300"/>
      <c r="Y947" s="427"/>
      <c r="Z947" s="431"/>
      <c r="AA947" s="431"/>
      <c r="AB947" s="432"/>
      <c r="AC947" s="411">
        <f>W947*52%</f>
        <v>0</v>
      </c>
      <c r="AD947" s="412">
        <f>W947*25%</f>
        <v>0</v>
      </c>
      <c r="AE947" s="412">
        <f>W947*9%</f>
        <v>0</v>
      </c>
      <c r="AF947" s="412">
        <f>W947*5%</f>
        <v>0</v>
      </c>
      <c r="AG947" s="412">
        <f>W947*3%</f>
        <v>0</v>
      </c>
      <c r="AH947" s="412">
        <f>W947*1%</f>
        <v>0</v>
      </c>
      <c r="AI947" s="412">
        <f>W947*2%</f>
        <v>0</v>
      </c>
      <c r="AJ947" s="412">
        <f>W947*1%</f>
        <v>0</v>
      </c>
      <c r="AK947" s="412">
        <f>W947*4%</f>
        <v>0</v>
      </c>
      <c r="AL947" s="412">
        <f>W947*1%</f>
        <v>0</v>
      </c>
      <c r="AM947" s="413">
        <f>SUM(AD947:AI947)</f>
        <v>0</v>
      </c>
      <c r="AN947" s="158">
        <f t="shared" si="953"/>
        <v>4000</v>
      </c>
      <c r="AO947" s="159">
        <v>0.2</v>
      </c>
      <c r="AP947" s="160">
        <f>AM947*AN947*$AP$5</f>
        <v>0</v>
      </c>
      <c r="AQ947" s="161">
        <f>AP947*$AQ$5</f>
        <v>0</v>
      </c>
      <c r="AR947" s="162">
        <f>AQ947*$AR$5</f>
        <v>0</v>
      </c>
      <c r="AS947" s="163"/>
      <c r="AT947" s="233"/>
      <c r="AU947" s="187"/>
      <c r="AV947" s="414">
        <f>AR947/$AV$5</f>
        <v>0</v>
      </c>
      <c r="AW947" s="415"/>
      <c r="AX947" s="146">
        <f>SUM(AU947:AV947)</f>
        <v>0</v>
      </c>
      <c r="AY947" s="168"/>
    </row>
    <row r="948" spans="1:51" s="190" customFormat="1" ht="16.7" hidden="1" customHeight="1" x14ac:dyDescent="0.25">
      <c r="A948" s="173"/>
      <c r="B948" s="120"/>
      <c r="C948" s="121" t="s">
        <v>315</v>
      </c>
      <c r="D948" s="240">
        <f t="shared" ref="D948:T948" si="954">SUM(D934:D946)</f>
        <v>0</v>
      </c>
      <c r="E948" s="240">
        <f t="shared" si="954"/>
        <v>0</v>
      </c>
      <c r="F948" s="240">
        <f t="shared" si="954"/>
        <v>0</v>
      </c>
      <c r="G948" s="240">
        <f t="shared" si="954"/>
        <v>0</v>
      </c>
      <c r="H948" s="240">
        <f t="shared" si="954"/>
        <v>0</v>
      </c>
      <c r="I948" s="240">
        <f t="shared" si="954"/>
        <v>0</v>
      </c>
      <c r="J948" s="240">
        <f t="shared" si="954"/>
        <v>0</v>
      </c>
      <c r="K948" s="240">
        <f t="shared" si="954"/>
        <v>0</v>
      </c>
      <c r="L948" s="240">
        <f t="shared" si="954"/>
        <v>0</v>
      </c>
      <c r="M948" s="240">
        <f t="shared" si="954"/>
        <v>0</v>
      </c>
      <c r="N948" s="240">
        <f>SUM(N934:N946)</f>
        <v>10612166</v>
      </c>
      <c r="O948" s="240">
        <f t="shared" si="954"/>
        <v>11005518</v>
      </c>
      <c r="P948" s="240">
        <f t="shared" si="954"/>
        <v>0</v>
      </c>
      <c r="Q948" s="240">
        <f t="shared" si="954"/>
        <v>11005518</v>
      </c>
      <c r="R948" s="240">
        <f t="shared" si="954"/>
        <v>2125914.091</v>
      </c>
      <c r="S948" s="240">
        <f t="shared" si="954"/>
        <v>5824.4221671232881</v>
      </c>
      <c r="T948" s="240">
        <f t="shared" si="954"/>
        <v>1797985.9711000002</v>
      </c>
      <c r="U948" s="424">
        <f>SUM(U934:U947)</f>
        <v>0</v>
      </c>
      <c r="V948" s="424">
        <f t="shared" ref="V948:AX948" si="955">SUM(V934:V947)</f>
        <v>47</v>
      </c>
      <c r="W948" s="424">
        <f t="shared" si="955"/>
        <v>206680.56666666668</v>
      </c>
      <c r="X948" s="424">
        <f t="shared" si="955"/>
        <v>0</v>
      </c>
      <c r="Y948" s="424">
        <f t="shared" si="955"/>
        <v>0</v>
      </c>
      <c r="Z948" s="424">
        <f t="shared" si="955"/>
        <v>0</v>
      </c>
      <c r="AA948" s="424">
        <f t="shared" si="955"/>
        <v>0</v>
      </c>
      <c r="AB948" s="424">
        <f t="shared" si="955"/>
        <v>0</v>
      </c>
      <c r="AC948" s="424">
        <f t="shared" si="955"/>
        <v>107473.89466666666</v>
      </c>
      <c r="AD948" s="424">
        <f t="shared" si="955"/>
        <v>51670.14166666667</v>
      </c>
      <c r="AE948" s="424">
        <f t="shared" si="955"/>
        <v>18601.251</v>
      </c>
      <c r="AF948" s="424">
        <f t="shared" si="955"/>
        <v>10334.028333333334</v>
      </c>
      <c r="AG948" s="424">
        <f t="shared" si="955"/>
        <v>6200.4170000000004</v>
      </c>
      <c r="AH948" s="424">
        <f t="shared" si="955"/>
        <v>2066.8056666666666</v>
      </c>
      <c r="AI948" s="424">
        <f t="shared" si="955"/>
        <v>4133.6113333333333</v>
      </c>
      <c r="AJ948" s="424">
        <f t="shared" si="955"/>
        <v>2066.8056666666666</v>
      </c>
      <c r="AK948" s="424">
        <f t="shared" si="955"/>
        <v>8267.2226666666666</v>
      </c>
      <c r="AL948" s="424">
        <f t="shared" si="955"/>
        <v>2066.8056666666666</v>
      </c>
      <c r="AM948" s="424">
        <f t="shared" si="955"/>
        <v>93006.255000000005</v>
      </c>
      <c r="AN948" s="424"/>
      <c r="AO948" s="424"/>
      <c r="AP948" s="424">
        <f t="shared" si="955"/>
        <v>1557594353.7360001</v>
      </c>
      <c r="AQ948" s="424">
        <f t="shared" si="955"/>
        <v>432665.13287320791</v>
      </c>
      <c r="AR948" s="424">
        <f t="shared" si="955"/>
        <v>86533.026574641583</v>
      </c>
      <c r="AS948" s="424">
        <f t="shared" si="955"/>
        <v>0</v>
      </c>
      <c r="AT948" s="424">
        <f t="shared" si="955"/>
        <v>0</v>
      </c>
      <c r="AU948" s="424">
        <f t="shared" si="955"/>
        <v>0.75</v>
      </c>
      <c r="AV948" s="424">
        <f t="shared" si="955"/>
        <v>12.347749225833558</v>
      </c>
      <c r="AW948" s="424">
        <f t="shared" si="955"/>
        <v>0</v>
      </c>
      <c r="AX948" s="424">
        <f t="shared" si="955"/>
        <v>13.097749225833558</v>
      </c>
      <c r="AY948" s="189"/>
    </row>
    <row r="949" spans="1:51" hidden="1" x14ac:dyDescent="0.25"/>
    <row r="950" spans="1:51" s="139" customFormat="1" ht="15" hidden="1" customHeight="1" x14ac:dyDescent="0.25">
      <c r="A950" s="1"/>
      <c r="B950" s="120"/>
      <c r="C950" s="121" t="s">
        <v>316</v>
      </c>
      <c r="D950" s="122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213"/>
      <c r="Q950" s="76"/>
      <c r="R950" s="108"/>
      <c r="S950" s="108"/>
      <c r="T950" s="94"/>
      <c r="U950" s="120"/>
      <c r="V950" s="67"/>
      <c r="W950" s="123"/>
      <c r="X950" s="123"/>
      <c r="Y950" s="125"/>
      <c r="Z950" s="126"/>
      <c r="AA950" s="126"/>
      <c r="AB950" s="127"/>
      <c r="AC950" s="62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125"/>
      <c r="AN950" s="75"/>
      <c r="AO950" s="216"/>
      <c r="AP950" s="75"/>
      <c r="AQ950" s="51"/>
      <c r="AR950" s="217"/>
      <c r="AS950" s="218"/>
      <c r="AT950" s="219"/>
      <c r="AU950" s="220"/>
      <c r="AV950" s="135"/>
      <c r="AW950" s="136"/>
      <c r="AX950" s="137"/>
      <c r="AY950" s="138"/>
    </row>
    <row r="951" spans="1:51" s="139" customFormat="1" ht="11.25" hidden="1" x14ac:dyDescent="0.25">
      <c r="A951" s="1"/>
      <c r="B951" s="140">
        <v>1</v>
      </c>
      <c r="C951" s="333" t="s">
        <v>317</v>
      </c>
      <c r="D951" s="142"/>
      <c r="E951" s="143"/>
      <c r="F951" s="143"/>
      <c r="G951" s="143"/>
      <c r="H951" s="143"/>
      <c r="I951" s="143"/>
      <c r="J951" s="143"/>
      <c r="K951" s="143"/>
      <c r="L951" s="143"/>
      <c r="M951" s="143"/>
      <c r="N951" s="222"/>
      <c r="O951" s="222">
        <v>4862121</v>
      </c>
      <c r="P951" s="145"/>
      <c r="Q951" s="304">
        <f>MAX(D951:P951)</f>
        <v>4862121</v>
      </c>
      <c r="R951" s="147">
        <f>Q951*$R$7</f>
        <v>1152322.6769999999</v>
      </c>
      <c r="S951" s="147">
        <f>R951/$S$5</f>
        <v>3157.0484301369861</v>
      </c>
      <c r="T951" s="148">
        <f>S951*$T$5*$T$7</f>
        <v>1037090.4092999999</v>
      </c>
      <c r="U951" s="420"/>
      <c r="V951" s="407"/>
      <c r="W951" s="236"/>
      <c r="X951" s="236"/>
      <c r="Y951" s="408"/>
      <c r="Z951" s="409"/>
      <c r="AA951" s="409"/>
      <c r="AB951" s="410"/>
      <c r="AC951" s="155"/>
      <c r="AD951" s="156"/>
      <c r="AE951" s="156"/>
      <c r="AF951" s="156"/>
      <c r="AG951" s="156"/>
      <c r="AH951" s="156"/>
      <c r="AI951" s="156"/>
      <c r="AJ951" s="156"/>
      <c r="AK951" s="156"/>
      <c r="AL951" s="156"/>
      <c r="AM951" s="157"/>
      <c r="AN951" s="158">
        <f t="shared" ref="AN951:AN1004" si="956">$AN$641</f>
        <v>4000</v>
      </c>
      <c r="AO951" s="159"/>
      <c r="AP951" s="160"/>
      <c r="AQ951" s="161"/>
      <c r="AR951" s="162"/>
      <c r="AS951" s="163"/>
      <c r="AT951" s="164"/>
      <c r="AU951" s="165"/>
      <c r="AV951" s="166"/>
      <c r="AW951" s="167"/>
      <c r="AX951" s="146"/>
      <c r="AY951" s="168"/>
    </row>
    <row r="952" spans="1:51" s="139" customFormat="1" ht="11.25" hidden="1" x14ac:dyDescent="0.25">
      <c r="A952" s="1"/>
      <c r="B952" s="140"/>
      <c r="C952" s="339"/>
      <c r="D952" s="142"/>
      <c r="E952" s="143"/>
      <c r="F952" s="143"/>
      <c r="G952" s="143"/>
      <c r="H952" s="143"/>
      <c r="I952" s="143"/>
      <c r="J952" s="143"/>
      <c r="K952" s="143"/>
      <c r="L952" s="143"/>
      <c r="M952" s="143"/>
      <c r="N952" s="222"/>
      <c r="O952" s="222"/>
      <c r="P952" s="145"/>
      <c r="Q952" s="223"/>
      <c r="R952" s="167"/>
      <c r="S952" s="429"/>
      <c r="T952" s="146"/>
      <c r="U952" s="420" t="s">
        <v>685</v>
      </c>
      <c r="V952" s="407">
        <v>13.6</v>
      </c>
      <c r="W952" s="236">
        <f>1524*365</f>
        <v>556260</v>
      </c>
      <c r="X952" s="236"/>
      <c r="Y952" s="408"/>
      <c r="Z952" s="409"/>
      <c r="AA952" s="409"/>
      <c r="AB952" s="410"/>
      <c r="AC952" s="411">
        <f>W952*52%</f>
        <v>289255.2</v>
      </c>
      <c r="AD952" s="412">
        <f>W952*25%</f>
        <v>139065</v>
      </c>
      <c r="AE952" s="412">
        <f>W952*9%</f>
        <v>50063.4</v>
      </c>
      <c r="AF952" s="412">
        <f>W952*5%</f>
        <v>27813</v>
      </c>
      <c r="AG952" s="412">
        <f>W952*3%</f>
        <v>16687.8</v>
      </c>
      <c r="AH952" s="412">
        <f>W952*1%</f>
        <v>5562.6</v>
      </c>
      <c r="AI952" s="412">
        <f>W952*2%</f>
        <v>11125.2</v>
      </c>
      <c r="AJ952" s="412">
        <f>W952*1%</f>
        <v>5562.6</v>
      </c>
      <c r="AK952" s="412">
        <f>W952*4%</f>
        <v>22250.400000000001</v>
      </c>
      <c r="AL952" s="412">
        <f>W952*1%</f>
        <v>5562.6</v>
      </c>
      <c r="AM952" s="413">
        <f>SUM(AD952:AI952)</f>
        <v>250317</v>
      </c>
      <c r="AN952" s="158">
        <f t="shared" si="956"/>
        <v>4000</v>
      </c>
      <c r="AO952" s="159">
        <v>0.2</v>
      </c>
      <c r="AP952" s="160">
        <f>AM952*AN952*$AP$5</f>
        <v>4192108862.3999996</v>
      </c>
      <c r="AQ952" s="161">
        <f>AP952*$AQ$5</f>
        <v>1164474.7771579747</v>
      </c>
      <c r="AR952" s="162">
        <f>AQ952*$AR$5</f>
        <v>232894.95543159495</v>
      </c>
      <c r="AS952" s="163"/>
      <c r="AT952" s="233"/>
      <c r="AU952" s="187">
        <v>3</v>
      </c>
      <c r="AV952" s="414">
        <f>AR952/$AV$5</f>
        <v>33.232727658618003</v>
      </c>
      <c r="AW952" s="415">
        <f>AV952</f>
        <v>33.232727658618003</v>
      </c>
      <c r="AX952" s="157">
        <f>SUM(AU952:AV952)</f>
        <v>36.232727658618003</v>
      </c>
      <c r="AY952" s="168"/>
    </row>
    <row r="953" spans="1:51" s="139" customFormat="1" ht="11.25" hidden="1" x14ac:dyDescent="0.25">
      <c r="A953" s="1"/>
      <c r="B953" s="140"/>
      <c r="C953" s="339"/>
      <c r="D953" s="142"/>
      <c r="E953" s="143"/>
      <c r="F953" s="143"/>
      <c r="G953" s="143"/>
      <c r="H953" s="143"/>
      <c r="I953" s="143"/>
      <c r="J953" s="143"/>
      <c r="K953" s="143"/>
      <c r="L953" s="143"/>
      <c r="M953" s="143"/>
      <c r="N953" s="222"/>
      <c r="O953" s="222"/>
      <c r="P953" s="145"/>
      <c r="Q953" s="223"/>
      <c r="R953" s="167"/>
      <c r="S953" s="429"/>
      <c r="T953" s="146"/>
      <c r="U953" s="420" t="s">
        <v>686</v>
      </c>
      <c r="V953" s="407">
        <v>20</v>
      </c>
      <c r="W953" s="236"/>
      <c r="X953" s="236"/>
      <c r="Y953" s="408"/>
      <c r="Z953" s="409"/>
      <c r="AA953" s="409"/>
      <c r="AB953" s="410"/>
      <c r="AC953" s="411">
        <f>W953*52%</f>
        <v>0</v>
      </c>
      <c r="AD953" s="412">
        <f>W953*25%</f>
        <v>0</v>
      </c>
      <c r="AE953" s="412">
        <f>W953*9%</f>
        <v>0</v>
      </c>
      <c r="AF953" s="412">
        <f>W953*5%</f>
        <v>0</v>
      </c>
      <c r="AG953" s="412">
        <f>W953*3%</f>
        <v>0</v>
      </c>
      <c r="AH953" s="412">
        <f>W953*1%</f>
        <v>0</v>
      </c>
      <c r="AI953" s="412">
        <f>W953*2%</f>
        <v>0</v>
      </c>
      <c r="AJ953" s="412">
        <f>W953*1%</f>
        <v>0</v>
      </c>
      <c r="AK953" s="412">
        <f>W953*4%</f>
        <v>0</v>
      </c>
      <c r="AL953" s="412">
        <f>W953*1%</f>
        <v>0</v>
      </c>
      <c r="AM953" s="413">
        <f>SUM(AD953:AI953)</f>
        <v>0</v>
      </c>
      <c r="AN953" s="158">
        <f t="shared" si="956"/>
        <v>4000</v>
      </c>
      <c r="AO953" s="159">
        <v>0.2</v>
      </c>
      <c r="AP953" s="160">
        <f>AM953*AN953*$AP$5</f>
        <v>0</v>
      </c>
      <c r="AQ953" s="161">
        <f>AP953*$AQ$5</f>
        <v>0</v>
      </c>
      <c r="AR953" s="162">
        <f>AQ953*$AR$5</f>
        <v>0</v>
      </c>
      <c r="AS953" s="163"/>
      <c r="AT953" s="233"/>
      <c r="AU953" s="187"/>
      <c r="AV953" s="414">
        <f>AR953/$AV$5</f>
        <v>0</v>
      </c>
      <c r="AW953" s="415"/>
      <c r="AX953" s="146">
        <f>SUM(AU953:AV953)</f>
        <v>0</v>
      </c>
      <c r="AY953" s="168"/>
    </row>
    <row r="954" spans="1:51" s="139" customFormat="1" ht="11.25" hidden="1" x14ac:dyDescent="0.25">
      <c r="A954" s="1"/>
      <c r="B954" s="140">
        <v>2</v>
      </c>
      <c r="C954" s="333" t="s">
        <v>318</v>
      </c>
      <c r="D954" s="142"/>
      <c r="E954" s="143"/>
      <c r="F954" s="143"/>
      <c r="G954" s="143"/>
      <c r="H954" s="143"/>
      <c r="I954" s="143"/>
      <c r="J954" s="143"/>
      <c r="K954" s="143"/>
      <c r="L954" s="143"/>
      <c r="M954" s="143"/>
      <c r="N954" s="222"/>
      <c r="O954" s="222">
        <v>2385663</v>
      </c>
      <c r="P954" s="145"/>
      <c r="Q954" s="304">
        <f>MAX(D954:P954)</f>
        <v>2385663</v>
      </c>
      <c r="R954" s="147">
        <f>Q954*$R$7</f>
        <v>565402.13099999994</v>
      </c>
      <c r="S954" s="147">
        <f>R954/$S$5</f>
        <v>1549.0469342465751</v>
      </c>
      <c r="T954" s="148">
        <f>S954*$T$5*$T$7</f>
        <v>508861.91789999994</v>
      </c>
      <c r="U954" s="420"/>
      <c r="V954" s="407"/>
      <c r="W954" s="236"/>
      <c r="X954" s="236"/>
      <c r="Y954" s="408"/>
      <c r="Z954" s="409"/>
      <c r="AA954" s="409"/>
      <c r="AB954" s="410"/>
      <c r="AC954" s="155"/>
      <c r="AD954" s="156"/>
      <c r="AE954" s="156"/>
      <c r="AF954" s="156"/>
      <c r="AG954" s="156"/>
      <c r="AH954" s="156"/>
      <c r="AI954" s="156"/>
      <c r="AJ954" s="156"/>
      <c r="AK954" s="156"/>
      <c r="AL954" s="156"/>
      <c r="AM954" s="157"/>
      <c r="AN954" s="158">
        <f t="shared" si="956"/>
        <v>4000</v>
      </c>
      <c r="AO954" s="159"/>
      <c r="AP954" s="160"/>
      <c r="AQ954" s="161"/>
      <c r="AR954" s="162"/>
      <c r="AS954" s="163"/>
      <c r="AT954" s="164"/>
      <c r="AU954" s="165"/>
      <c r="AV954" s="166"/>
      <c r="AW954" s="167"/>
      <c r="AX954" s="146"/>
      <c r="AY954" s="168"/>
    </row>
    <row r="955" spans="1:51" s="139" customFormat="1" ht="11.25" hidden="1" x14ac:dyDescent="0.25">
      <c r="A955" s="1"/>
      <c r="B955" s="140"/>
      <c r="C955" s="339"/>
      <c r="D955" s="142"/>
      <c r="E955" s="143"/>
      <c r="F955" s="143"/>
      <c r="G955" s="143"/>
      <c r="H955" s="143"/>
      <c r="I955" s="143"/>
      <c r="J955" s="143"/>
      <c r="K955" s="143"/>
      <c r="L955" s="143"/>
      <c r="M955" s="143"/>
      <c r="N955" s="222"/>
      <c r="O955" s="222"/>
      <c r="P955" s="145"/>
      <c r="Q955" s="223"/>
      <c r="R955" s="167"/>
      <c r="S955" s="429"/>
      <c r="T955" s="146"/>
      <c r="U955" s="420" t="s">
        <v>687</v>
      </c>
      <c r="V955" s="407"/>
      <c r="W955" s="236"/>
      <c r="X955" s="236"/>
      <c r="Y955" s="408"/>
      <c r="Z955" s="409"/>
      <c r="AA955" s="409"/>
      <c r="AB955" s="410"/>
      <c r="AC955" s="411">
        <f>W955*52%</f>
        <v>0</v>
      </c>
      <c r="AD955" s="412">
        <f>W955*25%</f>
        <v>0</v>
      </c>
      <c r="AE955" s="412">
        <f>W955*9%</f>
        <v>0</v>
      </c>
      <c r="AF955" s="412">
        <f>W955*5%</f>
        <v>0</v>
      </c>
      <c r="AG955" s="412">
        <f>W955*3%</f>
        <v>0</v>
      </c>
      <c r="AH955" s="412">
        <f>W955*1%</f>
        <v>0</v>
      </c>
      <c r="AI955" s="412">
        <f>W955*2%</f>
        <v>0</v>
      </c>
      <c r="AJ955" s="412">
        <f>W955*1%</f>
        <v>0</v>
      </c>
      <c r="AK955" s="412">
        <f>W955*4%</f>
        <v>0</v>
      </c>
      <c r="AL955" s="412">
        <f>W955*1%</f>
        <v>0</v>
      </c>
      <c r="AM955" s="413">
        <f>SUM(AD955:AI955)</f>
        <v>0</v>
      </c>
      <c r="AN955" s="158">
        <f t="shared" si="956"/>
        <v>4000</v>
      </c>
      <c r="AO955" s="159">
        <v>0.2</v>
      </c>
      <c r="AP955" s="160">
        <f>AM955*AN955*$AP$5</f>
        <v>0</v>
      </c>
      <c r="AQ955" s="161">
        <f>AP955*$AQ$5</f>
        <v>0</v>
      </c>
      <c r="AR955" s="162">
        <f>AQ955*$AR$5</f>
        <v>0</v>
      </c>
      <c r="AS955" s="163"/>
      <c r="AT955" s="233"/>
      <c r="AU955" s="187"/>
      <c r="AV955" s="414">
        <f>AR955/$AV$5</f>
        <v>0</v>
      </c>
      <c r="AW955" s="415"/>
      <c r="AX955" s="146">
        <f>SUM(AU955:AV955)</f>
        <v>0</v>
      </c>
      <c r="AY955" s="168"/>
    </row>
    <row r="956" spans="1:51" s="139" customFormat="1" ht="11.25" hidden="1" x14ac:dyDescent="0.25">
      <c r="A956" s="1"/>
      <c r="B956" s="140">
        <v>3</v>
      </c>
      <c r="C956" s="333" t="s">
        <v>319</v>
      </c>
      <c r="D956" s="142"/>
      <c r="E956" s="143"/>
      <c r="F956" s="143"/>
      <c r="G956" s="143"/>
      <c r="H956" s="143"/>
      <c r="I956" s="143"/>
      <c r="J956" s="143"/>
      <c r="K956" s="143"/>
      <c r="L956" s="143"/>
      <c r="M956" s="143"/>
      <c r="N956" s="222"/>
      <c r="O956" s="222">
        <v>2212318</v>
      </c>
      <c r="P956" s="145"/>
      <c r="Q956" s="304">
        <f>MAX(D956:P956)</f>
        <v>2212318</v>
      </c>
      <c r="R956" s="147">
        <f>Q956*$R$7</f>
        <v>524319.36599999992</v>
      </c>
      <c r="S956" s="147">
        <f>R956/$S$5</f>
        <v>1436.4914136986299</v>
      </c>
      <c r="T956" s="148">
        <f>S956*$T$5*$T$7</f>
        <v>471887.42939999996</v>
      </c>
      <c r="U956" s="420"/>
      <c r="V956" s="407"/>
      <c r="W956" s="236"/>
      <c r="X956" s="236"/>
      <c r="Y956" s="408"/>
      <c r="Z956" s="409"/>
      <c r="AA956" s="409"/>
      <c r="AB956" s="410"/>
      <c r="AC956" s="155"/>
      <c r="AD956" s="156"/>
      <c r="AE956" s="156"/>
      <c r="AF956" s="156"/>
      <c r="AG956" s="156"/>
      <c r="AH956" s="156"/>
      <c r="AI956" s="156"/>
      <c r="AJ956" s="156"/>
      <c r="AK956" s="156"/>
      <c r="AL956" s="156"/>
      <c r="AM956" s="157"/>
      <c r="AN956" s="158">
        <f t="shared" si="956"/>
        <v>4000</v>
      </c>
      <c r="AO956" s="159"/>
      <c r="AP956" s="160"/>
      <c r="AQ956" s="161"/>
      <c r="AR956" s="162"/>
      <c r="AS956" s="163"/>
      <c r="AT956" s="164"/>
      <c r="AU956" s="165"/>
      <c r="AV956" s="166"/>
      <c r="AW956" s="167"/>
      <c r="AX956" s="146"/>
      <c r="AY956" s="168"/>
    </row>
    <row r="957" spans="1:51" s="139" customFormat="1" ht="11.25" hidden="1" x14ac:dyDescent="0.25">
      <c r="A957" s="1"/>
      <c r="B957" s="140"/>
      <c r="C957" s="339"/>
      <c r="D957" s="142"/>
      <c r="E957" s="143"/>
      <c r="F957" s="143"/>
      <c r="G957" s="143"/>
      <c r="H957" s="143"/>
      <c r="I957" s="143"/>
      <c r="J957" s="143"/>
      <c r="K957" s="143"/>
      <c r="L957" s="143"/>
      <c r="M957" s="143"/>
      <c r="N957" s="222"/>
      <c r="O957" s="222"/>
      <c r="P957" s="145"/>
      <c r="Q957" s="223"/>
      <c r="R957" s="167"/>
      <c r="S957" s="429"/>
      <c r="T957" s="146"/>
      <c r="U957" s="420" t="s">
        <v>688</v>
      </c>
      <c r="V957" s="407">
        <v>6</v>
      </c>
      <c r="W957" s="236">
        <f>(200*0.25)*365</f>
        <v>18250</v>
      </c>
      <c r="X957" s="236"/>
      <c r="Y957" s="408"/>
      <c r="Z957" s="409"/>
      <c r="AA957" s="409"/>
      <c r="AB957" s="410"/>
      <c r="AC957" s="411">
        <f>W957*52%</f>
        <v>9490</v>
      </c>
      <c r="AD957" s="412">
        <f>W957*25%</f>
        <v>4562.5</v>
      </c>
      <c r="AE957" s="412">
        <f>W957*9%</f>
        <v>1642.5</v>
      </c>
      <c r="AF957" s="412">
        <f>W957*5%</f>
        <v>912.5</v>
      </c>
      <c r="AG957" s="412">
        <f>W957*3%</f>
        <v>547.5</v>
      </c>
      <c r="AH957" s="412">
        <f>W957*1%</f>
        <v>182.5</v>
      </c>
      <c r="AI957" s="412">
        <f>W957*2%</f>
        <v>365</v>
      </c>
      <c r="AJ957" s="412">
        <f>W957*1%</f>
        <v>182.5</v>
      </c>
      <c r="AK957" s="412">
        <f>W957*4%</f>
        <v>730</v>
      </c>
      <c r="AL957" s="412">
        <f>W957*1%</f>
        <v>182.5</v>
      </c>
      <c r="AM957" s="413">
        <f>SUM(AD957:AI957)</f>
        <v>8212.5</v>
      </c>
      <c r="AN957" s="158">
        <f t="shared" si="956"/>
        <v>4000</v>
      </c>
      <c r="AO957" s="159">
        <v>0.2</v>
      </c>
      <c r="AP957" s="160">
        <f>AM957*AN957*$AP$5</f>
        <v>137536380</v>
      </c>
      <c r="AQ957" s="161">
        <f>AP957*$AQ$5</f>
        <v>38204.553056363999</v>
      </c>
      <c r="AR957" s="162">
        <f>AQ957*$AR$5</f>
        <v>7640.9106112728005</v>
      </c>
      <c r="AS957" s="163"/>
      <c r="AT957" s="233"/>
      <c r="AU957" s="187"/>
      <c r="AV957" s="414">
        <f>AR957/$AV$5</f>
        <v>1.0903125872250001</v>
      </c>
      <c r="AW957" s="415"/>
      <c r="AX957" s="146">
        <f>SUM(AU957:AV957)</f>
        <v>1.0903125872250001</v>
      </c>
      <c r="AY957" s="168"/>
    </row>
    <row r="958" spans="1:51" s="139" customFormat="1" ht="11.25" hidden="1" x14ac:dyDescent="0.25">
      <c r="A958" s="1"/>
      <c r="B958" s="140">
        <v>4</v>
      </c>
      <c r="C958" s="333" t="s">
        <v>320</v>
      </c>
      <c r="D958" s="142"/>
      <c r="E958" s="143"/>
      <c r="F958" s="143"/>
      <c r="G958" s="143"/>
      <c r="H958" s="143"/>
      <c r="I958" s="143"/>
      <c r="J958" s="143"/>
      <c r="K958" s="143"/>
      <c r="L958" s="143"/>
      <c r="M958" s="143"/>
      <c r="N958" s="222"/>
      <c r="O958" s="222">
        <v>3238617</v>
      </c>
      <c r="P958" s="145"/>
      <c r="Q958" s="304">
        <f>MAX(D958:P958)</f>
        <v>3238617</v>
      </c>
      <c r="R958" s="147">
        <f>Q958*$R$7</f>
        <v>767552.22899999993</v>
      </c>
      <c r="S958" s="147">
        <f>R958/$S$5</f>
        <v>2102.8828191780822</v>
      </c>
      <c r="T958" s="148">
        <f>S958*$T$5*$T$7</f>
        <v>690797.00610000012</v>
      </c>
      <c r="U958" s="420"/>
      <c r="V958" s="407"/>
      <c r="W958" s="236"/>
      <c r="X958" s="236"/>
      <c r="Y958" s="408"/>
      <c r="Z958" s="409"/>
      <c r="AA958" s="409"/>
      <c r="AB958" s="410"/>
      <c r="AC958" s="155"/>
      <c r="AD958" s="156"/>
      <c r="AE958" s="156"/>
      <c r="AF958" s="156"/>
      <c r="AG958" s="156"/>
      <c r="AH958" s="156"/>
      <c r="AI958" s="156"/>
      <c r="AJ958" s="156"/>
      <c r="AK958" s="156"/>
      <c r="AL958" s="156"/>
      <c r="AM958" s="157"/>
      <c r="AN958" s="158">
        <f t="shared" si="956"/>
        <v>4000</v>
      </c>
      <c r="AO958" s="159"/>
      <c r="AP958" s="160"/>
      <c r="AQ958" s="161"/>
      <c r="AR958" s="162"/>
      <c r="AS958" s="163"/>
      <c r="AT958" s="164"/>
      <c r="AU958" s="165"/>
      <c r="AV958" s="166"/>
      <c r="AW958" s="167"/>
      <c r="AX958" s="146"/>
      <c r="AY958" s="168"/>
    </row>
    <row r="959" spans="1:51" s="139" customFormat="1" ht="11.25" hidden="1" x14ac:dyDescent="0.25">
      <c r="A959" s="1"/>
      <c r="B959" s="140">
        <v>5</v>
      </c>
      <c r="C959" s="333" t="s">
        <v>321</v>
      </c>
      <c r="D959" s="142"/>
      <c r="E959" s="143"/>
      <c r="F959" s="143"/>
      <c r="G959" s="143"/>
      <c r="H959" s="143"/>
      <c r="I959" s="143"/>
      <c r="J959" s="143"/>
      <c r="K959" s="143"/>
      <c r="L959" s="143"/>
      <c r="M959" s="143"/>
      <c r="N959" s="222"/>
      <c r="O959" s="222">
        <v>2449559</v>
      </c>
      <c r="P959" s="145"/>
      <c r="Q959" s="304">
        <f>MAX(D959:P959)</f>
        <v>2449559</v>
      </c>
      <c r="R959" s="147">
        <f>Q959*$R$7</f>
        <v>580545.48300000001</v>
      </c>
      <c r="S959" s="147">
        <f>R959/$S$5</f>
        <v>1590.5355698630137</v>
      </c>
      <c r="T959" s="148">
        <f>S959*$T$5*$T$7</f>
        <v>522490.93470000004</v>
      </c>
      <c r="U959" s="420"/>
      <c r="V959" s="407"/>
      <c r="W959" s="236"/>
      <c r="X959" s="236"/>
      <c r="Y959" s="408"/>
      <c r="Z959" s="409"/>
      <c r="AA959" s="409"/>
      <c r="AB959" s="410"/>
      <c r="AC959" s="155"/>
      <c r="AD959" s="156"/>
      <c r="AE959" s="156"/>
      <c r="AF959" s="156"/>
      <c r="AG959" s="156"/>
      <c r="AH959" s="156"/>
      <c r="AI959" s="156"/>
      <c r="AJ959" s="156"/>
      <c r="AK959" s="156"/>
      <c r="AL959" s="156"/>
      <c r="AM959" s="157"/>
      <c r="AN959" s="158">
        <f t="shared" si="956"/>
        <v>4000</v>
      </c>
      <c r="AO959" s="159"/>
      <c r="AP959" s="160"/>
      <c r="AQ959" s="161"/>
      <c r="AR959" s="162"/>
      <c r="AS959" s="163"/>
      <c r="AT959" s="164"/>
      <c r="AU959" s="165"/>
      <c r="AV959" s="166"/>
      <c r="AW959" s="167"/>
      <c r="AX959" s="146"/>
      <c r="AY959" s="168"/>
    </row>
    <row r="960" spans="1:51" s="139" customFormat="1" ht="11.25" hidden="1" x14ac:dyDescent="0.25">
      <c r="A960" s="1"/>
      <c r="B960" s="140"/>
      <c r="C960" s="339"/>
      <c r="D960" s="142"/>
      <c r="E960" s="143"/>
      <c r="F960" s="143"/>
      <c r="G960" s="143"/>
      <c r="H960" s="143"/>
      <c r="I960" s="143"/>
      <c r="J960" s="143"/>
      <c r="K960" s="143"/>
      <c r="L960" s="143"/>
      <c r="M960" s="143"/>
      <c r="N960" s="222"/>
      <c r="O960" s="222"/>
      <c r="P960" s="145"/>
      <c r="Q960" s="223"/>
      <c r="R960" s="167"/>
      <c r="S960" s="429"/>
      <c r="T960" s="146"/>
      <c r="U960" s="420" t="s">
        <v>689</v>
      </c>
      <c r="V960" s="407"/>
      <c r="W960" s="236"/>
      <c r="X960" s="236"/>
      <c r="Y960" s="408"/>
      <c r="Z960" s="409"/>
      <c r="AA960" s="409"/>
      <c r="AB960" s="410"/>
      <c r="AC960" s="411">
        <f>W960*52%</f>
        <v>0</v>
      </c>
      <c r="AD960" s="412">
        <f>W960*25%</f>
        <v>0</v>
      </c>
      <c r="AE960" s="412">
        <f>W960*9%</f>
        <v>0</v>
      </c>
      <c r="AF960" s="412">
        <f>W960*5%</f>
        <v>0</v>
      </c>
      <c r="AG960" s="412">
        <f>W960*3%</f>
        <v>0</v>
      </c>
      <c r="AH960" s="412">
        <f>W960*1%</f>
        <v>0</v>
      </c>
      <c r="AI960" s="412">
        <f>W960*2%</f>
        <v>0</v>
      </c>
      <c r="AJ960" s="412">
        <f>W960*1%</f>
        <v>0</v>
      </c>
      <c r="AK960" s="412">
        <f>W960*4%</f>
        <v>0</v>
      </c>
      <c r="AL960" s="412">
        <f>W960*1%</f>
        <v>0</v>
      </c>
      <c r="AM960" s="413">
        <f>SUM(AD960:AI960)</f>
        <v>0</v>
      </c>
      <c r="AN960" s="158">
        <f t="shared" si="956"/>
        <v>4000</v>
      </c>
      <c r="AO960" s="159">
        <v>0.2</v>
      </c>
      <c r="AP960" s="160">
        <f>AM960*AN960*$AP$5</f>
        <v>0</v>
      </c>
      <c r="AQ960" s="161">
        <f>AP960*$AQ$5</f>
        <v>0</v>
      </c>
      <c r="AR960" s="162">
        <f>AQ960*$AR$5</f>
        <v>0</v>
      </c>
      <c r="AS960" s="163"/>
      <c r="AT960" s="233"/>
      <c r="AU960" s="187"/>
      <c r="AV960" s="414">
        <f>AR960/$AV$5</f>
        <v>0</v>
      </c>
      <c r="AW960" s="415"/>
      <c r="AX960" s="146">
        <f>SUM(AU960:AV960)</f>
        <v>0</v>
      </c>
      <c r="AY960" s="168"/>
    </row>
    <row r="961" spans="1:51" s="139" customFormat="1" ht="11.25" hidden="1" x14ac:dyDescent="0.25">
      <c r="A961" s="1"/>
      <c r="B961" s="140">
        <v>6</v>
      </c>
      <c r="C961" s="333" t="s">
        <v>322</v>
      </c>
      <c r="D961" s="142"/>
      <c r="E961" s="143"/>
      <c r="F961" s="143"/>
      <c r="G961" s="143"/>
      <c r="H961" s="143"/>
      <c r="I961" s="143"/>
      <c r="J961" s="143"/>
      <c r="K961" s="143"/>
      <c r="L961" s="143"/>
      <c r="M961" s="143"/>
      <c r="N961" s="222"/>
      <c r="O961" s="222">
        <v>1707344</v>
      </c>
      <c r="P961" s="145"/>
      <c r="Q961" s="304">
        <f>MAX(D961:P961)</f>
        <v>1707344</v>
      </c>
      <c r="R961" s="147">
        <f>Q961*$R$7</f>
        <v>404640.52799999999</v>
      </c>
      <c r="S961" s="147">
        <f>R961/$S$5</f>
        <v>1108.6041863013697</v>
      </c>
      <c r="T961" s="148">
        <f>S961*$T$5*$T$7</f>
        <v>364176.47519999993</v>
      </c>
      <c r="U961" s="420"/>
      <c r="V961" s="407"/>
      <c r="W961" s="236"/>
      <c r="X961" s="236"/>
      <c r="Y961" s="408"/>
      <c r="Z961" s="409"/>
      <c r="AA961" s="409"/>
      <c r="AB961" s="410"/>
      <c r="AC961" s="155"/>
      <c r="AD961" s="156"/>
      <c r="AE961" s="156"/>
      <c r="AF961" s="156"/>
      <c r="AG961" s="156"/>
      <c r="AH961" s="156"/>
      <c r="AI961" s="156"/>
      <c r="AJ961" s="156"/>
      <c r="AK961" s="156"/>
      <c r="AL961" s="156"/>
      <c r="AM961" s="157"/>
      <c r="AN961" s="158">
        <f t="shared" si="956"/>
        <v>4000</v>
      </c>
      <c r="AO961" s="159"/>
      <c r="AP961" s="160"/>
      <c r="AQ961" s="161"/>
      <c r="AR961" s="162"/>
      <c r="AS961" s="163"/>
      <c r="AT961" s="164"/>
      <c r="AU961" s="165"/>
      <c r="AV961" s="166"/>
      <c r="AW961" s="167"/>
      <c r="AX961" s="146"/>
      <c r="AY961" s="168"/>
    </row>
    <row r="962" spans="1:51" s="139" customFormat="1" ht="11.25" hidden="1" x14ac:dyDescent="0.25">
      <c r="A962" s="1"/>
      <c r="B962" s="140"/>
      <c r="C962" s="339"/>
      <c r="D962" s="142"/>
      <c r="E962" s="143"/>
      <c r="F962" s="143"/>
      <c r="G962" s="143"/>
      <c r="H962" s="143"/>
      <c r="I962" s="143"/>
      <c r="J962" s="143"/>
      <c r="K962" s="143"/>
      <c r="L962" s="143"/>
      <c r="M962" s="143"/>
      <c r="N962" s="222"/>
      <c r="O962" s="222"/>
      <c r="P962" s="145"/>
      <c r="Q962" s="223"/>
      <c r="R962" s="167"/>
      <c r="S962" s="429"/>
      <c r="T962" s="146"/>
      <c r="U962" s="420" t="s">
        <v>690</v>
      </c>
      <c r="V962" s="407"/>
      <c r="W962" s="236"/>
      <c r="X962" s="236"/>
      <c r="Y962" s="408"/>
      <c r="Z962" s="409"/>
      <c r="AA962" s="409"/>
      <c r="AB962" s="410"/>
      <c r="AC962" s="411">
        <f>W962*52%</f>
        <v>0</v>
      </c>
      <c r="AD962" s="412">
        <f>W962*25%</f>
        <v>0</v>
      </c>
      <c r="AE962" s="412">
        <f>W962*9%</f>
        <v>0</v>
      </c>
      <c r="AF962" s="412">
        <f>W962*5%</f>
        <v>0</v>
      </c>
      <c r="AG962" s="412">
        <f>W962*3%</f>
        <v>0</v>
      </c>
      <c r="AH962" s="412">
        <f>W962*1%</f>
        <v>0</v>
      </c>
      <c r="AI962" s="412">
        <f>W962*2%</f>
        <v>0</v>
      </c>
      <c r="AJ962" s="412">
        <f>W962*1%</f>
        <v>0</v>
      </c>
      <c r="AK962" s="412">
        <f>W962*4%</f>
        <v>0</v>
      </c>
      <c r="AL962" s="412">
        <f>W962*1%</f>
        <v>0</v>
      </c>
      <c r="AM962" s="413">
        <f>SUM(AD962:AI962)</f>
        <v>0</v>
      </c>
      <c r="AN962" s="158">
        <f t="shared" si="956"/>
        <v>4000</v>
      </c>
      <c r="AO962" s="159">
        <v>0.2</v>
      </c>
      <c r="AP962" s="160">
        <f>AM962*AN962*$AP$5</f>
        <v>0</v>
      </c>
      <c r="AQ962" s="161">
        <f>AP962*$AQ$5</f>
        <v>0</v>
      </c>
      <c r="AR962" s="162">
        <f>AQ962*$AR$5</f>
        <v>0</v>
      </c>
      <c r="AS962" s="163"/>
      <c r="AT962" s="233"/>
      <c r="AU962" s="187"/>
      <c r="AV962" s="414">
        <f>AR962/$AV$5</f>
        <v>0</v>
      </c>
      <c r="AW962" s="415"/>
      <c r="AX962" s="146">
        <f>SUM(AU962:AV962)</f>
        <v>0</v>
      </c>
      <c r="AY962" s="168"/>
    </row>
    <row r="963" spans="1:51" s="139" customFormat="1" ht="11.25" hidden="1" x14ac:dyDescent="0.25">
      <c r="A963" s="1"/>
      <c r="B963" s="140">
        <v>7</v>
      </c>
      <c r="C963" s="333" t="s">
        <v>323</v>
      </c>
      <c r="D963" s="142"/>
      <c r="E963" s="143"/>
      <c r="F963" s="143"/>
      <c r="G963" s="143"/>
      <c r="H963" s="143"/>
      <c r="I963" s="143"/>
      <c r="J963" s="143"/>
      <c r="K963" s="143"/>
      <c r="L963" s="143"/>
      <c r="M963" s="143"/>
      <c r="N963" s="222"/>
      <c r="O963" s="222">
        <v>1561468</v>
      </c>
      <c r="P963" s="145"/>
      <c r="Q963" s="304">
        <f>MAX(D963:P963)</f>
        <v>1561468</v>
      </c>
      <c r="R963" s="147">
        <f>Q963*$R$7</f>
        <v>370067.91599999997</v>
      </c>
      <c r="S963" s="147">
        <f>R963/$S$5</f>
        <v>1013.8847013698629</v>
      </c>
      <c r="T963" s="148">
        <f>S963*$T$5*$T$7</f>
        <v>333061.12439999997</v>
      </c>
      <c r="U963" s="420"/>
      <c r="V963" s="407"/>
      <c r="W963" s="236"/>
      <c r="X963" s="236"/>
      <c r="Y963" s="408"/>
      <c r="Z963" s="409"/>
      <c r="AA963" s="409"/>
      <c r="AB963" s="410"/>
      <c r="AC963" s="155"/>
      <c r="AD963" s="156"/>
      <c r="AE963" s="156"/>
      <c r="AF963" s="156"/>
      <c r="AG963" s="156"/>
      <c r="AH963" s="156"/>
      <c r="AI963" s="156"/>
      <c r="AJ963" s="156"/>
      <c r="AK963" s="156"/>
      <c r="AL963" s="156"/>
      <c r="AM963" s="157"/>
      <c r="AN963" s="158">
        <f t="shared" si="956"/>
        <v>4000</v>
      </c>
      <c r="AO963" s="159"/>
      <c r="AP963" s="160"/>
      <c r="AQ963" s="161"/>
      <c r="AR963" s="162"/>
      <c r="AS963" s="163"/>
      <c r="AT963" s="164"/>
      <c r="AU963" s="165"/>
      <c r="AV963" s="166"/>
      <c r="AW963" s="167"/>
      <c r="AX963" s="146"/>
      <c r="AY963" s="168"/>
    </row>
    <row r="964" spans="1:51" s="139" customFormat="1" ht="11.25" hidden="1" x14ac:dyDescent="0.25">
      <c r="A964" s="1"/>
      <c r="B964" s="140"/>
      <c r="C964" s="339"/>
      <c r="D964" s="142"/>
      <c r="E964" s="143"/>
      <c r="F964" s="143"/>
      <c r="G964" s="143"/>
      <c r="H964" s="143"/>
      <c r="I964" s="143"/>
      <c r="J964" s="143"/>
      <c r="K964" s="143"/>
      <c r="L964" s="143"/>
      <c r="M964" s="143"/>
      <c r="N964" s="222"/>
      <c r="O964" s="222"/>
      <c r="P964" s="145"/>
      <c r="Q964" s="223"/>
      <c r="R964" s="167"/>
      <c r="S964" s="429"/>
      <c r="T964" s="146"/>
      <c r="U964" s="420" t="s">
        <v>691</v>
      </c>
      <c r="V964" s="407"/>
      <c r="W964" s="236"/>
      <c r="X964" s="236"/>
      <c r="Y964" s="408"/>
      <c r="Z964" s="409"/>
      <c r="AA964" s="409"/>
      <c r="AB964" s="410"/>
      <c r="AC964" s="411">
        <f>W964*52%</f>
        <v>0</v>
      </c>
      <c r="AD964" s="412">
        <f>W964*25%</f>
        <v>0</v>
      </c>
      <c r="AE964" s="412">
        <f>W964*9%</f>
        <v>0</v>
      </c>
      <c r="AF964" s="412">
        <f>W964*5%</f>
        <v>0</v>
      </c>
      <c r="AG964" s="412">
        <f>W964*3%</f>
        <v>0</v>
      </c>
      <c r="AH964" s="412">
        <f>W964*1%</f>
        <v>0</v>
      </c>
      <c r="AI964" s="412">
        <f>W964*2%</f>
        <v>0</v>
      </c>
      <c r="AJ964" s="412">
        <f>W964*1%</f>
        <v>0</v>
      </c>
      <c r="AK964" s="412">
        <f>W964*4%</f>
        <v>0</v>
      </c>
      <c r="AL964" s="412">
        <f>W964*1%</f>
        <v>0</v>
      </c>
      <c r="AM964" s="413">
        <f>SUM(AD964:AI964)</f>
        <v>0</v>
      </c>
      <c r="AN964" s="158">
        <f t="shared" si="956"/>
        <v>4000</v>
      </c>
      <c r="AO964" s="159">
        <v>0.2</v>
      </c>
      <c r="AP964" s="160">
        <f>AM964*AN964*$AP$5</f>
        <v>0</v>
      </c>
      <c r="AQ964" s="161">
        <f>AP964*$AQ$5</f>
        <v>0</v>
      </c>
      <c r="AR964" s="162">
        <f>AQ964*$AR$5</f>
        <v>0</v>
      </c>
      <c r="AS964" s="163"/>
      <c r="AT964" s="233"/>
      <c r="AU964" s="187"/>
      <c r="AV964" s="414">
        <f>AR964/$AV$5</f>
        <v>0</v>
      </c>
      <c r="AW964" s="415"/>
      <c r="AX964" s="146">
        <f>SUM(AU964:AV964)</f>
        <v>0</v>
      </c>
      <c r="AY964" s="168"/>
    </row>
    <row r="965" spans="1:51" s="139" customFormat="1" ht="11.25" hidden="1" x14ac:dyDescent="0.25">
      <c r="A965" s="1"/>
      <c r="B965" s="140">
        <v>8</v>
      </c>
      <c r="C965" s="333" t="s">
        <v>324</v>
      </c>
      <c r="D965" s="142"/>
      <c r="E965" s="143"/>
      <c r="F965" s="143"/>
      <c r="G965" s="143"/>
      <c r="H965" s="143"/>
      <c r="I965" s="143"/>
      <c r="J965" s="143"/>
      <c r="K965" s="143"/>
      <c r="L965" s="143"/>
      <c r="M965" s="143"/>
      <c r="N965" s="222"/>
      <c r="O965" s="222">
        <v>1055162</v>
      </c>
      <c r="P965" s="145"/>
      <c r="Q965" s="304">
        <f>MAX(D965:P965)</f>
        <v>1055162</v>
      </c>
      <c r="R965" s="147">
        <f>Q965*$R$8</f>
        <v>173046.568</v>
      </c>
      <c r="S965" s="147">
        <f>R965/$S$5</f>
        <v>474.10018630136989</v>
      </c>
      <c r="T965" s="148">
        <f>S965*$T$5*$T$8</f>
        <v>138437.25440000001</v>
      </c>
      <c r="U965" s="420"/>
      <c r="V965" s="407"/>
      <c r="W965" s="236"/>
      <c r="X965" s="236"/>
      <c r="Y965" s="408"/>
      <c r="Z965" s="409"/>
      <c r="AA965" s="409"/>
      <c r="AB965" s="410"/>
      <c r="AC965" s="155"/>
      <c r="AD965" s="156"/>
      <c r="AE965" s="156"/>
      <c r="AF965" s="156"/>
      <c r="AG965" s="156"/>
      <c r="AH965" s="156"/>
      <c r="AI965" s="156"/>
      <c r="AJ965" s="156"/>
      <c r="AK965" s="156"/>
      <c r="AL965" s="156"/>
      <c r="AM965" s="157"/>
      <c r="AN965" s="158">
        <f t="shared" si="956"/>
        <v>4000</v>
      </c>
      <c r="AO965" s="159"/>
      <c r="AP965" s="160"/>
      <c r="AQ965" s="161"/>
      <c r="AR965" s="162"/>
      <c r="AS965" s="163"/>
      <c r="AT965" s="164"/>
      <c r="AU965" s="165"/>
      <c r="AV965" s="166"/>
      <c r="AW965" s="167"/>
      <c r="AX965" s="146"/>
      <c r="AY965" s="168"/>
    </row>
    <row r="966" spans="1:51" s="139" customFormat="1" ht="11.25" hidden="1" x14ac:dyDescent="0.25">
      <c r="A966" s="1"/>
      <c r="B966" s="140"/>
      <c r="C966" s="339"/>
      <c r="D966" s="142"/>
      <c r="E966" s="143"/>
      <c r="F966" s="143"/>
      <c r="G966" s="143"/>
      <c r="H966" s="143"/>
      <c r="I966" s="143"/>
      <c r="J966" s="143"/>
      <c r="K966" s="143"/>
      <c r="L966" s="143"/>
      <c r="M966" s="143"/>
      <c r="N966" s="222"/>
      <c r="O966" s="222"/>
      <c r="P966" s="145"/>
      <c r="Q966" s="223"/>
      <c r="R966" s="167"/>
      <c r="S966" s="429"/>
      <c r="T966" s="146"/>
      <c r="U966" s="420" t="s">
        <v>692</v>
      </c>
      <c r="V966" s="407"/>
      <c r="W966" s="236"/>
      <c r="X966" s="236"/>
      <c r="Y966" s="408"/>
      <c r="Z966" s="409"/>
      <c r="AA966" s="409"/>
      <c r="AB966" s="410"/>
      <c r="AC966" s="411">
        <f>W966*52%</f>
        <v>0</v>
      </c>
      <c r="AD966" s="412">
        <f>W966*25%</f>
        <v>0</v>
      </c>
      <c r="AE966" s="412">
        <f>W966*9%</f>
        <v>0</v>
      </c>
      <c r="AF966" s="412">
        <f>W966*5%</f>
        <v>0</v>
      </c>
      <c r="AG966" s="412">
        <f>W966*3%</f>
        <v>0</v>
      </c>
      <c r="AH966" s="412">
        <f>W966*1%</f>
        <v>0</v>
      </c>
      <c r="AI966" s="412">
        <f>W966*2%</f>
        <v>0</v>
      </c>
      <c r="AJ966" s="412">
        <f>W966*1%</f>
        <v>0</v>
      </c>
      <c r="AK966" s="412">
        <f>W966*4%</f>
        <v>0</v>
      </c>
      <c r="AL966" s="412">
        <f>W966*1%</f>
        <v>0</v>
      </c>
      <c r="AM966" s="413">
        <f>SUM(AD966:AI966)</f>
        <v>0</v>
      </c>
      <c r="AN966" s="158">
        <f t="shared" si="956"/>
        <v>4000</v>
      </c>
      <c r="AO966" s="159">
        <v>0.2</v>
      </c>
      <c r="AP966" s="160">
        <f>AM966*AN966*$AP$5</f>
        <v>0</v>
      </c>
      <c r="AQ966" s="161">
        <f>AP966*$AQ$5</f>
        <v>0</v>
      </c>
      <c r="AR966" s="162">
        <f>AQ966*$AR$5</f>
        <v>0</v>
      </c>
      <c r="AS966" s="163"/>
      <c r="AT966" s="233"/>
      <c r="AU966" s="187"/>
      <c r="AV966" s="414">
        <f>AR966/$AV$5</f>
        <v>0</v>
      </c>
      <c r="AW966" s="415"/>
      <c r="AX966" s="146">
        <f>SUM(AU966:AV966)</f>
        <v>0</v>
      </c>
      <c r="AY966" s="168"/>
    </row>
    <row r="967" spans="1:51" s="139" customFormat="1" ht="11.25" hidden="1" x14ac:dyDescent="0.25">
      <c r="A967" s="1"/>
      <c r="B967" s="140">
        <v>9</v>
      </c>
      <c r="C967" s="333" t="s">
        <v>325</v>
      </c>
      <c r="D967" s="142"/>
      <c r="E967" s="143"/>
      <c r="F967" s="143"/>
      <c r="G967" s="143"/>
      <c r="H967" s="143"/>
      <c r="I967" s="143"/>
      <c r="J967" s="143"/>
      <c r="K967" s="143"/>
      <c r="L967" s="143"/>
      <c r="M967" s="143"/>
      <c r="N967" s="222"/>
      <c r="O967" s="222">
        <v>2106266</v>
      </c>
      <c r="P967" s="145"/>
      <c r="Q967" s="304">
        <f>MAX(D967:P967)</f>
        <v>2106266</v>
      </c>
      <c r="R967" s="147">
        <f>Q967*$R$7</f>
        <v>499185.04199999996</v>
      </c>
      <c r="S967" s="147">
        <f>R967/$S$5</f>
        <v>1367.6302520547945</v>
      </c>
      <c r="T967" s="148">
        <f>S967*$T$5*$T$7</f>
        <v>449266.53779999999</v>
      </c>
      <c r="U967" s="420"/>
      <c r="V967" s="407"/>
      <c r="W967" s="236"/>
      <c r="X967" s="236"/>
      <c r="Y967" s="408"/>
      <c r="Z967" s="409"/>
      <c r="AA967" s="409"/>
      <c r="AB967" s="410"/>
      <c r="AC967" s="155"/>
      <c r="AD967" s="156"/>
      <c r="AE967" s="156"/>
      <c r="AF967" s="156"/>
      <c r="AG967" s="156"/>
      <c r="AH967" s="156"/>
      <c r="AI967" s="156"/>
      <c r="AJ967" s="156"/>
      <c r="AK967" s="156"/>
      <c r="AL967" s="156"/>
      <c r="AM967" s="157"/>
      <c r="AN967" s="158">
        <f t="shared" si="956"/>
        <v>4000</v>
      </c>
      <c r="AO967" s="159"/>
      <c r="AP967" s="160"/>
      <c r="AQ967" s="161"/>
      <c r="AR967" s="162"/>
      <c r="AS967" s="163"/>
      <c r="AT967" s="233"/>
      <c r="AU967" s="187"/>
      <c r="AV967" s="166"/>
      <c r="AW967" s="167"/>
      <c r="AX967" s="146"/>
      <c r="AY967" s="168"/>
    </row>
    <row r="968" spans="1:51" s="139" customFormat="1" ht="11.25" hidden="1" x14ac:dyDescent="0.25">
      <c r="A968" s="1"/>
      <c r="B968" s="140"/>
      <c r="C968" s="339"/>
      <c r="D968" s="142"/>
      <c r="E968" s="143"/>
      <c r="F968" s="143"/>
      <c r="G968" s="143"/>
      <c r="H968" s="143"/>
      <c r="I968" s="143"/>
      <c r="J968" s="143"/>
      <c r="K968" s="143"/>
      <c r="L968" s="143"/>
      <c r="M968" s="143"/>
      <c r="N968" s="222"/>
      <c r="O968" s="222"/>
      <c r="P968" s="145"/>
      <c r="Q968" s="223"/>
      <c r="R968" s="167"/>
      <c r="S968" s="429"/>
      <c r="T968" s="146"/>
      <c r="U968" s="420" t="s">
        <v>693</v>
      </c>
      <c r="V968" s="407">
        <v>2.5</v>
      </c>
      <c r="W968" s="236"/>
      <c r="X968" s="236"/>
      <c r="Y968" s="408"/>
      <c r="Z968" s="409"/>
      <c r="AA968" s="409"/>
      <c r="AB968" s="410"/>
      <c r="AC968" s="411">
        <f>W968*52%</f>
        <v>0</v>
      </c>
      <c r="AD968" s="412">
        <f>W968*25%</f>
        <v>0</v>
      </c>
      <c r="AE968" s="412">
        <f>W968*9%</f>
        <v>0</v>
      </c>
      <c r="AF968" s="412">
        <f>W968*5%</f>
        <v>0</v>
      </c>
      <c r="AG968" s="412">
        <f>W968*3%</f>
        <v>0</v>
      </c>
      <c r="AH968" s="412">
        <f>W968*1%</f>
        <v>0</v>
      </c>
      <c r="AI968" s="412">
        <f>W968*2%</f>
        <v>0</v>
      </c>
      <c r="AJ968" s="412">
        <f>W968*1%</f>
        <v>0</v>
      </c>
      <c r="AK968" s="412">
        <f>W968*4%</f>
        <v>0</v>
      </c>
      <c r="AL968" s="412">
        <f>W968*1%</f>
        <v>0</v>
      </c>
      <c r="AM968" s="413">
        <f>SUM(AD968:AI968)</f>
        <v>0</v>
      </c>
      <c r="AN968" s="158">
        <f t="shared" si="956"/>
        <v>4000</v>
      </c>
      <c r="AO968" s="159">
        <v>0.2</v>
      </c>
      <c r="AP968" s="160">
        <f>AM968*AN968*$AP$5</f>
        <v>0</v>
      </c>
      <c r="AQ968" s="161">
        <f>AP968*$AQ$5</f>
        <v>0</v>
      </c>
      <c r="AR968" s="162">
        <f>AQ968*$AR$5</f>
        <v>0</v>
      </c>
      <c r="AS968" s="163"/>
      <c r="AT968" s="233"/>
      <c r="AU968" s="187"/>
      <c r="AV968" s="414">
        <f>AR968/$AV$5</f>
        <v>0</v>
      </c>
      <c r="AW968" s="415"/>
      <c r="AX968" s="146">
        <f>SUM(AU968:AV968)</f>
        <v>0</v>
      </c>
      <c r="AY968" s="168"/>
    </row>
    <row r="969" spans="1:51" s="139" customFormat="1" ht="11.25" hidden="1" x14ac:dyDescent="0.25">
      <c r="A969" s="1"/>
      <c r="B969" s="140">
        <v>10</v>
      </c>
      <c r="C969" s="333" t="s">
        <v>326</v>
      </c>
      <c r="D969" s="142"/>
      <c r="E969" s="143"/>
      <c r="F969" s="143"/>
      <c r="G969" s="143"/>
      <c r="H969" s="143"/>
      <c r="I969" s="143"/>
      <c r="J969" s="143"/>
      <c r="K969" s="143"/>
      <c r="L969" s="143"/>
      <c r="M969" s="143"/>
      <c r="N969" s="222"/>
      <c r="O969" s="222">
        <v>1188520</v>
      </c>
      <c r="P969" s="145"/>
      <c r="Q969" s="304">
        <f>MAX(D969:P969)</f>
        <v>1188520</v>
      </c>
      <c r="R969" s="147">
        <f>Q969*$R$8</f>
        <v>194917.28</v>
      </c>
      <c r="S969" s="147">
        <f>R969/$S$5</f>
        <v>534.01994520547942</v>
      </c>
      <c r="T969" s="148">
        <f>S969*$T$5*$T$8</f>
        <v>155933.82399999999</v>
      </c>
      <c r="U969" s="420"/>
      <c r="V969" s="407"/>
      <c r="W969" s="236"/>
      <c r="X969" s="236"/>
      <c r="Y969" s="408"/>
      <c r="Z969" s="409"/>
      <c r="AA969" s="409"/>
      <c r="AB969" s="410"/>
      <c r="AC969" s="155"/>
      <c r="AD969" s="156"/>
      <c r="AE969" s="156"/>
      <c r="AF969" s="156"/>
      <c r="AG969" s="156"/>
      <c r="AH969" s="156"/>
      <c r="AI969" s="156"/>
      <c r="AJ969" s="156"/>
      <c r="AK969" s="156"/>
      <c r="AL969" s="156"/>
      <c r="AM969" s="157"/>
      <c r="AN969" s="158">
        <f t="shared" si="956"/>
        <v>4000</v>
      </c>
      <c r="AO969" s="159"/>
      <c r="AP969" s="160"/>
      <c r="AQ969" s="161"/>
      <c r="AR969" s="162"/>
      <c r="AS969" s="163"/>
      <c r="AT969" s="164"/>
      <c r="AU969" s="165"/>
      <c r="AV969" s="166"/>
      <c r="AW969" s="167"/>
      <c r="AX969" s="146"/>
      <c r="AY969" s="168"/>
    </row>
    <row r="970" spans="1:51" s="139" customFormat="1" ht="11.25" hidden="1" x14ac:dyDescent="0.25">
      <c r="A970" s="1"/>
      <c r="B970" s="140"/>
      <c r="C970" s="339"/>
      <c r="D970" s="142"/>
      <c r="E970" s="143"/>
      <c r="F970" s="143"/>
      <c r="G970" s="143"/>
      <c r="H970" s="143"/>
      <c r="I970" s="143"/>
      <c r="J970" s="143"/>
      <c r="K970" s="143"/>
      <c r="L970" s="143"/>
      <c r="M970" s="143"/>
      <c r="N970" s="222"/>
      <c r="O970" s="222"/>
      <c r="P970" s="145"/>
      <c r="Q970" s="223"/>
      <c r="R970" s="167"/>
      <c r="S970" s="429"/>
      <c r="T970" s="146"/>
      <c r="U970" s="420" t="s">
        <v>694</v>
      </c>
      <c r="V970" s="407">
        <v>3</v>
      </c>
      <c r="W970" s="236"/>
      <c r="X970" s="236"/>
      <c r="Y970" s="408"/>
      <c r="Z970" s="409"/>
      <c r="AA970" s="409"/>
      <c r="AB970" s="410"/>
      <c r="AC970" s="411">
        <f>W970*52%</f>
        <v>0</v>
      </c>
      <c r="AD970" s="412">
        <f>W970*25%</f>
        <v>0</v>
      </c>
      <c r="AE970" s="412">
        <f>W970*9%</f>
        <v>0</v>
      </c>
      <c r="AF970" s="412">
        <f>W970*5%</f>
        <v>0</v>
      </c>
      <c r="AG970" s="412">
        <f>W970*3%</f>
        <v>0</v>
      </c>
      <c r="AH970" s="412">
        <f>W970*1%</f>
        <v>0</v>
      </c>
      <c r="AI970" s="412">
        <f>W970*2%</f>
        <v>0</v>
      </c>
      <c r="AJ970" s="412">
        <f>W970*1%</f>
        <v>0</v>
      </c>
      <c r="AK970" s="412">
        <f>W970*4%</f>
        <v>0</v>
      </c>
      <c r="AL970" s="412">
        <f>W970*1%</f>
        <v>0</v>
      </c>
      <c r="AM970" s="413">
        <f>SUM(AD970:AI970)</f>
        <v>0</v>
      </c>
      <c r="AN970" s="158">
        <f t="shared" si="956"/>
        <v>4000</v>
      </c>
      <c r="AO970" s="159">
        <v>0.2</v>
      </c>
      <c r="AP970" s="160">
        <f>AM970*AN970*$AP$5</f>
        <v>0</v>
      </c>
      <c r="AQ970" s="161">
        <f>AP970*$AQ$5</f>
        <v>0</v>
      </c>
      <c r="AR970" s="162">
        <f>AQ970*$AR$5</f>
        <v>0</v>
      </c>
      <c r="AS970" s="163"/>
      <c r="AT970" s="233"/>
      <c r="AU970" s="187"/>
      <c r="AV970" s="414">
        <f>AR970/$AV$5</f>
        <v>0</v>
      </c>
      <c r="AW970" s="415"/>
      <c r="AX970" s="146">
        <f>SUM(AU970:AV970)</f>
        <v>0</v>
      </c>
      <c r="AY970" s="168"/>
    </row>
    <row r="971" spans="1:51" s="139" customFormat="1" ht="11.25" hidden="1" x14ac:dyDescent="0.25">
      <c r="A971" s="1"/>
      <c r="B971" s="140"/>
      <c r="C971" s="339"/>
      <c r="D971" s="142"/>
      <c r="E971" s="143"/>
      <c r="F971" s="143"/>
      <c r="G971" s="143"/>
      <c r="H971" s="143"/>
      <c r="I971" s="143"/>
      <c r="J971" s="143"/>
      <c r="K971" s="143"/>
      <c r="L971" s="143"/>
      <c r="M971" s="143"/>
      <c r="N971" s="222"/>
      <c r="O971" s="222"/>
      <c r="P971" s="145"/>
      <c r="Q971" s="223"/>
      <c r="R971" s="167"/>
      <c r="S971" s="429"/>
      <c r="T971" s="146"/>
      <c r="U971" s="420" t="s">
        <v>695</v>
      </c>
      <c r="V971" s="407"/>
      <c r="W971" s="236"/>
      <c r="X971" s="236"/>
      <c r="Y971" s="408"/>
      <c r="Z971" s="409"/>
      <c r="AA971" s="409"/>
      <c r="AB971" s="410"/>
      <c r="AC971" s="411">
        <f>W971*52%</f>
        <v>0</v>
      </c>
      <c r="AD971" s="412">
        <f>W971*25%</f>
        <v>0</v>
      </c>
      <c r="AE971" s="412">
        <f>W971*9%</f>
        <v>0</v>
      </c>
      <c r="AF971" s="412">
        <f>W971*5%</f>
        <v>0</v>
      </c>
      <c r="AG971" s="412">
        <f>W971*3%</f>
        <v>0</v>
      </c>
      <c r="AH971" s="412">
        <f>W971*1%</f>
        <v>0</v>
      </c>
      <c r="AI971" s="412">
        <f>W971*2%</f>
        <v>0</v>
      </c>
      <c r="AJ971" s="412">
        <f>W971*1%</f>
        <v>0</v>
      </c>
      <c r="AK971" s="412">
        <f>W971*4%</f>
        <v>0</v>
      </c>
      <c r="AL971" s="412">
        <f>W971*1%</f>
        <v>0</v>
      </c>
      <c r="AM971" s="413">
        <f>SUM(AD971:AI971)</f>
        <v>0</v>
      </c>
      <c r="AN971" s="158">
        <f t="shared" si="956"/>
        <v>4000</v>
      </c>
      <c r="AO971" s="159">
        <v>0.2</v>
      </c>
      <c r="AP971" s="160">
        <f>AM971*AN971*$AP$5</f>
        <v>0</v>
      </c>
      <c r="AQ971" s="161">
        <f>AP971*$AQ$5</f>
        <v>0</v>
      </c>
      <c r="AR971" s="162">
        <f>AQ971*$AR$5</f>
        <v>0</v>
      </c>
      <c r="AS971" s="163"/>
      <c r="AT971" s="233"/>
      <c r="AU971" s="187"/>
      <c r="AV971" s="414">
        <f>AR971/$AV$5</f>
        <v>0</v>
      </c>
      <c r="AW971" s="415"/>
      <c r="AX971" s="146">
        <f>SUM(AU971:AV971)</f>
        <v>0</v>
      </c>
      <c r="AY971" s="168"/>
    </row>
    <row r="972" spans="1:51" s="139" customFormat="1" ht="11.25" hidden="1" x14ac:dyDescent="0.25">
      <c r="A972" s="1"/>
      <c r="B972" s="140">
        <v>11</v>
      </c>
      <c r="C972" s="333" t="s">
        <v>327</v>
      </c>
      <c r="D972" s="142"/>
      <c r="E972" s="143"/>
      <c r="F972" s="143"/>
      <c r="G972" s="143"/>
      <c r="H972" s="143"/>
      <c r="I972" s="143"/>
      <c r="J972" s="143"/>
      <c r="K972" s="143"/>
      <c r="L972" s="143"/>
      <c r="M972" s="143"/>
      <c r="N972" s="222"/>
      <c r="O972" s="222">
        <v>1114271</v>
      </c>
      <c r="P972" s="145"/>
      <c r="Q972" s="304">
        <f>MAX(D972:P972)</f>
        <v>1114271</v>
      </c>
      <c r="R972" s="147">
        <f>Q972*$R$8</f>
        <v>182740.44400000002</v>
      </c>
      <c r="S972" s="147">
        <f>R972/$S$5</f>
        <v>500.65875068493153</v>
      </c>
      <c r="T972" s="148">
        <f>S972*$T$5*$T$8</f>
        <v>146192.35520000002</v>
      </c>
      <c r="U972" s="420"/>
      <c r="V972" s="407"/>
      <c r="W972" s="236"/>
      <c r="X972" s="236"/>
      <c r="Y972" s="408"/>
      <c r="Z972" s="409"/>
      <c r="AA972" s="409"/>
      <c r="AB972" s="410"/>
      <c r="AC972" s="155"/>
      <c r="AD972" s="156"/>
      <c r="AE972" s="156"/>
      <c r="AF972" s="156"/>
      <c r="AG972" s="156"/>
      <c r="AH972" s="156"/>
      <c r="AI972" s="156"/>
      <c r="AJ972" s="156"/>
      <c r="AK972" s="156"/>
      <c r="AL972" s="156"/>
      <c r="AM972" s="157"/>
      <c r="AN972" s="158">
        <f t="shared" si="956"/>
        <v>4000</v>
      </c>
      <c r="AO972" s="159"/>
      <c r="AP972" s="160"/>
      <c r="AQ972" s="161"/>
      <c r="AR972" s="162"/>
      <c r="AS972" s="163"/>
      <c r="AT972" s="164"/>
      <c r="AU972" s="165"/>
      <c r="AV972" s="166"/>
      <c r="AW972" s="167"/>
      <c r="AX972" s="146"/>
      <c r="AY972" s="168"/>
    </row>
    <row r="973" spans="1:51" s="139" customFormat="1" ht="11.25" hidden="1" x14ac:dyDescent="0.25">
      <c r="A973" s="1"/>
      <c r="B973" s="140"/>
      <c r="C973" s="339"/>
      <c r="D973" s="142"/>
      <c r="E973" s="143"/>
      <c r="F973" s="143"/>
      <c r="G973" s="143"/>
      <c r="H973" s="143"/>
      <c r="I973" s="143"/>
      <c r="J973" s="143"/>
      <c r="K973" s="143"/>
      <c r="L973" s="143"/>
      <c r="M973" s="143"/>
      <c r="N973" s="222"/>
      <c r="O973" s="222"/>
      <c r="P973" s="145"/>
      <c r="Q973" s="223"/>
      <c r="R973" s="167"/>
      <c r="S973" s="429"/>
      <c r="T973" s="146"/>
      <c r="U973" s="420" t="s">
        <v>696</v>
      </c>
      <c r="V973" s="407"/>
      <c r="W973" s="236"/>
      <c r="X973" s="236"/>
      <c r="Y973" s="408"/>
      <c r="Z973" s="409"/>
      <c r="AA973" s="409"/>
      <c r="AB973" s="410"/>
      <c r="AC973" s="411">
        <f>W973*52%</f>
        <v>0</v>
      </c>
      <c r="AD973" s="412">
        <f>W973*25%</f>
        <v>0</v>
      </c>
      <c r="AE973" s="412">
        <f>W973*9%</f>
        <v>0</v>
      </c>
      <c r="AF973" s="412">
        <f>W973*5%</f>
        <v>0</v>
      </c>
      <c r="AG973" s="412">
        <f>W973*3%</f>
        <v>0</v>
      </c>
      <c r="AH973" s="412">
        <f>W973*1%</f>
        <v>0</v>
      </c>
      <c r="AI973" s="412">
        <f>W973*2%</f>
        <v>0</v>
      </c>
      <c r="AJ973" s="412">
        <f>W973*1%</f>
        <v>0</v>
      </c>
      <c r="AK973" s="412">
        <f>W973*4%</f>
        <v>0</v>
      </c>
      <c r="AL973" s="412">
        <f>W973*1%</f>
        <v>0</v>
      </c>
      <c r="AM973" s="413">
        <f>SUM(AD973:AI973)</f>
        <v>0</v>
      </c>
      <c r="AN973" s="158">
        <f t="shared" si="956"/>
        <v>4000</v>
      </c>
      <c r="AO973" s="159">
        <v>0.2</v>
      </c>
      <c r="AP973" s="160">
        <f>AM973*AN973*$AP$5</f>
        <v>0</v>
      </c>
      <c r="AQ973" s="161">
        <f>AP973*$AQ$5</f>
        <v>0</v>
      </c>
      <c r="AR973" s="162">
        <f>AQ973*$AR$5</f>
        <v>0</v>
      </c>
      <c r="AS973" s="163"/>
      <c r="AT973" s="233"/>
      <c r="AU973" s="187"/>
      <c r="AV973" s="414">
        <f>AR973/$AV$5</f>
        <v>0</v>
      </c>
      <c r="AW973" s="415"/>
      <c r="AX973" s="146">
        <f>SUM(AU973:AV973)</f>
        <v>0</v>
      </c>
      <c r="AY973" s="168"/>
    </row>
    <row r="974" spans="1:51" s="139" customFormat="1" ht="11.25" hidden="1" x14ac:dyDescent="0.25">
      <c r="A974" s="1"/>
      <c r="B974" s="140">
        <v>12</v>
      </c>
      <c r="C974" s="333" t="s">
        <v>328</v>
      </c>
      <c r="D974" s="142"/>
      <c r="E974" s="143"/>
      <c r="F974" s="143"/>
      <c r="G974" s="143"/>
      <c r="H974" s="143"/>
      <c r="I974" s="143"/>
      <c r="J974" s="143"/>
      <c r="K974" s="143"/>
      <c r="L974" s="143"/>
      <c r="M974" s="143"/>
      <c r="N974" s="222"/>
      <c r="O974" s="222">
        <v>1695182</v>
      </c>
      <c r="P974" s="145"/>
      <c r="Q974" s="304">
        <f>MAX(D974:P974)</f>
        <v>1695182</v>
      </c>
      <c r="R974" s="147">
        <f>Q974*$R$7</f>
        <v>401758.13399999996</v>
      </c>
      <c r="S974" s="147">
        <f>R974/$S$5</f>
        <v>1100.707216438356</v>
      </c>
      <c r="T974" s="148">
        <f>S974*$T$5*$T$7</f>
        <v>361582.32059999998</v>
      </c>
      <c r="U974" s="420"/>
      <c r="V974" s="407"/>
      <c r="W974" s="236"/>
      <c r="X974" s="236"/>
      <c r="Y974" s="408"/>
      <c r="Z974" s="409"/>
      <c r="AA974" s="409"/>
      <c r="AB974" s="410"/>
      <c r="AC974" s="155"/>
      <c r="AD974" s="156"/>
      <c r="AE974" s="156"/>
      <c r="AF974" s="156"/>
      <c r="AG974" s="156"/>
      <c r="AH974" s="156"/>
      <c r="AI974" s="156"/>
      <c r="AJ974" s="156"/>
      <c r="AK974" s="156"/>
      <c r="AL974" s="156"/>
      <c r="AM974" s="157"/>
      <c r="AN974" s="158">
        <f t="shared" si="956"/>
        <v>4000</v>
      </c>
      <c r="AO974" s="159"/>
      <c r="AP974" s="160"/>
      <c r="AQ974" s="161"/>
      <c r="AR974" s="162"/>
      <c r="AS974" s="163"/>
      <c r="AT974" s="233"/>
      <c r="AU974" s="187"/>
      <c r="AV974" s="166"/>
      <c r="AW974" s="167"/>
      <c r="AX974" s="146"/>
      <c r="AY974" s="168"/>
    </row>
    <row r="975" spans="1:51" s="139" customFormat="1" ht="11.25" hidden="1" x14ac:dyDescent="0.25">
      <c r="A975" s="1"/>
      <c r="B975" s="140"/>
      <c r="C975" s="339"/>
      <c r="D975" s="142"/>
      <c r="E975" s="143"/>
      <c r="F975" s="143"/>
      <c r="G975" s="143"/>
      <c r="H975" s="143"/>
      <c r="I975" s="143"/>
      <c r="J975" s="143"/>
      <c r="K975" s="143"/>
      <c r="L975" s="143"/>
      <c r="M975" s="143"/>
      <c r="N975" s="222"/>
      <c r="O975" s="222"/>
      <c r="P975" s="145"/>
      <c r="Q975" s="223"/>
      <c r="R975" s="167"/>
      <c r="S975" s="429"/>
      <c r="T975" s="146"/>
      <c r="U975" s="420" t="s">
        <v>697</v>
      </c>
      <c r="V975" s="407">
        <v>1.2</v>
      </c>
      <c r="W975" s="236"/>
      <c r="X975" s="236"/>
      <c r="Y975" s="408"/>
      <c r="Z975" s="409"/>
      <c r="AA975" s="409"/>
      <c r="AB975" s="410"/>
      <c r="AC975" s="411">
        <f>W975*52%</f>
        <v>0</v>
      </c>
      <c r="AD975" s="412">
        <f>W975*25%</f>
        <v>0</v>
      </c>
      <c r="AE975" s="412">
        <f>W975*9%</f>
        <v>0</v>
      </c>
      <c r="AF975" s="412">
        <f>W975*5%</f>
        <v>0</v>
      </c>
      <c r="AG975" s="412">
        <f>W975*3%</f>
        <v>0</v>
      </c>
      <c r="AH975" s="412">
        <f>W975*1%</f>
        <v>0</v>
      </c>
      <c r="AI975" s="412">
        <f>W975*2%</f>
        <v>0</v>
      </c>
      <c r="AJ975" s="412">
        <f>W975*1%</f>
        <v>0</v>
      </c>
      <c r="AK975" s="412">
        <f>W975*4%</f>
        <v>0</v>
      </c>
      <c r="AL975" s="412">
        <f>W975*1%</f>
        <v>0</v>
      </c>
      <c r="AM975" s="413">
        <f>SUM(AD975:AI975)</f>
        <v>0</v>
      </c>
      <c r="AN975" s="158">
        <f t="shared" si="956"/>
        <v>4000</v>
      </c>
      <c r="AO975" s="159">
        <v>0.2</v>
      </c>
      <c r="AP975" s="160">
        <f>AM975*AN975*$AP$5</f>
        <v>0</v>
      </c>
      <c r="AQ975" s="161">
        <f>AP975*$AQ$5</f>
        <v>0</v>
      </c>
      <c r="AR975" s="162">
        <f>AQ975*$AR$5</f>
        <v>0</v>
      </c>
      <c r="AS975" s="163"/>
      <c r="AT975" s="233"/>
      <c r="AU975" s="187"/>
      <c r="AV975" s="414">
        <f>AR975/$AV$5</f>
        <v>0</v>
      </c>
      <c r="AW975" s="415"/>
      <c r="AX975" s="146">
        <f>SUM(AU975:AV975)</f>
        <v>0</v>
      </c>
      <c r="AY975" s="168"/>
    </row>
    <row r="976" spans="1:51" s="139" customFormat="1" ht="11.25" hidden="1" x14ac:dyDescent="0.25">
      <c r="A976" s="1"/>
      <c r="B976" s="140">
        <v>13</v>
      </c>
      <c r="C976" s="333" t="s">
        <v>329</v>
      </c>
      <c r="D976" s="142"/>
      <c r="E976" s="143"/>
      <c r="F976" s="143"/>
      <c r="G976" s="143"/>
      <c r="H976" s="143"/>
      <c r="I976" s="143"/>
      <c r="J976" s="143"/>
      <c r="K976" s="143"/>
      <c r="L976" s="143"/>
      <c r="M976" s="143"/>
      <c r="N976" s="222"/>
      <c r="O976" s="222">
        <v>1492849</v>
      </c>
      <c r="P976" s="145"/>
      <c r="Q976" s="304">
        <f>MAX(D976:P976)</f>
        <v>1492849</v>
      </c>
      <c r="R976" s="147">
        <f>Q976*$R$8</f>
        <v>244827.236</v>
      </c>
      <c r="S976" s="147">
        <f>R976/$S$5</f>
        <v>670.75955068493147</v>
      </c>
      <c r="T976" s="148">
        <f>S976*$T$5*$T$8</f>
        <v>195861.78879999998</v>
      </c>
      <c r="U976" s="420"/>
      <c r="V976" s="407"/>
      <c r="W976" s="236"/>
      <c r="X976" s="236"/>
      <c r="Y976" s="408"/>
      <c r="Z976" s="409"/>
      <c r="AA976" s="409"/>
      <c r="AB976" s="410"/>
      <c r="AC976" s="155"/>
      <c r="AD976" s="156"/>
      <c r="AE976" s="156"/>
      <c r="AF976" s="156"/>
      <c r="AG976" s="156"/>
      <c r="AH976" s="156"/>
      <c r="AI976" s="156"/>
      <c r="AJ976" s="156"/>
      <c r="AK976" s="156"/>
      <c r="AL976" s="156"/>
      <c r="AM976" s="157"/>
      <c r="AN976" s="158">
        <f t="shared" si="956"/>
        <v>4000</v>
      </c>
      <c r="AO976" s="159"/>
      <c r="AP976" s="160"/>
      <c r="AQ976" s="161"/>
      <c r="AR976" s="162"/>
      <c r="AS976" s="163"/>
      <c r="AT976" s="233"/>
      <c r="AU976" s="187"/>
      <c r="AV976" s="166"/>
      <c r="AW976" s="167"/>
      <c r="AX976" s="146"/>
      <c r="AY976" s="168"/>
    </row>
    <row r="977" spans="1:51" s="139" customFormat="1" ht="11.25" hidden="1" x14ac:dyDescent="0.25">
      <c r="A977" s="1"/>
      <c r="B977" s="140"/>
      <c r="C977" s="488"/>
      <c r="D977" s="142"/>
      <c r="E977" s="143"/>
      <c r="F977" s="143"/>
      <c r="G977" s="143"/>
      <c r="H977" s="143"/>
      <c r="I977" s="143"/>
      <c r="J977" s="143"/>
      <c r="K977" s="143"/>
      <c r="L977" s="143"/>
      <c r="M977" s="143"/>
      <c r="N977" s="222"/>
      <c r="O977" s="222"/>
      <c r="P977" s="145"/>
      <c r="Q977" s="223"/>
      <c r="R977" s="167"/>
      <c r="S977" s="429"/>
      <c r="T977" s="146"/>
      <c r="U977" s="420" t="s">
        <v>698</v>
      </c>
      <c r="V977" s="407">
        <v>6</v>
      </c>
      <c r="W977" s="236">
        <f>(158*0.25)*365</f>
        <v>14417.5</v>
      </c>
      <c r="X977" s="236"/>
      <c r="Y977" s="408"/>
      <c r="Z977" s="409"/>
      <c r="AA977" s="409"/>
      <c r="AB977" s="410"/>
      <c r="AC977" s="411">
        <f>W977*52%</f>
        <v>7497.1</v>
      </c>
      <c r="AD977" s="412">
        <f>W977*25%</f>
        <v>3604.375</v>
      </c>
      <c r="AE977" s="412">
        <f>W977*9%</f>
        <v>1297.575</v>
      </c>
      <c r="AF977" s="412">
        <f>W977*5%</f>
        <v>720.875</v>
      </c>
      <c r="AG977" s="412">
        <f>W977*3%</f>
        <v>432.52499999999998</v>
      </c>
      <c r="AH977" s="412">
        <f>W977*1%</f>
        <v>144.17500000000001</v>
      </c>
      <c r="AI977" s="412">
        <f>W977*2%</f>
        <v>288.35000000000002</v>
      </c>
      <c r="AJ977" s="412">
        <f>W977*1%</f>
        <v>144.17500000000001</v>
      </c>
      <c r="AK977" s="412">
        <f>W977*4%</f>
        <v>576.70000000000005</v>
      </c>
      <c r="AL977" s="412">
        <f>W977*1%</f>
        <v>144.17500000000001</v>
      </c>
      <c r="AM977" s="413">
        <f>SUM(AD977:AI977)</f>
        <v>6487.875</v>
      </c>
      <c r="AN977" s="158">
        <f t="shared" si="956"/>
        <v>4000</v>
      </c>
      <c r="AO977" s="159">
        <v>0.2</v>
      </c>
      <c r="AP977" s="160">
        <f>AM977*AN977*$AP$5</f>
        <v>108653740.2</v>
      </c>
      <c r="AQ977" s="161">
        <f>AP977*$AQ$5</f>
        <v>30181.596914527559</v>
      </c>
      <c r="AR977" s="162">
        <f>AQ977*$AR$5</f>
        <v>6036.3193829055126</v>
      </c>
      <c r="AS977" s="163"/>
      <c r="AT977" s="233"/>
      <c r="AU977" s="187"/>
      <c r="AV977" s="414">
        <f>AR977/$AV$5</f>
        <v>0.86134694390775013</v>
      </c>
      <c r="AW977" s="415"/>
      <c r="AX977" s="146">
        <f>SUM(AU977:AV977)</f>
        <v>0.86134694390775013</v>
      </c>
      <c r="AY977" s="168"/>
    </row>
    <row r="978" spans="1:51" s="139" customFormat="1" ht="11.25" hidden="1" x14ac:dyDescent="0.25">
      <c r="A978" s="1"/>
      <c r="B978" s="140">
        <v>14</v>
      </c>
      <c r="C978" s="334" t="s">
        <v>330</v>
      </c>
      <c r="D978" s="142"/>
      <c r="E978" s="143"/>
      <c r="F978" s="143"/>
      <c r="G978" s="143"/>
      <c r="H978" s="143"/>
      <c r="I978" s="143"/>
      <c r="J978" s="143"/>
      <c r="K978" s="143"/>
      <c r="L978" s="143"/>
      <c r="M978" s="143"/>
      <c r="N978" s="222"/>
      <c r="O978" s="222">
        <v>868635</v>
      </c>
      <c r="P978" s="145"/>
      <c r="Q978" s="304">
        <f>MAX(D978:P978)</f>
        <v>868635</v>
      </c>
      <c r="R978" s="147">
        <f>Q978*$R$9</f>
        <v>126820.70999999999</v>
      </c>
      <c r="S978" s="147">
        <f>R978/$S$5</f>
        <v>347.45399999999995</v>
      </c>
      <c r="T978" s="148">
        <f>S978*$T$5*$T$9</f>
        <v>88774.496999999974</v>
      </c>
      <c r="U978" s="420"/>
      <c r="V978" s="407"/>
      <c r="W978" s="236"/>
      <c r="X978" s="236"/>
      <c r="Y978" s="408"/>
      <c r="Z978" s="409"/>
      <c r="AA978" s="409"/>
      <c r="AB978" s="410"/>
      <c r="AC978" s="155"/>
      <c r="AD978" s="156"/>
      <c r="AE978" s="156"/>
      <c r="AF978" s="156"/>
      <c r="AG978" s="156"/>
      <c r="AH978" s="156"/>
      <c r="AI978" s="156"/>
      <c r="AJ978" s="156"/>
      <c r="AK978" s="156"/>
      <c r="AL978" s="156"/>
      <c r="AM978" s="157"/>
      <c r="AN978" s="158">
        <f t="shared" si="956"/>
        <v>4000</v>
      </c>
      <c r="AO978" s="159"/>
      <c r="AP978" s="160"/>
      <c r="AQ978" s="161"/>
      <c r="AR978" s="162"/>
      <c r="AS978" s="163"/>
      <c r="AT978" s="164"/>
      <c r="AU978" s="165"/>
      <c r="AV978" s="166"/>
      <c r="AW978" s="167"/>
      <c r="AX978" s="146"/>
      <c r="AY978" s="168"/>
    </row>
    <row r="979" spans="1:51" s="139" customFormat="1" ht="11.25" hidden="1" x14ac:dyDescent="0.25">
      <c r="A979" s="1"/>
      <c r="B979" s="140"/>
      <c r="C979" s="353"/>
      <c r="D979" s="142"/>
      <c r="E979" s="143"/>
      <c r="F979" s="143"/>
      <c r="G979" s="143"/>
      <c r="H979" s="143"/>
      <c r="I979" s="143"/>
      <c r="J979" s="143"/>
      <c r="K979" s="143"/>
      <c r="L979" s="143"/>
      <c r="M979" s="143"/>
      <c r="N979" s="222"/>
      <c r="O979" s="222"/>
      <c r="P979" s="145"/>
      <c r="Q979" s="223"/>
      <c r="R979" s="167"/>
      <c r="S979" s="429"/>
      <c r="T979" s="146"/>
      <c r="U979" s="420" t="s">
        <v>699</v>
      </c>
      <c r="V979" s="407"/>
      <c r="W979" s="236"/>
      <c r="X979" s="236"/>
      <c r="Y979" s="408"/>
      <c r="Z979" s="409"/>
      <c r="AA979" s="409"/>
      <c r="AB979" s="410"/>
      <c r="AC979" s="411">
        <f>W979*52%</f>
        <v>0</v>
      </c>
      <c r="AD979" s="412">
        <f>W979*25%</f>
        <v>0</v>
      </c>
      <c r="AE979" s="412">
        <f>W979*9%</f>
        <v>0</v>
      </c>
      <c r="AF979" s="412">
        <f>W979*5%</f>
        <v>0</v>
      </c>
      <c r="AG979" s="412">
        <f>W979*3%</f>
        <v>0</v>
      </c>
      <c r="AH979" s="412">
        <f>W979*1%</f>
        <v>0</v>
      </c>
      <c r="AI979" s="412">
        <f>W979*2%</f>
        <v>0</v>
      </c>
      <c r="AJ979" s="412">
        <f>W979*1%</f>
        <v>0</v>
      </c>
      <c r="AK979" s="412">
        <f>W979*4%</f>
        <v>0</v>
      </c>
      <c r="AL979" s="412">
        <f>W979*1%</f>
        <v>0</v>
      </c>
      <c r="AM979" s="413">
        <f>SUM(AD979:AI979)</f>
        <v>0</v>
      </c>
      <c r="AN979" s="158">
        <f t="shared" si="956"/>
        <v>4000</v>
      </c>
      <c r="AO979" s="159">
        <v>0.2</v>
      </c>
      <c r="AP979" s="160">
        <f>AM979*AN979*$AP$5</f>
        <v>0</v>
      </c>
      <c r="AQ979" s="161">
        <f>AP979*$AQ$5</f>
        <v>0</v>
      </c>
      <c r="AR979" s="162">
        <f>AQ979*$AR$5</f>
        <v>0</v>
      </c>
      <c r="AS979" s="163"/>
      <c r="AT979" s="233"/>
      <c r="AU979" s="187"/>
      <c r="AV979" s="414">
        <f>AR979/$AV$5</f>
        <v>0</v>
      </c>
      <c r="AW979" s="415"/>
      <c r="AX979" s="146">
        <f>SUM(AU979:AV979)</f>
        <v>0</v>
      </c>
      <c r="AY979" s="168"/>
    </row>
    <row r="980" spans="1:51" s="139" customFormat="1" ht="11.25" hidden="1" x14ac:dyDescent="0.25">
      <c r="A980" s="1"/>
      <c r="B980" s="140">
        <v>15</v>
      </c>
      <c r="C980" s="335" t="s">
        <v>331</v>
      </c>
      <c r="D980" s="142"/>
      <c r="E980" s="143"/>
      <c r="F980" s="143"/>
      <c r="G980" s="143"/>
      <c r="H980" s="143"/>
      <c r="I980" s="143"/>
      <c r="J980" s="143"/>
      <c r="K980" s="143"/>
      <c r="L980" s="143"/>
      <c r="M980" s="143"/>
      <c r="N980" s="222"/>
      <c r="O980" s="222">
        <v>2168006</v>
      </c>
      <c r="P980" s="145"/>
      <c r="Q980" s="304">
        <f>MAX(D980:P980)</f>
        <v>2168006</v>
      </c>
      <c r="R980" s="147">
        <f>Q980*$R$7</f>
        <v>513817.42199999996</v>
      </c>
      <c r="S980" s="147">
        <f>R980/$S$5</f>
        <v>1407.7189643835616</v>
      </c>
      <c r="T980" s="148">
        <f>S980*$T$5*$T$7</f>
        <v>462435.67979999998</v>
      </c>
      <c r="U980" s="420"/>
      <c r="V980" s="407"/>
      <c r="W980" s="236"/>
      <c r="X980" s="236"/>
      <c r="Y980" s="408"/>
      <c r="Z980" s="409"/>
      <c r="AA980" s="409"/>
      <c r="AB980" s="410"/>
      <c r="AC980" s="155"/>
      <c r="AD980" s="156"/>
      <c r="AE980" s="156"/>
      <c r="AF980" s="156"/>
      <c r="AG980" s="156"/>
      <c r="AH980" s="156"/>
      <c r="AI980" s="156"/>
      <c r="AJ980" s="156"/>
      <c r="AK980" s="156"/>
      <c r="AL980" s="156"/>
      <c r="AM980" s="157"/>
      <c r="AN980" s="158">
        <f t="shared" si="956"/>
        <v>4000</v>
      </c>
      <c r="AO980" s="159"/>
      <c r="AP980" s="160"/>
      <c r="AQ980" s="161"/>
      <c r="AR980" s="162"/>
      <c r="AS980" s="163"/>
      <c r="AT980" s="164"/>
      <c r="AU980" s="165"/>
      <c r="AV980" s="166"/>
      <c r="AW980" s="167"/>
      <c r="AX980" s="146"/>
      <c r="AY980" s="168"/>
    </row>
    <row r="981" spans="1:51" s="139" customFormat="1" ht="11.25" hidden="1" x14ac:dyDescent="0.25">
      <c r="A981" s="1"/>
      <c r="B981" s="140"/>
      <c r="C981" s="345"/>
      <c r="D981" s="142"/>
      <c r="E981" s="143"/>
      <c r="F981" s="143"/>
      <c r="G981" s="143"/>
      <c r="H981" s="143"/>
      <c r="I981" s="143"/>
      <c r="J981" s="143"/>
      <c r="K981" s="143"/>
      <c r="L981" s="143"/>
      <c r="M981" s="143"/>
      <c r="N981" s="222"/>
      <c r="O981" s="222"/>
      <c r="P981" s="145"/>
      <c r="Q981" s="223"/>
      <c r="R981" s="167"/>
      <c r="S981" s="429"/>
      <c r="T981" s="146"/>
      <c r="U981" s="420" t="s">
        <v>700</v>
      </c>
      <c r="V981" s="407">
        <v>7.5</v>
      </c>
      <c r="W981" s="236">
        <f>(400/3)*365</f>
        <v>48666.666666666672</v>
      </c>
      <c r="X981" s="236"/>
      <c r="Y981" s="408"/>
      <c r="Z981" s="409"/>
      <c r="AA981" s="409"/>
      <c r="AB981" s="410"/>
      <c r="AC981" s="411">
        <f>W981*52%</f>
        <v>25306.666666666672</v>
      </c>
      <c r="AD981" s="412">
        <f>W981*25%</f>
        <v>12166.666666666668</v>
      </c>
      <c r="AE981" s="412">
        <f>W981*9%</f>
        <v>4380</v>
      </c>
      <c r="AF981" s="412">
        <f>W981*5%</f>
        <v>2433.3333333333335</v>
      </c>
      <c r="AG981" s="412">
        <f>W981*3%</f>
        <v>1460</v>
      </c>
      <c r="AH981" s="412">
        <f>W981*1%</f>
        <v>486.66666666666674</v>
      </c>
      <c r="AI981" s="412">
        <f>W981*2%</f>
        <v>973.33333333333348</v>
      </c>
      <c r="AJ981" s="412">
        <f>W981*1%</f>
        <v>486.66666666666674</v>
      </c>
      <c r="AK981" s="412">
        <f>W981*4%</f>
        <v>1946.666666666667</v>
      </c>
      <c r="AL981" s="412">
        <f>W981*1%</f>
        <v>486.66666666666674</v>
      </c>
      <c r="AM981" s="413">
        <f>SUM(AD981:AI981)</f>
        <v>21900</v>
      </c>
      <c r="AN981" s="158">
        <f t="shared" si="956"/>
        <v>4000</v>
      </c>
      <c r="AO981" s="159">
        <v>0.2</v>
      </c>
      <c r="AP981" s="160">
        <f>AM981*AN981*$AP$5</f>
        <v>366763680</v>
      </c>
      <c r="AQ981" s="161">
        <f>AP981*$AQ$5</f>
        <v>101878.808150304</v>
      </c>
      <c r="AR981" s="162">
        <f>AQ981*$AR$5</f>
        <v>20375.761630060802</v>
      </c>
      <c r="AS981" s="163"/>
      <c r="AT981" s="233"/>
      <c r="AU981" s="187"/>
      <c r="AV981" s="414">
        <f>AR981/$AV$5</f>
        <v>2.9075002326000003</v>
      </c>
      <c r="AW981" s="415"/>
      <c r="AX981" s="146">
        <f>SUM(AU981:AV981)</f>
        <v>2.9075002326000003</v>
      </c>
      <c r="AY981" s="168"/>
    </row>
    <row r="982" spans="1:51" s="139" customFormat="1" ht="11.25" hidden="1" x14ac:dyDescent="0.25">
      <c r="A982" s="1"/>
      <c r="B982" s="140"/>
      <c r="C982" s="345"/>
      <c r="D982" s="142"/>
      <c r="E982" s="143"/>
      <c r="F982" s="143"/>
      <c r="G982" s="143"/>
      <c r="H982" s="143"/>
      <c r="I982" s="143"/>
      <c r="J982" s="143"/>
      <c r="K982" s="143"/>
      <c r="L982" s="143"/>
      <c r="M982" s="143"/>
      <c r="N982" s="222"/>
      <c r="O982" s="222"/>
      <c r="P982" s="145"/>
      <c r="Q982" s="223"/>
      <c r="R982" s="167"/>
      <c r="S982" s="429"/>
      <c r="T982" s="146"/>
      <c r="U982" s="420" t="s">
        <v>701</v>
      </c>
      <c r="V982" s="407"/>
      <c r="W982" s="236"/>
      <c r="X982" s="236"/>
      <c r="Y982" s="408"/>
      <c r="Z982" s="409"/>
      <c r="AA982" s="409"/>
      <c r="AB982" s="410"/>
      <c r="AC982" s="411">
        <f>W982*52%</f>
        <v>0</v>
      </c>
      <c r="AD982" s="412">
        <f>W982*25%</f>
        <v>0</v>
      </c>
      <c r="AE982" s="412">
        <f>W982*9%</f>
        <v>0</v>
      </c>
      <c r="AF982" s="412">
        <f>W982*5%</f>
        <v>0</v>
      </c>
      <c r="AG982" s="412">
        <f>W982*3%</f>
        <v>0</v>
      </c>
      <c r="AH982" s="412">
        <f>W982*1%</f>
        <v>0</v>
      </c>
      <c r="AI982" s="412">
        <f>W982*2%</f>
        <v>0</v>
      </c>
      <c r="AJ982" s="412">
        <f>W982*1%</f>
        <v>0</v>
      </c>
      <c r="AK982" s="412">
        <f>W982*4%</f>
        <v>0</v>
      </c>
      <c r="AL982" s="412">
        <f>W982*1%</f>
        <v>0</v>
      </c>
      <c r="AM982" s="413">
        <f>SUM(AD982:AI982)</f>
        <v>0</v>
      </c>
      <c r="AN982" s="158">
        <f t="shared" si="956"/>
        <v>4000</v>
      </c>
      <c r="AO982" s="159">
        <v>0.2</v>
      </c>
      <c r="AP982" s="160">
        <f>AM982*AN982*$AP$5</f>
        <v>0</v>
      </c>
      <c r="AQ982" s="161">
        <f>AP982*$AQ$5</f>
        <v>0</v>
      </c>
      <c r="AR982" s="162">
        <f>AQ982*$AR$5</f>
        <v>0</v>
      </c>
      <c r="AS982" s="163"/>
      <c r="AT982" s="233"/>
      <c r="AU982" s="187"/>
      <c r="AV982" s="414">
        <f>AR982/$AV$5</f>
        <v>0</v>
      </c>
      <c r="AW982" s="415"/>
      <c r="AX982" s="146">
        <f>SUM(AU982:AV982)</f>
        <v>0</v>
      </c>
      <c r="AY982" s="168"/>
    </row>
    <row r="983" spans="1:51" s="139" customFormat="1" ht="11.25" hidden="1" x14ac:dyDescent="0.25">
      <c r="A983" s="1"/>
      <c r="B983" s="140">
        <v>16</v>
      </c>
      <c r="C983" s="336" t="s">
        <v>332</v>
      </c>
      <c r="D983" s="142"/>
      <c r="E983" s="143"/>
      <c r="F983" s="143"/>
      <c r="G983" s="143"/>
      <c r="H983" s="143"/>
      <c r="I983" s="143"/>
      <c r="J983" s="143"/>
      <c r="K983" s="143"/>
      <c r="L983" s="143"/>
      <c r="M983" s="143"/>
      <c r="N983" s="222"/>
      <c r="O983" s="222">
        <v>2680116</v>
      </c>
      <c r="P983" s="145"/>
      <c r="Q983" s="304">
        <f>MAX(D983:P983)</f>
        <v>2680116</v>
      </c>
      <c r="R983" s="147">
        <f>Q983*$R$7</f>
        <v>635187.49199999997</v>
      </c>
      <c r="S983" s="147">
        <f>R983/$S$5</f>
        <v>1740.239704109589</v>
      </c>
      <c r="T983" s="148">
        <f>S983*$T$5*$T$7</f>
        <v>571668.74280000001</v>
      </c>
      <c r="U983" s="420"/>
      <c r="V983" s="407"/>
      <c r="W983" s="236"/>
      <c r="X983" s="236"/>
      <c r="Y983" s="408"/>
      <c r="Z983" s="409"/>
      <c r="AA983" s="409"/>
      <c r="AB983" s="410"/>
      <c r="AC983" s="155"/>
      <c r="AD983" s="156"/>
      <c r="AE983" s="156"/>
      <c r="AF983" s="156"/>
      <c r="AG983" s="156"/>
      <c r="AH983" s="156"/>
      <c r="AI983" s="156"/>
      <c r="AJ983" s="156"/>
      <c r="AK983" s="156"/>
      <c r="AL983" s="156"/>
      <c r="AM983" s="157"/>
      <c r="AN983" s="158">
        <f t="shared" si="956"/>
        <v>4000</v>
      </c>
      <c r="AO983" s="159"/>
      <c r="AP983" s="160"/>
      <c r="AQ983" s="161"/>
      <c r="AR983" s="162"/>
      <c r="AS983" s="163"/>
      <c r="AT983" s="164"/>
      <c r="AU983" s="165"/>
      <c r="AV983" s="166"/>
      <c r="AW983" s="167"/>
      <c r="AX983" s="146"/>
      <c r="AY983" s="168"/>
    </row>
    <row r="984" spans="1:51" s="139" customFormat="1" ht="11.25" hidden="1" x14ac:dyDescent="0.25">
      <c r="A984" s="1"/>
      <c r="B984" s="140"/>
      <c r="C984" s="354"/>
      <c r="D984" s="142"/>
      <c r="E984" s="143"/>
      <c r="F984" s="143"/>
      <c r="G984" s="143"/>
      <c r="H984" s="143"/>
      <c r="I984" s="143"/>
      <c r="J984" s="143"/>
      <c r="K984" s="143"/>
      <c r="L984" s="143"/>
      <c r="M984" s="143"/>
      <c r="N984" s="222"/>
      <c r="O984" s="222"/>
      <c r="P984" s="145"/>
      <c r="Q984" s="223"/>
      <c r="R984" s="167"/>
      <c r="S984" s="429"/>
      <c r="T984" s="146"/>
      <c r="U984" s="420" t="s">
        <v>702</v>
      </c>
      <c r="V984" s="407">
        <v>7.6</v>
      </c>
      <c r="W984" s="236"/>
      <c r="X984" s="236"/>
      <c r="Y984" s="408"/>
      <c r="Z984" s="409"/>
      <c r="AA984" s="409"/>
      <c r="AB984" s="410"/>
      <c r="AC984" s="411">
        <f>W984*52%</f>
        <v>0</v>
      </c>
      <c r="AD984" s="412">
        <f>W984*25%</f>
        <v>0</v>
      </c>
      <c r="AE984" s="412">
        <f>W984*9%</f>
        <v>0</v>
      </c>
      <c r="AF984" s="412">
        <f>W984*5%</f>
        <v>0</v>
      </c>
      <c r="AG984" s="412">
        <f>W984*3%</f>
        <v>0</v>
      </c>
      <c r="AH984" s="412">
        <f>W984*1%</f>
        <v>0</v>
      </c>
      <c r="AI984" s="412">
        <f>W984*2%</f>
        <v>0</v>
      </c>
      <c r="AJ984" s="412">
        <f>W984*1%</f>
        <v>0</v>
      </c>
      <c r="AK984" s="412">
        <f>W984*4%</f>
        <v>0</v>
      </c>
      <c r="AL984" s="412">
        <f>W984*1%</f>
        <v>0</v>
      </c>
      <c r="AM984" s="413">
        <f>SUM(AD984:AI984)</f>
        <v>0</v>
      </c>
      <c r="AN984" s="158">
        <f t="shared" si="956"/>
        <v>4000</v>
      </c>
      <c r="AO984" s="159">
        <v>0.2</v>
      </c>
      <c r="AP984" s="160">
        <f>AM984*AN984*$AP$5</f>
        <v>0</v>
      </c>
      <c r="AQ984" s="161">
        <f>AP984*$AQ$5</f>
        <v>0</v>
      </c>
      <c r="AR984" s="162">
        <f>AQ984*$AR$5</f>
        <v>0</v>
      </c>
      <c r="AS984" s="163"/>
      <c r="AT984" s="233"/>
      <c r="AU984" s="187"/>
      <c r="AV984" s="414">
        <f>AR984/$AV$5</f>
        <v>0</v>
      </c>
      <c r="AW984" s="415"/>
      <c r="AX984" s="146">
        <f>SUM(AU984:AV984)</f>
        <v>0</v>
      </c>
      <c r="AY984" s="168"/>
    </row>
    <row r="985" spans="1:51" s="139" customFormat="1" ht="11.25" hidden="1" x14ac:dyDescent="0.25">
      <c r="A985" s="1"/>
      <c r="B985" s="140">
        <v>17</v>
      </c>
      <c r="C985" s="335" t="s">
        <v>333</v>
      </c>
      <c r="D985" s="142"/>
      <c r="E985" s="143"/>
      <c r="F985" s="143"/>
      <c r="G985" s="143"/>
      <c r="H985" s="143"/>
      <c r="I985" s="143"/>
      <c r="J985" s="143"/>
      <c r="K985" s="143"/>
      <c r="L985" s="143"/>
      <c r="M985" s="143"/>
      <c r="N985" s="222"/>
      <c r="O985" s="222">
        <v>1538830</v>
      </c>
      <c r="P985" s="145"/>
      <c r="Q985" s="304">
        <f>MAX(D985:P985)</f>
        <v>1538830</v>
      </c>
      <c r="R985" s="147">
        <f>Q985*$R$7</f>
        <v>364702.70999999996</v>
      </c>
      <c r="S985" s="147">
        <f>R985/$S$5</f>
        <v>999.18550684931495</v>
      </c>
      <c r="T985" s="148">
        <f>S985*$T$5*$T$7</f>
        <v>328232.43899999995</v>
      </c>
      <c r="U985" s="420"/>
      <c r="V985" s="407"/>
      <c r="W985" s="236"/>
      <c r="X985" s="236"/>
      <c r="Y985" s="408"/>
      <c r="Z985" s="409"/>
      <c r="AA985" s="409"/>
      <c r="AB985" s="410"/>
      <c r="AC985" s="155"/>
      <c r="AD985" s="156"/>
      <c r="AE985" s="156"/>
      <c r="AF985" s="156"/>
      <c r="AG985" s="156"/>
      <c r="AH985" s="156"/>
      <c r="AI985" s="156"/>
      <c r="AJ985" s="156"/>
      <c r="AK985" s="156"/>
      <c r="AL985" s="156"/>
      <c r="AM985" s="157"/>
      <c r="AN985" s="158">
        <f t="shared" si="956"/>
        <v>4000</v>
      </c>
      <c r="AO985" s="159"/>
      <c r="AP985" s="160"/>
      <c r="AQ985" s="161"/>
      <c r="AR985" s="162"/>
      <c r="AS985" s="163"/>
      <c r="AT985" s="164"/>
      <c r="AU985" s="165"/>
      <c r="AV985" s="166"/>
      <c r="AW985" s="167"/>
      <c r="AX985" s="146"/>
      <c r="AY985" s="168"/>
    </row>
    <row r="986" spans="1:51" s="139" customFormat="1" ht="11.25" hidden="1" x14ac:dyDescent="0.25">
      <c r="A986" s="1"/>
      <c r="B986" s="140"/>
      <c r="C986" s="345"/>
      <c r="D986" s="142"/>
      <c r="E986" s="143"/>
      <c r="F986" s="143"/>
      <c r="G986" s="143"/>
      <c r="H986" s="143"/>
      <c r="I986" s="143"/>
      <c r="J986" s="143"/>
      <c r="K986" s="143"/>
      <c r="L986" s="143"/>
      <c r="M986" s="143"/>
      <c r="N986" s="222"/>
      <c r="O986" s="222"/>
      <c r="P986" s="145"/>
      <c r="Q986" s="223"/>
      <c r="R986" s="167"/>
      <c r="S986" s="429"/>
      <c r="T986" s="146"/>
      <c r="U986" s="420" t="s">
        <v>703</v>
      </c>
      <c r="V986" s="407">
        <v>25</v>
      </c>
      <c r="W986" s="236">
        <f>1200*365</f>
        <v>438000</v>
      </c>
      <c r="X986" s="236"/>
      <c r="Y986" s="408"/>
      <c r="Z986" s="409"/>
      <c r="AA986" s="409"/>
      <c r="AB986" s="410"/>
      <c r="AC986" s="411">
        <f>W986*52%</f>
        <v>227760</v>
      </c>
      <c r="AD986" s="412">
        <f>W986*25%</f>
        <v>109500</v>
      </c>
      <c r="AE986" s="412">
        <f>W986*9%</f>
        <v>39420</v>
      </c>
      <c r="AF986" s="412">
        <f>W986*5%</f>
        <v>21900</v>
      </c>
      <c r="AG986" s="412">
        <f>W986*3%</f>
        <v>13140</v>
      </c>
      <c r="AH986" s="412">
        <f>W986*1%</f>
        <v>4380</v>
      </c>
      <c r="AI986" s="412">
        <f>W986*2%</f>
        <v>8760</v>
      </c>
      <c r="AJ986" s="412">
        <f>W986*1%</f>
        <v>4380</v>
      </c>
      <c r="AK986" s="412">
        <f>W986*4%</f>
        <v>17520</v>
      </c>
      <c r="AL986" s="412">
        <f>W986*1%</f>
        <v>4380</v>
      </c>
      <c r="AM986" s="413">
        <f>SUM(AD986:AI986)</f>
        <v>197100</v>
      </c>
      <c r="AN986" s="158">
        <f t="shared" si="956"/>
        <v>4000</v>
      </c>
      <c r="AO986" s="159">
        <v>0.2</v>
      </c>
      <c r="AP986" s="160">
        <f>AM986*AN986*$AP$5</f>
        <v>3300873120</v>
      </c>
      <c r="AQ986" s="161">
        <f>AP986*$AQ$5</f>
        <v>916909.27335273603</v>
      </c>
      <c r="AR986" s="162">
        <f>AQ986*$AR$5</f>
        <v>183381.85467054721</v>
      </c>
      <c r="AS986" s="163"/>
      <c r="AT986" s="233"/>
      <c r="AU986" s="187">
        <v>3</v>
      </c>
      <c r="AV986" s="414">
        <f>AR986/$AV$5</f>
        <v>26.167502093400003</v>
      </c>
      <c r="AW986" s="415">
        <f>AV986</f>
        <v>26.167502093400003</v>
      </c>
      <c r="AX986" s="157">
        <f>SUM(AU986:AV986)</f>
        <v>29.167502093400003</v>
      </c>
      <c r="AY986" s="168"/>
    </row>
    <row r="987" spans="1:51" s="139" customFormat="1" ht="11.25" hidden="1" x14ac:dyDescent="0.25">
      <c r="A987" s="1"/>
      <c r="B987" s="140">
        <v>18</v>
      </c>
      <c r="C987" s="337" t="s">
        <v>334</v>
      </c>
      <c r="D987" s="142"/>
      <c r="E987" s="143"/>
      <c r="F987" s="143"/>
      <c r="G987" s="143"/>
      <c r="H987" s="143"/>
      <c r="I987" s="143"/>
      <c r="J987" s="143"/>
      <c r="K987" s="143"/>
      <c r="L987" s="143"/>
      <c r="M987" s="143"/>
      <c r="N987" s="222"/>
      <c r="O987" s="222">
        <v>968295</v>
      </c>
      <c r="P987" s="145"/>
      <c r="Q987" s="304">
        <f>MAX(D987:P987)</f>
        <v>968295</v>
      </c>
      <c r="R987" s="147">
        <f>Q987*$R$9</f>
        <v>141371.06999999998</v>
      </c>
      <c r="S987" s="147">
        <f>R987/$S$5</f>
        <v>387.31799999999993</v>
      </c>
      <c r="T987" s="148">
        <f>S987*$T$5*$T$9</f>
        <v>98959.748999999982</v>
      </c>
      <c r="U987" s="420"/>
      <c r="V987" s="407"/>
      <c r="W987" s="236"/>
      <c r="X987" s="236"/>
      <c r="Y987" s="408"/>
      <c r="Z987" s="409"/>
      <c r="AA987" s="409"/>
      <c r="AB987" s="410"/>
      <c r="AC987" s="155"/>
      <c r="AD987" s="156"/>
      <c r="AE987" s="156"/>
      <c r="AF987" s="156"/>
      <c r="AG987" s="156"/>
      <c r="AH987" s="156"/>
      <c r="AI987" s="156"/>
      <c r="AJ987" s="156"/>
      <c r="AK987" s="156"/>
      <c r="AL987" s="156"/>
      <c r="AM987" s="157"/>
      <c r="AN987" s="158">
        <f t="shared" si="956"/>
        <v>4000</v>
      </c>
      <c r="AO987" s="159"/>
      <c r="AP987" s="160"/>
      <c r="AQ987" s="161"/>
      <c r="AR987" s="162"/>
      <c r="AS987" s="163"/>
      <c r="AT987" s="164"/>
      <c r="AU987" s="165"/>
      <c r="AV987" s="166"/>
      <c r="AW987" s="167"/>
      <c r="AX987" s="146"/>
      <c r="AY987" s="168"/>
    </row>
    <row r="988" spans="1:51" s="139" customFormat="1" ht="11.25" hidden="1" x14ac:dyDescent="0.25">
      <c r="A988" s="1"/>
      <c r="B988" s="140">
        <v>19</v>
      </c>
      <c r="C988" s="338" t="s">
        <v>335</v>
      </c>
      <c r="D988" s="142"/>
      <c r="E988" s="143"/>
      <c r="F988" s="143"/>
      <c r="G988" s="143"/>
      <c r="H988" s="143"/>
      <c r="I988" s="143"/>
      <c r="J988" s="143"/>
      <c r="K988" s="143"/>
      <c r="L988" s="143"/>
      <c r="M988" s="143"/>
      <c r="N988" s="222"/>
      <c r="O988" s="222">
        <v>304324</v>
      </c>
      <c r="P988" s="145"/>
      <c r="Q988" s="223">
        <f>MAX(D988:P988)</f>
        <v>304324</v>
      </c>
      <c r="R988" s="147">
        <f>Q988*$R$10</f>
        <v>33475.64</v>
      </c>
      <c r="S988" s="147">
        <f>R988/$S$5</f>
        <v>91.714082191780818</v>
      </c>
      <c r="T988" s="148">
        <f>S988*$T$5*$T$10</f>
        <v>20085.383999999998</v>
      </c>
      <c r="U988" s="420"/>
      <c r="V988" s="407"/>
      <c r="W988" s="236"/>
      <c r="X988" s="236"/>
      <c r="Y988" s="408"/>
      <c r="Z988" s="409"/>
      <c r="AA988" s="409"/>
      <c r="AB988" s="410"/>
      <c r="AC988" s="155"/>
      <c r="AD988" s="156"/>
      <c r="AE988" s="156"/>
      <c r="AF988" s="156"/>
      <c r="AG988" s="156"/>
      <c r="AH988" s="156"/>
      <c r="AI988" s="156"/>
      <c r="AJ988" s="156"/>
      <c r="AK988" s="156"/>
      <c r="AL988" s="156"/>
      <c r="AM988" s="157"/>
      <c r="AN988" s="158">
        <f t="shared" si="956"/>
        <v>4000</v>
      </c>
      <c r="AO988" s="159"/>
      <c r="AP988" s="160"/>
      <c r="AQ988" s="161"/>
      <c r="AR988" s="162"/>
      <c r="AS988" s="163"/>
      <c r="AT988" s="164"/>
      <c r="AU988" s="165"/>
      <c r="AV988" s="166"/>
      <c r="AW988" s="167"/>
      <c r="AX988" s="146"/>
      <c r="AY988" s="168"/>
    </row>
    <row r="989" spans="1:51" s="139" customFormat="1" ht="11.25" hidden="1" x14ac:dyDescent="0.25">
      <c r="A989" s="1"/>
      <c r="B989" s="140"/>
      <c r="C989" s="338"/>
      <c r="D989" s="142"/>
      <c r="E989" s="143"/>
      <c r="F989" s="143"/>
      <c r="G989" s="143"/>
      <c r="H989" s="143"/>
      <c r="I989" s="143"/>
      <c r="J989" s="143"/>
      <c r="K989" s="143"/>
      <c r="L989" s="143"/>
      <c r="M989" s="143"/>
      <c r="N989" s="222"/>
      <c r="O989" s="222"/>
      <c r="P989" s="145"/>
      <c r="Q989" s="223"/>
      <c r="R989" s="167"/>
      <c r="S989" s="429"/>
      <c r="T989" s="146"/>
      <c r="U989" s="420" t="s">
        <v>704</v>
      </c>
      <c r="V989" s="407">
        <v>10.4</v>
      </c>
      <c r="W989" s="236">
        <f>100*365</f>
        <v>36500</v>
      </c>
      <c r="X989" s="236"/>
      <c r="Y989" s="408"/>
      <c r="Z989" s="409"/>
      <c r="AA989" s="409"/>
      <c r="AB989" s="410"/>
      <c r="AC989" s="411">
        <f>W989*52%</f>
        <v>18980</v>
      </c>
      <c r="AD989" s="412">
        <f>W989*25%</f>
        <v>9125</v>
      </c>
      <c r="AE989" s="412">
        <f>W989*9%</f>
        <v>3285</v>
      </c>
      <c r="AF989" s="412">
        <f>W989*5%</f>
        <v>1825</v>
      </c>
      <c r="AG989" s="412">
        <f>W989*3%</f>
        <v>1095</v>
      </c>
      <c r="AH989" s="412">
        <f>W989*1%</f>
        <v>365</v>
      </c>
      <c r="AI989" s="412">
        <f>W989*2%</f>
        <v>730</v>
      </c>
      <c r="AJ989" s="412">
        <f>W989*1%</f>
        <v>365</v>
      </c>
      <c r="AK989" s="412">
        <f>W989*4%</f>
        <v>1460</v>
      </c>
      <c r="AL989" s="412">
        <f>W989*1%</f>
        <v>365</v>
      </c>
      <c r="AM989" s="413">
        <f>SUM(AD989:AI989)</f>
        <v>16425</v>
      </c>
      <c r="AN989" s="158">
        <f t="shared" si="956"/>
        <v>4000</v>
      </c>
      <c r="AO989" s="159">
        <v>0.2</v>
      </c>
      <c r="AP989" s="160">
        <f>AM989*AN989*$AP$5</f>
        <v>275072760</v>
      </c>
      <c r="AQ989" s="161">
        <f>AP989*$AQ$5</f>
        <v>76409.106112727997</v>
      </c>
      <c r="AR989" s="162">
        <f>AQ989*$AR$5</f>
        <v>15281.821222545601</v>
      </c>
      <c r="AS989" s="163"/>
      <c r="AT989" s="233"/>
      <c r="AU989" s="187"/>
      <c r="AV989" s="414">
        <f>AR989/$AV$5</f>
        <v>2.1806251744500003</v>
      </c>
      <c r="AW989" s="415"/>
      <c r="AX989" s="146">
        <f>SUM(AU989:AV989)</f>
        <v>2.1806251744500003</v>
      </c>
      <c r="AY989" s="168"/>
    </row>
    <row r="990" spans="1:51" s="139" customFormat="1" ht="11.25" hidden="1" x14ac:dyDescent="0.25">
      <c r="A990" s="1"/>
      <c r="B990" s="140">
        <v>20</v>
      </c>
      <c r="C990" s="333" t="s">
        <v>336</v>
      </c>
      <c r="D990" s="142"/>
      <c r="E990" s="143"/>
      <c r="F990" s="143"/>
      <c r="G990" s="143"/>
      <c r="H990" s="143"/>
      <c r="I990" s="143"/>
      <c r="J990" s="143"/>
      <c r="K990" s="143"/>
      <c r="L990" s="143"/>
      <c r="M990" s="143"/>
      <c r="N990" s="222"/>
      <c r="O990" s="222">
        <v>2440136</v>
      </c>
      <c r="P990" s="145"/>
      <c r="Q990" s="304">
        <f>MAX(D990:P990)</f>
        <v>2440136</v>
      </c>
      <c r="R990" s="147">
        <f>Q990*$R$7</f>
        <v>578312.23199999996</v>
      </c>
      <c r="S990" s="147">
        <f>R990/$S$5</f>
        <v>1584.4170739726026</v>
      </c>
      <c r="T990" s="148">
        <f>S990*$T$5*$T$7</f>
        <v>520481.00879999995</v>
      </c>
      <c r="U990" s="420"/>
      <c r="V990" s="407"/>
      <c r="W990" s="236"/>
      <c r="X990" s="236"/>
      <c r="Y990" s="408"/>
      <c r="Z990" s="409"/>
      <c r="AA990" s="409"/>
      <c r="AB990" s="410"/>
      <c r="AC990" s="155"/>
      <c r="AD990" s="156"/>
      <c r="AE990" s="156"/>
      <c r="AF990" s="156"/>
      <c r="AG990" s="156"/>
      <c r="AH990" s="156"/>
      <c r="AI990" s="156"/>
      <c r="AJ990" s="156"/>
      <c r="AK990" s="156"/>
      <c r="AL990" s="156"/>
      <c r="AM990" s="157"/>
      <c r="AN990" s="158">
        <f t="shared" si="956"/>
        <v>4000</v>
      </c>
      <c r="AO990" s="159"/>
      <c r="AP990" s="160"/>
      <c r="AQ990" s="161"/>
      <c r="AR990" s="162"/>
      <c r="AS990" s="163"/>
      <c r="AT990" s="164"/>
      <c r="AU990" s="165"/>
      <c r="AV990" s="166"/>
      <c r="AW990" s="167"/>
      <c r="AX990" s="146"/>
      <c r="AY990" s="168"/>
    </row>
    <row r="991" spans="1:51" s="139" customFormat="1" ht="11.25" hidden="1" x14ac:dyDescent="0.25">
      <c r="A991" s="1"/>
      <c r="B991" s="140"/>
      <c r="C991" s="333"/>
      <c r="D991" s="142"/>
      <c r="E991" s="143"/>
      <c r="F991" s="143"/>
      <c r="G991" s="143"/>
      <c r="H991" s="143"/>
      <c r="I991" s="143"/>
      <c r="J991" s="143"/>
      <c r="K991" s="143"/>
      <c r="L991" s="143"/>
      <c r="M991" s="143"/>
      <c r="N991" s="222"/>
      <c r="O991" s="222"/>
      <c r="P991" s="145"/>
      <c r="Q991" s="304"/>
      <c r="R991" s="147"/>
      <c r="S991" s="147"/>
      <c r="T991" s="148"/>
      <c r="U991" s="420" t="s">
        <v>705</v>
      </c>
      <c r="V991" s="407">
        <v>16.5</v>
      </c>
      <c r="W991" s="236">
        <f>(4068*0.25)*365</f>
        <v>371205</v>
      </c>
      <c r="X991" s="236"/>
      <c r="Y991" s="408"/>
      <c r="Z991" s="409"/>
      <c r="AA991" s="409"/>
      <c r="AB991" s="410"/>
      <c r="AC991" s="411">
        <f>W991*52%</f>
        <v>193026.6</v>
      </c>
      <c r="AD991" s="412">
        <f>W991*25%</f>
        <v>92801.25</v>
      </c>
      <c r="AE991" s="412">
        <f>W991*9%</f>
        <v>33408.449999999997</v>
      </c>
      <c r="AF991" s="412">
        <f>W991*5%</f>
        <v>18560.25</v>
      </c>
      <c r="AG991" s="412">
        <f>W991*3%</f>
        <v>11136.15</v>
      </c>
      <c r="AH991" s="412">
        <f>W991*1%</f>
        <v>3712.05</v>
      </c>
      <c r="AI991" s="412">
        <f>W991*2%</f>
        <v>7424.1</v>
      </c>
      <c r="AJ991" s="412">
        <f>W991*1%</f>
        <v>3712.05</v>
      </c>
      <c r="AK991" s="412">
        <f>W991*4%</f>
        <v>14848.2</v>
      </c>
      <c r="AL991" s="412">
        <f>W991*1%</f>
        <v>3712.05</v>
      </c>
      <c r="AM991" s="413">
        <f>SUM(AD991:AI991)</f>
        <v>167042.25</v>
      </c>
      <c r="AN991" s="158">
        <f t="shared" si="956"/>
        <v>4000</v>
      </c>
      <c r="AO991" s="159">
        <v>0.2</v>
      </c>
      <c r="AP991" s="160">
        <f>AM991*AN991*$AP$5</f>
        <v>2797489969.1999998</v>
      </c>
      <c r="AQ991" s="161">
        <f>AP991*$AQ$5</f>
        <v>777080.6091664437</v>
      </c>
      <c r="AR991" s="162">
        <f>AQ991*$AR$5</f>
        <v>155416.12183328875</v>
      </c>
      <c r="AS991" s="163"/>
      <c r="AT991" s="233"/>
      <c r="AU991" s="187">
        <v>2</v>
      </c>
      <c r="AV991" s="414">
        <f>AR991/$AV$5</f>
        <v>22.176958024156502</v>
      </c>
      <c r="AW991" s="415">
        <f>AV991</f>
        <v>22.176958024156502</v>
      </c>
      <c r="AX991" s="146">
        <f>SUM(AU991:AV991)</f>
        <v>24.176958024156502</v>
      </c>
      <c r="AY991" s="168"/>
    </row>
    <row r="992" spans="1:51" s="139" customFormat="1" ht="11.25" hidden="1" x14ac:dyDescent="0.25">
      <c r="A992" s="1"/>
      <c r="B992" s="140"/>
      <c r="C992" s="333"/>
      <c r="D992" s="142"/>
      <c r="E992" s="143"/>
      <c r="F992" s="143"/>
      <c r="G992" s="143"/>
      <c r="H992" s="143"/>
      <c r="I992" s="143"/>
      <c r="J992" s="143"/>
      <c r="K992" s="143"/>
      <c r="L992" s="143"/>
      <c r="M992" s="143"/>
      <c r="N992" s="222"/>
      <c r="O992" s="222"/>
      <c r="P992" s="145"/>
      <c r="Q992" s="304"/>
      <c r="R992" s="147"/>
      <c r="S992" s="147"/>
      <c r="T992" s="148"/>
      <c r="U992" s="420" t="s">
        <v>706</v>
      </c>
      <c r="V992" s="407">
        <v>10</v>
      </c>
      <c r="W992" s="236"/>
      <c r="X992" s="236"/>
      <c r="Y992" s="408"/>
      <c r="Z992" s="409"/>
      <c r="AA992" s="409"/>
      <c r="AB992" s="410"/>
      <c r="AC992" s="155"/>
      <c r="AD992" s="156"/>
      <c r="AE992" s="156"/>
      <c r="AF992" s="156"/>
      <c r="AG992" s="156"/>
      <c r="AH992" s="156"/>
      <c r="AI992" s="156"/>
      <c r="AJ992" s="156"/>
      <c r="AK992" s="156"/>
      <c r="AL992" s="156"/>
      <c r="AM992" s="157"/>
      <c r="AN992" s="158"/>
      <c r="AO992" s="159"/>
      <c r="AP992" s="160"/>
      <c r="AQ992" s="161"/>
      <c r="AR992" s="162"/>
      <c r="AS992" s="163"/>
      <c r="AT992" s="164"/>
      <c r="AU992" s="165"/>
      <c r="AV992" s="166"/>
      <c r="AW992" s="167"/>
      <c r="AX992" s="146"/>
      <c r="AY992" s="168"/>
    </row>
    <row r="993" spans="1:51" s="139" customFormat="1" ht="11.25" hidden="1" x14ac:dyDescent="0.25">
      <c r="A993" s="1"/>
      <c r="B993" s="140"/>
      <c r="C993" s="333"/>
      <c r="D993" s="142"/>
      <c r="E993" s="143"/>
      <c r="F993" s="143"/>
      <c r="G993" s="143"/>
      <c r="H993" s="143"/>
      <c r="I993" s="143"/>
      <c r="J993" s="143"/>
      <c r="K993" s="143"/>
      <c r="L993" s="143"/>
      <c r="M993" s="143"/>
      <c r="N993" s="222"/>
      <c r="O993" s="222"/>
      <c r="P993" s="145"/>
      <c r="Q993" s="304"/>
      <c r="R993" s="147"/>
      <c r="S993" s="147"/>
      <c r="T993" s="148"/>
      <c r="U993" s="420" t="s">
        <v>707</v>
      </c>
      <c r="V993" s="407">
        <v>10</v>
      </c>
      <c r="W993" s="236"/>
      <c r="X993" s="236"/>
      <c r="Y993" s="408"/>
      <c r="Z993" s="409"/>
      <c r="AA993" s="409"/>
      <c r="AB993" s="410"/>
      <c r="AC993" s="155"/>
      <c r="AD993" s="156"/>
      <c r="AE993" s="156"/>
      <c r="AF993" s="156"/>
      <c r="AG993" s="156"/>
      <c r="AH993" s="156"/>
      <c r="AI993" s="156"/>
      <c r="AJ993" s="156"/>
      <c r="AK993" s="156"/>
      <c r="AL993" s="156"/>
      <c r="AM993" s="157"/>
      <c r="AN993" s="158"/>
      <c r="AO993" s="159"/>
      <c r="AP993" s="160"/>
      <c r="AQ993" s="161"/>
      <c r="AR993" s="162"/>
      <c r="AS993" s="163"/>
      <c r="AT993" s="164"/>
      <c r="AU993" s="165"/>
      <c r="AV993" s="166"/>
      <c r="AW993" s="167"/>
      <c r="AX993" s="146"/>
      <c r="AY993" s="168"/>
    </row>
    <row r="994" spans="1:51" s="139" customFormat="1" ht="11.25" hidden="1" x14ac:dyDescent="0.25">
      <c r="A994" s="1"/>
      <c r="B994" s="140">
        <v>21</v>
      </c>
      <c r="C994" s="339" t="s">
        <v>337</v>
      </c>
      <c r="D994" s="142"/>
      <c r="E994" s="143"/>
      <c r="F994" s="143"/>
      <c r="G994" s="143"/>
      <c r="H994" s="143"/>
      <c r="I994" s="143"/>
      <c r="J994" s="143"/>
      <c r="K994" s="143"/>
      <c r="L994" s="143"/>
      <c r="M994" s="143"/>
      <c r="N994" s="222"/>
      <c r="O994" s="222">
        <v>301992</v>
      </c>
      <c r="P994" s="145"/>
      <c r="Q994" s="223">
        <f>MAX(D994:P994)</f>
        <v>301992</v>
      </c>
      <c r="R994" s="147">
        <f>Q994*$R$10</f>
        <v>33219.120000000003</v>
      </c>
      <c r="S994" s="147">
        <f>R994/$S$5</f>
        <v>91.011287671232878</v>
      </c>
      <c r="T994" s="148">
        <f>S994*$T$5*$T$10</f>
        <v>19931.472000000002</v>
      </c>
      <c r="U994" s="420"/>
      <c r="V994" s="407"/>
      <c r="W994" s="236"/>
      <c r="X994" s="236"/>
      <c r="Y994" s="408"/>
      <c r="Z994" s="409"/>
      <c r="AA994" s="409"/>
      <c r="AB994" s="410"/>
      <c r="AC994" s="155"/>
      <c r="AD994" s="156"/>
      <c r="AE994" s="156"/>
      <c r="AF994" s="156"/>
      <c r="AG994" s="156"/>
      <c r="AH994" s="156"/>
      <c r="AI994" s="156"/>
      <c r="AJ994" s="156"/>
      <c r="AK994" s="156"/>
      <c r="AL994" s="156"/>
      <c r="AM994" s="157"/>
      <c r="AN994" s="158">
        <f t="shared" si="956"/>
        <v>4000</v>
      </c>
      <c r="AO994" s="159"/>
      <c r="AP994" s="160"/>
      <c r="AQ994" s="161"/>
      <c r="AR994" s="162"/>
      <c r="AS994" s="163"/>
      <c r="AT994" s="164"/>
      <c r="AU994" s="165"/>
      <c r="AV994" s="166"/>
      <c r="AW994" s="167"/>
      <c r="AX994" s="146"/>
      <c r="AY994" s="168"/>
    </row>
    <row r="995" spans="1:51" s="139" customFormat="1" ht="11.25" hidden="1" x14ac:dyDescent="0.25">
      <c r="A995" s="1"/>
      <c r="B995" s="140"/>
      <c r="C995" s="339"/>
      <c r="D995" s="142"/>
      <c r="E995" s="143"/>
      <c r="F995" s="143"/>
      <c r="G995" s="143"/>
      <c r="H995" s="143"/>
      <c r="I995" s="143"/>
      <c r="J995" s="143"/>
      <c r="K995" s="143"/>
      <c r="L995" s="143"/>
      <c r="M995" s="143"/>
      <c r="N995" s="222"/>
      <c r="O995" s="222"/>
      <c r="P995" s="145"/>
      <c r="Q995" s="223"/>
      <c r="R995" s="147"/>
      <c r="S995" s="147"/>
      <c r="T995" s="148"/>
      <c r="U995" s="420" t="s">
        <v>708</v>
      </c>
      <c r="V995" s="407">
        <v>9</v>
      </c>
      <c r="W995" s="236">
        <f>(500*0.25)*365</f>
        <v>45625</v>
      </c>
      <c r="X995" s="236"/>
      <c r="Y995" s="408"/>
      <c r="Z995" s="409"/>
      <c r="AA995" s="409"/>
      <c r="AB995" s="410"/>
      <c r="AC995" s="411">
        <f>W995*52%</f>
        <v>23725</v>
      </c>
      <c r="AD995" s="412">
        <f>W995*25%</f>
        <v>11406.25</v>
      </c>
      <c r="AE995" s="412">
        <f>W995*9%</f>
        <v>4106.25</v>
      </c>
      <c r="AF995" s="412">
        <f>W995*5%</f>
        <v>2281.25</v>
      </c>
      <c r="AG995" s="412">
        <f>W995*3%</f>
        <v>1368.75</v>
      </c>
      <c r="AH995" s="412">
        <f>W995*1%</f>
        <v>456.25</v>
      </c>
      <c r="AI995" s="412">
        <f>W995*2%</f>
        <v>912.5</v>
      </c>
      <c r="AJ995" s="412">
        <f>W995*1%</f>
        <v>456.25</v>
      </c>
      <c r="AK995" s="412">
        <f>W995*4%</f>
        <v>1825</v>
      </c>
      <c r="AL995" s="412">
        <f>W995*1%</f>
        <v>456.25</v>
      </c>
      <c r="AM995" s="413">
        <f>SUM(AD995:AI995)</f>
        <v>20531.25</v>
      </c>
      <c r="AN995" s="158">
        <f t="shared" si="956"/>
        <v>4000</v>
      </c>
      <c r="AO995" s="159">
        <v>0.2</v>
      </c>
      <c r="AP995" s="160">
        <f>AM995*AN995*$AP$5</f>
        <v>343840950</v>
      </c>
      <c r="AQ995" s="161">
        <f>AP995*$AQ$5</f>
        <v>95511.38264091</v>
      </c>
      <c r="AR995" s="162">
        <f>AQ995*$AR$5</f>
        <v>19102.276528181999</v>
      </c>
      <c r="AS995" s="163"/>
      <c r="AT995" s="233"/>
      <c r="AU995" s="187"/>
      <c r="AV995" s="414">
        <f>AR995/$AV$5</f>
        <v>2.7257814680624999</v>
      </c>
      <c r="AW995" s="415"/>
      <c r="AX995" s="146">
        <f>SUM(AU995:AV995)</f>
        <v>2.7257814680624999</v>
      </c>
      <c r="AY995" s="168"/>
    </row>
    <row r="996" spans="1:51" s="139" customFormat="1" ht="11.25" hidden="1" x14ac:dyDescent="0.25">
      <c r="A996" s="1"/>
      <c r="B996" s="140">
        <v>22</v>
      </c>
      <c r="C996" s="333" t="s">
        <v>338</v>
      </c>
      <c r="D996" s="142"/>
      <c r="E996" s="143"/>
      <c r="F996" s="143"/>
      <c r="G996" s="143"/>
      <c r="H996" s="143"/>
      <c r="I996" s="143"/>
      <c r="J996" s="143"/>
      <c r="K996" s="143"/>
      <c r="L996" s="143"/>
      <c r="M996" s="143"/>
      <c r="N996" s="222"/>
      <c r="O996" s="222">
        <v>2379000</v>
      </c>
      <c r="P996" s="145"/>
      <c r="Q996" s="304">
        <f>MAX(D996:P996)</f>
        <v>2379000</v>
      </c>
      <c r="R996" s="147">
        <f>Q996*$R$7</f>
        <v>563823</v>
      </c>
      <c r="S996" s="147">
        <f>R996/$S$5</f>
        <v>1544.7205479452055</v>
      </c>
      <c r="T996" s="148">
        <f>S996*$T$5*$T$7</f>
        <v>507440.7</v>
      </c>
      <c r="U996" s="420"/>
      <c r="V996" s="407"/>
      <c r="W996" s="236"/>
      <c r="X996" s="236"/>
      <c r="Y996" s="408"/>
      <c r="Z996" s="409"/>
      <c r="AA996" s="409"/>
      <c r="AB996" s="410"/>
      <c r="AC996" s="155"/>
      <c r="AD996" s="156"/>
      <c r="AE996" s="156"/>
      <c r="AF996" s="156"/>
      <c r="AG996" s="156"/>
      <c r="AH996" s="156"/>
      <c r="AI996" s="156"/>
      <c r="AJ996" s="156"/>
      <c r="AK996" s="156"/>
      <c r="AL996" s="156"/>
      <c r="AM996" s="157"/>
      <c r="AN996" s="158">
        <f t="shared" si="956"/>
        <v>4000</v>
      </c>
      <c r="AO996" s="159"/>
      <c r="AP996" s="160"/>
      <c r="AQ996" s="161"/>
      <c r="AR996" s="162"/>
      <c r="AS996" s="163"/>
      <c r="AT996" s="164"/>
      <c r="AU996" s="165"/>
      <c r="AV996" s="166"/>
      <c r="AW996" s="167"/>
      <c r="AX996" s="146"/>
      <c r="AY996" s="168"/>
    </row>
    <row r="997" spans="1:51" s="139" customFormat="1" ht="11.25" hidden="1" x14ac:dyDescent="0.25">
      <c r="A997" s="1"/>
      <c r="B997" s="140"/>
      <c r="C997" s="339"/>
      <c r="D997" s="142"/>
      <c r="E997" s="143"/>
      <c r="F997" s="143"/>
      <c r="G997" s="143"/>
      <c r="H997" s="143"/>
      <c r="I997" s="143"/>
      <c r="J997" s="143"/>
      <c r="K997" s="143"/>
      <c r="L997" s="143"/>
      <c r="M997" s="143"/>
      <c r="N997" s="222"/>
      <c r="O997" s="222"/>
      <c r="P997" s="145"/>
      <c r="Q997" s="223"/>
      <c r="R997" s="167"/>
      <c r="S997" s="489"/>
      <c r="T997" s="146"/>
      <c r="U997" s="420" t="s">
        <v>709</v>
      </c>
      <c r="V997" s="407">
        <v>108</v>
      </c>
      <c r="W997" s="236">
        <f>4500*365</f>
        <v>1642500</v>
      </c>
      <c r="X997" s="236"/>
      <c r="Y997" s="408"/>
      <c r="Z997" s="409"/>
      <c r="AA997" s="409"/>
      <c r="AB997" s="410"/>
      <c r="AC997" s="411">
        <f>W997*52%</f>
        <v>854100</v>
      </c>
      <c r="AD997" s="412">
        <f>W997*25%</f>
        <v>410625</v>
      </c>
      <c r="AE997" s="412">
        <f>W997*9%</f>
        <v>147825</v>
      </c>
      <c r="AF997" s="412">
        <f>W997*5%</f>
        <v>82125</v>
      </c>
      <c r="AG997" s="412">
        <f>W997*3%</f>
        <v>49275</v>
      </c>
      <c r="AH997" s="412">
        <f>W997*1%</f>
        <v>16425</v>
      </c>
      <c r="AI997" s="412">
        <f>W997*2%</f>
        <v>32850</v>
      </c>
      <c r="AJ997" s="412">
        <f>W997*1%</f>
        <v>16425</v>
      </c>
      <c r="AK997" s="412">
        <f>W997*4%</f>
        <v>65700</v>
      </c>
      <c r="AL997" s="412">
        <f>W997*1%</f>
        <v>16425</v>
      </c>
      <c r="AM997" s="413">
        <f>SUM(AD997:AI997)</f>
        <v>739125</v>
      </c>
      <c r="AN997" s="158">
        <f t="shared" si="956"/>
        <v>4000</v>
      </c>
      <c r="AO997" s="159">
        <v>0.2</v>
      </c>
      <c r="AP997" s="160">
        <f>AM997*AN997*$AP$5</f>
        <v>12378274200</v>
      </c>
      <c r="AQ997" s="161">
        <f>AP997*$AQ$5</f>
        <v>3438409.7750727599</v>
      </c>
      <c r="AR997" s="162">
        <f>AQ997*$AR$5</f>
        <v>687681.95501455199</v>
      </c>
      <c r="AS997" s="163"/>
      <c r="AT997" s="233"/>
      <c r="AU997" s="187">
        <v>8.5</v>
      </c>
      <c r="AV997" s="414">
        <f>AR997/$AV$5</f>
        <v>98.128132850249997</v>
      </c>
      <c r="AW997" s="415">
        <f>AV997</f>
        <v>98.128132850249997</v>
      </c>
      <c r="AX997" s="157">
        <f>SUM(AU997:AV997)</f>
        <v>106.62813285025</v>
      </c>
      <c r="AY997" s="168"/>
    </row>
    <row r="998" spans="1:51" s="139" customFormat="1" ht="11.25" hidden="1" x14ac:dyDescent="0.25">
      <c r="A998" s="1"/>
      <c r="B998" s="140"/>
      <c r="C998" s="339"/>
      <c r="D998" s="142"/>
      <c r="E998" s="143"/>
      <c r="F998" s="143"/>
      <c r="G998" s="143"/>
      <c r="H998" s="143"/>
      <c r="I998" s="143"/>
      <c r="J998" s="143"/>
      <c r="K998" s="143"/>
      <c r="L998" s="143"/>
      <c r="M998" s="143"/>
      <c r="N998" s="222"/>
      <c r="O998" s="222"/>
      <c r="P998" s="145"/>
      <c r="Q998" s="223"/>
      <c r="R998" s="167"/>
      <c r="S998" s="429"/>
      <c r="T998" s="146"/>
      <c r="U998" s="420" t="s">
        <v>710</v>
      </c>
      <c r="V998" s="407">
        <v>12.5</v>
      </c>
      <c r="W998" s="236">
        <f>400*365</f>
        <v>146000</v>
      </c>
      <c r="X998" s="236"/>
      <c r="Y998" s="408"/>
      <c r="Z998" s="409"/>
      <c r="AA998" s="409"/>
      <c r="AB998" s="410"/>
      <c r="AC998" s="411">
        <f>W998*52%</f>
        <v>75920</v>
      </c>
      <c r="AD998" s="412">
        <f>W998*25%</f>
        <v>36500</v>
      </c>
      <c r="AE998" s="412">
        <f>W998*9%</f>
        <v>13140</v>
      </c>
      <c r="AF998" s="412">
        <f>W998*5%</f>
        <v>7300</v>
      </c>
      <c r="AG998" s="412">
        <f>W998*3%</f>
        <v>4380</v>
      </c>
      <c r="AH998" s="412">
        <f>W998*1%</f>
        <v>1460</v>
      </c>
      <c r="AI998" s="412">
        <f>W998*2%</f>
        <v>2920</v>
      </c>
      <c r="AJ998" s="412">
        <f>W998*1%</f>
        <v>1460</v>
      </c>
      <c r="AK998" s="412">
        <f>W998*4%</f>
        <v>5840</v>
      </c>
      <c r="AL998" s="412">
        <f>W998*1%</f>
        <v>1460</v>
      </c>
      <c r="AM998" s="413">
        <f>SUM(AD998:AI998)</f>
        <v>65700</v>
      </c>
      <c r="AN998" s="158">
        <f t="shared" si="956"/>
        <v>4000</v>
      </c>
      <c r="AO998" s="159">
        <v>0.2</v>
      </c>
      <c r="AP998" s="160">
        <f>AM998*AN998*$AP$5</f>
        <v>1100291040</v>
      </c>
      <c r="AQ998" s="161">
        <f>AP998*$AQ$5</f>
        <v>305636.42445091199</v>
      </c>
      <c r="AR998" s="162">
        <f>AQ998*$AR$5</f>
        <v>61127.284890182404</v>
      </c>
      <c r="AS998" s="163"/>
      <c r="AT998" s="233"/>
      <c r="AU998" s="187">
        <v>0.75</v>
      </c>
      <c r="AV998" s="414">
        <f>AR998/$AV$5</f>
        <v>8.722500697800001</v>
      </c>
      <c r="AW998" s="415">
        <f>AV998</f>
        <v>8.722500697800001</v>
      </c>
      <c r="AX998" s="146">
        <f>SUM(AU998:AV998)</f>
        <v>9.472500697800001</v>
      </c>
      <c r="AY998" s="168"/>
    </row>
    <row r="999" spans="1:51" s="139" customFormat="1" ht="11.25" hidden="1" x14ac:dyDescent="0.25">
      <c r="A999" s="1"/>
      <c r="B999" s="140">
        <v>23</v>
      </c>
      <c r="C999" s="333" t="s">
        <v>339</v>
      </c>
      <c r="D999" s="142"/>
      <c r="E999" s="143"/>
      <c r="F999" s="143"/>
      <c r="G999" s="143"/>
      <c r="H999" s="143"/>
      <c r="I999" s="143"/>
      <c r="J999" s="143"/>
      <c r="K999" s="143"/>
      <c r="L999" s="143"/>
      <c r="M999" s="143"/>
      <c r="N999" s="222"/>
      <c r="O999" s="222">
        <v>1771428</v>
      </c>
      <c r="P999" s="145"/>
      <c r="Q999" s="304">
        <f>MAX(D999:P999)</f>
        <v>1771428</v>
      </c>
      <c r="R999" s="147">
        <f>Q999*$R$7</f>
        <v>419828.43599999999</v>
      </c>
      <c r="S999" s="147">
        <f>R999/$S$5</f>
        <v>1150.2148931506849</v>
      </c>
      <c r="T999" s="148">
        <f>S999*$T$5*$T$7</f>
        <v>377845.59240000002</v>
      </c>
      <c r="U999" s="420"/>
      <c r="V999" s="407"/>
      <c r="W999" s="236"/>
      <c r="X999" s="236"/>
      <c r="Y999" s="408"/>
      <c r="Z999" s="409"/>
      <c r="AA999" s="409"/>
      <c r="AB999" s="410"/>
      <c r="AC999" s="155"/>
      <c r="AD999" s="156"/>
      <c r="AE999" s="156"/>
      <c r="AF999" s="156"/>
      <c r="AG999" s="156"/>
      <c r="AH999" s="156"/>
      <c r="AI999" s="156"/>
      <c r="AJ999" s="156"/>
      <c r="AK999" s="156"/>
      <c r="AL999" s="156"/>
      <c r="AM999" s="157"/>
      <c r="AN999" s="158">
        <f t="shared" si="956"/>
        <v>4000</v>
      </c>
      <c r="AO999" s="159"/>
      <c r="AP999" s="160"/>
      <c r="AQ999" s="161"/>
      <c r="AR999" s="162"/>
      <c r="AS999" s="163"/>
      <c r="AT999" s="164"/>
      <c r="AU999" s="165"/>
      <c r="AV999" s="166"/>
      <c r="AW999" s="167"/>
      <c r="AX999" s="146"/>
      <c r="AY999" s="168"/>
    </row>
    <row r="1000" spans="1:51" s="139" customFormat="1" ht="11.25" hidden="1" x14ac:dyDescent="0.25">
      <c r="A1000" s="1"/>
      <c r="B1000" s="140"/>
      <c r="C1000" s="339"/>
      <c r="D1000" s="142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222"/>
      <c r="O1000" s="222"/>
      <c r="P1000" s="145"/>
      <c r="Q1000" s="223"/>
      <c r="R1000" s="167"/>
      <c r="S1000" s="429"/>
      <c r="T1000" s="146"/>
      <c r="U1000" s="420" t="s">
        <v>711</v>
      </c>
      <c r="V1000" s="407">
        <v>5.2</v>
      </c>
      <c r="W1000" s="236">
        <f>400*365</f>
        <v>146000</v>
      </c>
      <c r="X1000" s="236"/>
      <c r="Y1000" s="408"/>
      <c r="Z1000" s="409"/>
      <c r="AA1000" s="409"/>
      <c r="AB1000" s="410"/>
      <c r="AC1000" s="411">
        <f>W1000*52%</f>
        <v>75920</v>
      </c>
      <c r="AD1000" s="412">
        <f>W1000*25%</f>
        <v>36500</v>
      </c>
      <c r="AE1000" s="412">
        <f>W1000*9%</f>
        <v>13140</v>
      </c>
      <c r="AF1000" s="412">
        <f>W1000*5%</f>
        <v>7300</v>
      </c>
      <c r="AG1000" s="412">
        <f>W1000*3%</f>
        <v>4380</v>
      </c>
      <c r="AH1000" s="412">
        <f>W1000*1%</f>
        <v>1460</v>
      </c>
      <c r="AI1000" s="412">
        <f>W1000*2%</f>
        <v>2920</v>
      </c>
      <c r="AJ1000" s="412">
        <f>W1000*1%</f>
        <v>1460</v>
      </c>
      <c r="AK1000" s="412">
        <f>W1000*4%</f>
        <v>5840</v>
      </c>
      <c r="AL1000" s="412">
        <f>W1000*1%</f>
        <v>1460</v>
      </c>
      <c r="AM1000" s="413">
        <f>SUM(AD1000:AI1000)</f>
        <v>65700</v>
      </c>
      <c r="AN1000" s="158">
        <f t="shared" si="956"/>
        <v>4000</v>
      </c>
      <c r="AO1000" s="159">
        <v>0.2</v>
      </c>
      <c r="AP1000" s="160">
        <f>AM1000*AN1000*$AP$5</f>
        <v>1100291040</v>
      </c>
      <c r="AQ1000" s="161">
        <f>AP1000*$AQ$5</f>
        <v>305636.42445091199</v>
      </c>
      <c r="AR1000" s="162">
        <f>AQ1000*$AR$5</f>
        <v>61127.284890182404</v>
      </c>
      <c r="AS1000" s="163"/>
      <c r="AT1000" s="233"/>
      <c r="AU1000" s="187">
        <v>0.75</v>
      </c>
      <c r="AV1000" s="414">
        <f>AR1000/$AV$5</f>
        <v>8.722500697800001</v>
      </c>
      <c r="AW1000" s="415">
        <f>AV1000</f>
        <v>8.722500697800001</v>
      </c>
      <c r="AX1000" s="146">
        <f>SUM(AU1000:AV1000)</f>
        <v>9.472500697800001</v>
      </c>
      <c r="AY1000" s="168"/>
    </row>
    <row r="1001" spans="1:51" s="139" customFormat="1" ht="11.25" hidden="1" x14ac:dyDescent="0.25">
      <c r="A1001" s="1"/>
      <c r="B1001" s="140">
        <v>24</v>
      </c>
      <c r="C1001" s="333" t="s">
        <v>340</v>
      </c>
      <c r="D1001" s="142"/>
      <c r="E1001" s="143"/>
      <c r="F1001" s="143"/>
      <c r="G1001" s="143"/>
      <c r="H1001" s="143"/>
      <c r="I1001" s="143"/>
      <c r="J1001" s="143"/>
      <c r="K1001" s="143"/>
      <c r="L1001" s="143"/>
      <c r="M1001" s="143"/>
      <c r="N1001" s="222"/>
      <c r="O1001" s="222">
        <v>647473</v>
      </c>
      <c r="P1001" s="145"/>
      <c r="Q1001" s="304">
        <f>MAX(D1001:P1001)</f>
        <v>647473</v>
      </c>
      <c r="R1001" s="147">
        <f>Q1001*$R$9</f>
        <v>94531.05799999999</v>
      </c>
      <c r="S1001" s="147">
        <f>R1001/$S$5</f>
        <v>258.98919999999998</v>
      </c>
      <c r="T1001" s="148">
        <f>S1001*$T$5*$T$9</f>
        <v>66171.74059999999</v>
      </c>
      <c r="U1001" s="420"/>
      <c r="V1001" s="407"/>
      <c r="W1001" s="236"/>
      <c r="X1001" s="236"/>
      <c r="Y1001" s="408"/>
      <c r="Z1001" s="409"/>
      <c r="AA1001" s="409"/>
      <c r="AB1001" s="410"/>
      <c r="AC1001" s="155"/>
      <c r="AD1001" s="156"/>
      <c r="AE1001" s="156"/>
      <c r="AF1001" s="156"/>
      <c r="AG1001" s="156"/>
      <c r="AH1001" s="156"/>
      <c r="AI1001" s="156"/>
      <c r="AJ1001" s="156"/>
      <c r="AK1001" s="156"/>
      <c r="AL1001" s="156"/>
      <c r="AM1001" s="157"/>
      <c r="AN1001" s="158">
        <f t="shared" si="956"/>
        <v>4000</v>
      </c>
      <c r="AO1001" s="159"/>
      <c r="AP1001" s="160"/>
      <c r="AQ1001" s="161"/>
      <c r="AR1001" s="162"/>
      <c r="AS1001" s="163"/>
      <c r="AT1001" s="164"/>
      <c r="AU1001" s="165"/>
      <c r="AV1001" s="166"/>
      <c r="AW1001" s="167"/>
      <c r="AX1001" s="146"/>
      <c r="AY1001" s="168"/>
    </row>
    <row r="1002" spans="1:51" s="139" customFormat="1" ht="11.25" hidden="1" x14ac:dyDescent="0.25">
      <c r="A1002" s="1"/>
      <c r="B1002" s="140">
        <v>25</v>
      </c>
      <c r="C1002" s="339" t="s">
        <v>341</v>
      </c>
      <c r="D1002" s="142"/>
      <c r="E1002" s="143"/>
      <c r="F1002" s="143"/>
      <c r="G1002" s="143"/>
      <c r="H1002" s="143"/>
      <c r="I1002" s="143"/>
      <c r="J1002" s="143"/>
      <c r="K1002" s="143"/>
      <c r="L1002" s="143"/>
      <c r="M1002" s="143"/>
      <c r="N1002" s="222"/>
      <c r="O1002" s="222">
        <v>551405</v>
      </c>
      <c r="P1002" s="145"/>
      <c r="Q1002" s="223">
        <f>MAX(D1002:P1002)</f>
        <v>551405</v>
      </c>
      <c r="R1002" s="147">
        <f>Q1002*$R$9</f>
        <v>80505.12999999999</v>
      </c>
      <c r="S1002" s="147">
        <f>R1002/$S$5</f>
        <v>220.56199999999998</v>
      </c>
      <c r="T1002" s="148">
        <f>S1002*$T$5*$T$9</f>
        <v>56353.590999999993</v>
      </c>
      <c r="U1002" s="420"/>
      <c r="V1002" s="407"/>
      <c r="W1002" s="236"/>
      <c r="X1002" s="236"/>
      <c r="Y1002" s="408"/>
      <c r="Z1002" s="409"/>
      <c r="AA1002" s="409"/>
      <c r="AB1002" s="410"/>
      <c r="AC1002" s="155"/>
      <c r="AD1002" s="156"/>
      <c r="AE1002" s="156"/>
      <c r="AF1002" s="156"/>
      <c r="AG1002" s="156"/>
      <c r="AH1002" s="156"/>
      <c r="AI1002" s="156"/>
      <c r="AJ1002" s="156"/>
      <c r="AK1002" s="156"/>
      <c r="AL1002" s="156"/>
      <c r="AM1002" s="157"/>
      <c r="AN1002" s="158">
        <f t="shared" si="956"/>
        <v>4000</v>
      </c>
      <c r="AO1002" s="159"/>
      <c r="AP1002" s="160"/>
      <c r="AQ1002" s="161"/>
      <c r="AR1002" s="162"/>
      <c r="AS1002" s="163"/>
      <c r="AT1002" s="164"/>
      <c r="AU1002" s="165"/>
      <c r="AV1002" s="166"/>
      <c r="AW1002" s="167"/>
      <c r="AX1002" s="146"/>
      <c r="AY1002" s="168"/>
    </row>
    <row r="1003" spans="1:51" s="139" customFormat="1" ht="11.25" hidden="1" x14ac:dyDescent="0.25">
      <c r="A1003" s="1"/>
      <c r="B1003" s="140"/>
      <c r="C1003" s="339"/>
      <c r="D1003" s="142"/>
      <c r="E1003" s="143"/>
      <c r="F1003" s="143"/>
      <c r="G1003" s="143"/>
      <c r="H1003" s="143"/>
      <c r="I1003" s="143"/>
      <c r="J1003" s="143"/>
      <c r="K1003" s="143"/>
      <c r="L1003" s="143"/>
      <c r="M1003" s="143"/>
      <c r="N1003" s="222"/>
      <c r="O1003" s="222"/>
      <c r="P1003" s="145"/>
      <c r="Q1003" s="223"/>
      <c r="R1003" s="147"/>
      <c r="S1003" s="147"/>
      <c r="T1003" s="148"/>
      <c r="U1003" s="420" t="s">
        <v>659</v>
      </c>
      <c r="V1003" s="407"/>
      <c r="W1003" s="236">
        <f>(490*0.25)*365</f>
        <v>44712.5</v>
      </c>
      <c r="X1003" s="236"/>
      <c r="Y1003" s="408"/>
      <c r="Z1003" s="409"/>
      <c r="AA1003" s="409"/>
      <c r="AB1003" s="410"/>
      <c r="AC1003" s="411">
        <f>W1003*52%</f>
        <v>23250.5</v>
      </c>
      <c r="AD1003" s="412">
        <f>W1003*25%</f>
        <v>11178.125</v>
      </c>
      <c r="AE1003" s="412">
        <f>W1003*9%</f>
        <v>4024.125</v>
      </c>
      <c r="AF1003" s="412">
        <f>W1003*5%</f>
        <v>2235.625</v>
      </c>
      <c r="AG1003" s="412">
        <f>W1003*3%</f>
        <v>1341.375</v>
      </c>
      <c r="AH1003" s="412">
        <f>W1003*1%</f>
        <v>447.125</v>
      </c>
      <c r="AI1003" s="412">
        <f>W1003*2%</f>
        <v>894.25</v>
      </c>
      <c r="AJ1003" s="412">
        <f>W1003*1%</f>
        <v>447.125</v>
      </c>
      <c r="AK1003" s="412">
        <f>W1003*4%</f>
        <v>1788.5</v>
      </c>
      <c r="AL1003" s="412">
        <f>W1003*1%</f>
        <v>447.125</v>
      </c>
      <c r="AM1003" s="413">
        <f>SUM(AD1003:AI1003)</f>
        <v>20120.625</v>
      </c>
      <c r="AN1003" s="158">
        <f t="shared" si="956"/>
        <v>4000</v>
      </c>
      <c r="AO1003" s="159">
        <v>0.2</v>
      </c>
      <c r="AP1003" s="160">
        <f>AM1003*AN1003*$AP$5</f>
        <v>336964131</v>
      </c>
      <c r="AQ1003" s="161">
        <f>AP1003*$AQ$5</f>
        <v>93601.154988091803</v>
      </c>
      <c r="AR1003" s="162">
        <f>AQ1003*$AR$5</f>
        <v>18720.230997618361</v>
      </c>
      <c r="AS1003" s="163"/>
      <c r="AT1003" s="233"/>
      <c r="AU1003" s="187"/>
      <c r="AV1003" s="414">
        <f>AR1003/$AV$5</f>
        <v>2.6712658387012502</v>
      </c>
      <c r="AW1003" s="415"/>
      <c r="AX1003" s="146">
        <f>SUM(AU1003:AV1003)</f>
        <v>2.6712658387012502</v>
      </c>
      <c r="AY1003" s="168"/>
    </row>
    <row r="1004" spans="1:51" s="139" customFormat="1" ht="11.25" hidden="1" x14ac:dyDescent="0.25">
      <c r="A1004" s="1"/>
      <c r="B1004" s="140">
        <v>26</v>
      </c>
      <c r="C1004" s="339" t="s">
        <v>342</v>
      </c>
      <c r="D1004" s="142"/>
      <c r="E1004" s="143"/>
      <c r="F1004" s="143"/>
      <c r="G1004" s="143"/>
      <c r="H1004" s="143"/>
      <c r="I1004" s="143"/>
      <c r="J1004" s="143"/>
      <c r="K1004" s="143"/>
      <c r="L1004" s="143"/>
      <c r="M1004" s="143"/>
      <c r="N1004" s="222"/>
      <c r="O1004" s="222">
        <v>178467</v>
      </c>
      <c r="P1004" s="145"/>
      <c r="Q1004" s="223">
        <f>MAX(D1004:P1004)</f>
        <v>178467</v>
      </c>
      <c r="R1004" s="147">
        <f>Q1004*$R$10</f>
        <v>19631.37</v>
      </c>
      <c r="S1004" s="147">
        <f>R1004/$S$5</f>
        <v>53.78457534246575</v>
      </c>
      <c r="T1004" s="148">
        <f>S1004*$T$5*$T$10</f>
        <v>11778.821999999998</v>
      </c>
      <c r="U1004" s="420"/>
      <c r="V1004" s="407"/>
      <c r="W1004" s="236"/>
      <c r="X1004" s="236"/>
      <c r="Y1004" s="408"/>
      <c r="Z1004" s="409"/>
      <c r="AA1004" s="409"/>
      <c r="AB1004" s="410"/>
      <c r="AC1004" s="155"/>
      <c r="AD1004" s="156"/>
      <c r="AE1004" s="156"/>
      <c r="AF1004" s="156"/>
      <c r="AG1004" s="156"/>
      <c r="AH1004" s="156"/>
      <c r="AI1004" s="156"/>
      <c r="AJ1004" s="156"/>
      <c r="AK1004" s="156"/>
      <c r="AL1004" s="156"/>
      <c r="AM1004" s="157"/>
      <c r="AN1004" s="158">
        <f t="shared" si="956"/>
        <v>4000</v>
      </c>
      <c r="AO1004" s="159"/>
      <c r="AP1004" s="160"/>
      <c r="AQ1004" s="161"/>
      <c r="AR1004" s="162"/>
      <c r="AS1004" s="163"/>
      <c r="AT1004" s="164"/>
      <c r="AU1004" s="165"/>
      <c r="AV1004" s="166"/>
      <c r="AW1004" s="167"/>
      <c r="AX1004" s="146"/>
      <c r="AY1004" s="168"/>
    </row>
    <row r="1005" spans="1:51" s="190" customFormat="1" ht="16.7" hidden="1" customHeight="1" x14ac:dyDescent="0.25">
      <c r="A1005" s="173"/>
      <c r="B1005" s="120"/>
      <c r="C1005" s="121" t="s">
        <v>343</v>
      </c>
      <c r="D1005" s="240">
        <f t="shared" ref="D1005:AX1005" si="957">SUM(D951:D1004)</f>
        <v>0</v>
      </c>
      <c r="E1005" s="240">
        <f t="shared" si="957"/>
        <v>0</v>
      </c>
      <c r="F1005" s="240">
        <f t="shared" si="957"/>
        <v>0</v>
      </c>
      <c r="G1005" s="240">
        <f t="shared" si="957"/>
        <v>0</v>
      </c>
      <c r="H1005" s="240">
        <f t="shared" si="957"/>
        <v>0</v>
      </c>
      <c r="I1005" s="240">
        <f t="shared" si="957"/>
        <v>0</v>
      </c>
      <c r="J1005" s="240">
        <f t="shared" si="957"/>
        <v>0</v>
      </c>
      <c r="K1005" s="240">
        <f t="shared" si="957"/>
        <v>0</v>
      </c>
      <c r="L1005" s="240">
        <f t="shared" si="957"/>
        <v>0</v>
      </c>
      <c r="M1005" s="240">
        <f t="shared" si="957"/>
        <v>0</v>
      </c>
      <c r="N1005" s="240">
        <f t="shared" si="957"/>
        <v>0</v>
      </c>
      <c r="O1005" s="240">
        <f t="shared" si="957"/>
        <v>43867447</v>
      </c>
      <c r="P1005" s="240">
        <f t="shared" si="957"/>
        <v>0</v>
      </c>
      <c r="Q1005" s="240">
        <f t="shared" si="957"/>
        <v>43867447</v>
      </c>
      <c r="R1005" s="240">
        <f t="shared" si="957"/>
        <v>9666550.4239999987</v>
      </c>
      <c r="S1005" s="240">
        <f t="shared" si="957"/>
        <v>26483.699791780826</v>
      </c>
      <c r="T1005" s="240">
        <f t="shared" si="957"/>
        <v>8505798.7962000016</v>
      </c>
      <c r="U1005" s="424">
        <f t="shared" si="957"/>
        <v>0</v>
      </c>
      <c r="V1005" s="424">
        <f t="shared" si="957"/>
        <v>274</v>
      </c>
      <c r="W1005" s="424">
        <f t="shared" si="957"/>
        <v>3508136.6666666665</v>
      </c>
      <c r="X1005" s="424">
        <f t="shared" si="957"/>
        <v>0</v>
      </c>
      <c r="Y1005" s="424">
        <f t="shared" si="957"/>
        <v>0</v>
      </c>
      <c r="Z1005" s="424">
        <f t="shared" si="957"/>
        <v>0</v>
      </c>
      <c r="AA1005" s="424">
        <f t="shared" si="957"/>
        <v>0</v>
      </c>
      <c r="AB1005" s="424">
        <f t="shared" si="957"/>
        <v>0</v>
      </c>
      <c r="AC1005" s="424">
        <f t="shared" si="957"/>
        <v>1824231.0666666667</v>
      </c>
      <c r="AD1005" s="424">
        <f t="shared" si="957"/>
        <v>877034.16666666663</v>
      </c>
      <c r="AE1005" s="424">
        <f t="shared" si="957"/>
        <v>315732.3</v>
      </c>
      <c r="AF1005" s="424">
        <f t="shared" si="957"/>
        <v>175406.83333333331</v>
      </c>
      <c r="AG1005" s="424">
        <f t="shared" si="957"/>
        <v>105244.1</v>
      </c>
      <c r="AH1005" s="424">
        <f t="shared" si="957"/>
        <v>35081.366666666669</v>
      </c>
      <c r="AI1005" s="424">
        <f t="shared" si="957"/>
        <v>70162.733333333337</v>
      </c>
      <c r="AJ1005" s="424">
        <f t="shared" si="957"/>
        <v>35081.366666666669</v>
      </c>
      <c r="AK1005" s="424">
        <f t="shared" si="957"/>
        <v>140325.46666666667</v>
      </c>
      <c r="AL1005" s="424">
        <f t="shared" si="957"/>
        <v>35081.366666666669</v>
      </c>
      <c r="AM1005" s="424">
        <f t="shared" si="957"/>
        <v>1578661.5</v>
      </c>
      <c r="AN1005" s="424"/>
      <c r="AO1005" s="424"/>
      <c r="AP1005" s="424">
        <f t="shared" si="957"/>
        <v>26438159872.799999</v>
      </c>
      <c r="AQ1005" s="424">
        <f t="shared" si="957"/>
        <v>7343933.8855146617</v>
      </c>
      <c r="AR1005" s="424">
        <f t="shared" si="957"/>
        <v>1468786.7771029326</v>
      </c>
      <c r="AS1005" s="424">
        <f t="shared" si="957"/>
        <v>0</v>
      </c>
      <c r="AT1005" s="424">
        <f t="shared" si="957"/>
        <v>0</v>
      </c>
      <c r="AU1005" s="424">
        <f t="shared" si="957"/>
        <v>18</v>
      </c>
      <c r="AV1005" s="424">
        <f t="shared" si="957"/>
        <v>209.587154266971</v>
      </c>
      <c r="AW1005" s="424">
        <f t="shared" si="957"/>
        <v>197.15032202202451</v>
      </c>
      <c r="AX1005" s="424">
        <f t="shared" si="957"/>
        <v>227.587154266971</v>
      </c>
      <c r="AY1005" s="189"/>
    </row>
    <row r="1006" spans="1:51" hidden="1" x14ac:dyDescent="0.25"/>
    <row r="1007" spans="1:51" s="139" customFormat="1" ht="15" hidden="1" customHeight="1" x14ac:dyDescent="0.25">
      <c r="A1007" s="1"/>
      <c r="B1007" s="120"/>
      <c r="C1007" s="121" t="s">
        <v>344</v>
      </c>
      <c r="D1007" s="122"/>
      <c r="E1007" s="123"/>
      <c r="F1007" s="123"/>
      <c r="G1007" s="123"/>
      <c r="H1007" s="123"/>
      <c r="I1007" s="123"/>
      <c r="J1007" s="123"/>
      <c r="K1007" s="123"/>
      <c r="L1007" s="123"/>
      <c r="M1007" s="123"/>
      <c r="N1007" s="123"/>
      <c r="O1007" s="123"/>
      <c r="P1007" s="213"/>
      <c r="Q1007" s="76"/>
      <c r="R1007" s="108"/>
      <c r="S1007" s="108"/>
      <c r="T1007" s="94"/>
      <c r="U1007" s="120"/>
      <c r="V1007" s="67"/>
      <c r="W1007" s="123"/>
      <c r="X1007" s="123"/>
      <c r="Y1007" s="125"/>
      <c r="Z1007" s="126"/>
      <c r="AA1007" s="126"/>
      <c r="AB1007" s="127"/>
      <c r="AC1007" s="62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125"/>
      <c r="AN1007" s="75"/>
      <c r="AO1007" s="216"/>
      <c r="AP1007" s="75"/>
      <c r="AQ1007" s="51"/>
      <c r="AR1007" s="217"/>
      <c r="AS1007" s="218"/>
      <c r="AT1007" s="219"/>
      <c r="AU1007" s="220"/>
      <c r="AV1007" s="135"/>
      <c r="AW1007" s="136"/>
      <c r="AX1007" s="137"/>
      <c r="AY1007" s="138"/>
    </row>
    <row r="1008" spans="1:51" s="139" customFormat="1" ht="11.25" hidden="1" x14ac:dyDescent="0.25">
      <c r="A1008" s="1"/>
      <c r="B1008" s="140">
        <v>1</v>
      </c>
      <c r="C1008" s="340" t="s">
        <v>345</v>
      </c>
      <c r="D1008" s="142"/>
      <c r="E1008" s="143"/>
      <c r="F1008" s="143"/>
      <c r="G1008" s="143"/>
      <c r="H1008" s="143"/>
      <c r="I1008" s="143"/>
      <c r="J1008" s="143"/>
      <c r="K1008" s="143"/>
      <c r="L1008" s="143"/>
      <c r="M1008" s="143"/>
      <c r="N1008" s="222"/>
      <c r="O1008" s="222">
        <v>1642107</v>
      </c>
      <c r="P1008" s="145"/>
      <c r="Q1008" s="304">
        <f>MAX(D1008:P1008)</f>
        <v>1642107</v>
      </c>
      <c r="R1008" s="147">
        <f>Q1008*$R$7</f>
        <v>389179.359</v>
      </c>
      <c r="S1008" s="147">
        <f>R1008/$S$5</f>
        <v>1066.2448191780823</v>
      </c>
      <c r="T1008" s="148">
        <f>S1008*$T$5*$T$7</f>
        <v>350261.42310000001</v>
      </c>
      <c r="U1008" s="420"/>
      <c r="V1008" s="407"/>
      <c r="W1008" s="236"/>
      <c r="X1008" s="236"/>
      <c r="Y1008" s="408"/>
      <c r="Z1008" s="409"/>
      <c r="AA1008" s="409"/>
      <c r="AB1008" s="410"/>
      <c r="AC1008" s="155"/>
      <c r="AD1008" s="156"/>
      <c r="AE1008" s="156"/>
      <c r="AF1008" s="156"/>
      <c r="AG1008" s="156"/>
      <c r="AH1008" s="156"/>
      <c r="AI1008" s="156"/>
      <c r="AJ1008" s="156"/>
      <c r="AK1008" s="156"/>
      <c r="AL1008" s="156"/>
      <c r="AM1008" s="157"/>
      <c r="AN1008" s="158">
        <f t="shared" ref="AN1008:AN1070" si="958">$AN$641</f>
        <v>4000</v>
      </c>
      <c r="AO1008" s="159"/>
      <c r="AP1008" s="160"/>
      <c r="AQ1008" s="161"/>
      <c r="AR1008" s="162"/>
      <c r="AS1008" s="163"/>
      <c r="AT1008" s="164"/>
      <c r="AU1008" s="165"/>
      <c r="AV1008" s="166"/>
      <c r="AW1008" s="167"/>
      <c r="AX1008" s="146"/>
      <c r="AY1008" s="168"/>
    </row>
    <row r="1009" spans="1:51" s="139" customFormat="1" ht="11.25" hidden="1" x14ac:dyDescent="0.25">
      <c r="A1009" s="1"/>
      <c r="B1009" s="140"/>
      <c r="C1009" s="490"/>
      <c r="D1009" s="142"/>
      <c r="E1009" s="143"/>
      <c r="F1009" s="143"/>
      <c r="G1009" s="143"/>
      <c r="H1009" s="143"/>
      <c r="I1009" s="143"/>
      <c r="J1009" s="143"/>
      <c r="K1009" s="143"/>
      <c r="L1009" s="143"/>
      <c r="M1009" s="143"/>
      <c r="N1009" s="222"/>
      <c r="O1009" s="222"/>
      <c r="P1009" s="145"/>
      <c r="Q1009" s="223"/>
      <c r="R1009" s="167"/>
      <c r="S1009" s="429"/>
      <c r="T1009" s="146"/>
      <c r="U1009" s="420" t="s">
        <v>712</v>
      </c>
      <c r="V1009" s="407"/>
      <c r="W1009" s="236"/>
      <c r="X1009" s="236"/>
      <c r="Y1009" s="408"/>
      <c r="Z1009" s="409"/>
      <c r="AA1009" s="409"/>
      <c r="AB1009" s="410"/>
      <c r="AC1009" s="411">
        <f>W1009*52%</f>
        <v>0</v>
      </c>
      <c r="AD1009" s="412">
        <f>W1009*25%</f>
        <v>0</v>
      </c>
      <c r="AE1009" s="412">
        <f>W1009*9%</f>
        <v>0</v>
      </c>
      <c r="AF1009" s="412">
        <f>W1009*5%</f>
        <v>0</v>
      </c>
      <c r="AG1009" s="412">
        <f>W1009*3%</f>
        <v>0</v>
      </c>
      <c r="AH1009" s="412">
        <f>W1009*1%</f>
        <v>0</v>
      </c>
      <c r="AI1009" s="412">
        <f>W1009*2%</f>
        <v>0</v>
      </c>
      <c r="AJ1009" s="412">
        <f>W1009*1%</f>
        <v>0</v>
      </c>
      <c r="AK1009" s="412">
        <f>W1009*4%</f>
        <v>0</v>
      </c>
      <c r="AL1009" s="412">
        <f>W1009*1%</f>
        <v>0</v>
      </c>
      <c r="AM1009" s="413">
        <f>SUM(AD1009:AI1009)</f>
        <v>0</v>
      </c>
      <c r="AN1009" s="158">
        <f t="shared" si="958"/>
        <v>4000</v>
      </c>
      <c r="AO1009" s="159">
        <v>0.2</v>
      </c>
      <c r="AP1009" s="160">
        <f>AM1009*AN1009*$AP$5</f>
        <v>0</v>
      </c>
      <c r="AQ1009" s="161">
        <f>AP1009*$AQ$5</f>
        <v>0</v>
      </c>
      <c r="AR1009" s="162">
        <f>AQ1009*$AR$5</f>
        <v>0</v>
      </c>
      <c r="AS1009" s="163"/>
      <c r="AT1009" s="233"/>
      <c r="AU1009" s="187"/>
      <c r="AV1009" s="414">
        <f>AR1009/$AV$5</f>
        <v>0</v>
      </c>
      <c r="AW1009" s="415"/>
      <c r="AX1009" s="146">
        <f>SUM(AU1009:AV1009)</f>
        <v>0</v>
      </c>
      <c r="AY1009" s="168"/>
    </row>
    <row r="1010" spans="1:51" s="139" customFormat="1" ht="11.25" hidden="1" x14ac:dyDescent="0.25">
      <c r="A1010" s="1"/>
      <c r="B1010" s="140">
        <v>2</v>
      </c>
      <c r="C1010" s="340" t="s">
        <v>346</v>
      </c>
      <c r="D1010" s="142"/>
      <c r="E1010" s="143"/>
      <c r="F1010" s="143"/>
      <c r="G1010" s="143"/>
      <c r="H1010" s="143"/>
      <c r="I1010" s="143"/>
      <c r="J1010" s="143"/>
      <c r="K1010" s="143"/>
      <c r="L1010" s="143"/>
      <c r="M1010" s="143"/>
      <c r="N1010" s="222"/>
      <c r="O1010" s="222">
        <v>1554527</v>
      </c>
      <c r="P1010" s="145"/>
      <c r="Q1010" s="304">
        <f t="shared" ref="Q1010:Q1070" si="959">MAX(D1010:P1010)</f>
        <v>1554527</v>
      </c>
      <c r="R1010" s="147">
        <f>Q1010*$R$7</f>
        <v>368422.89899999998</v>
      </c>
      <c r="S1010" s="147">
        <f>R1010/$S$5</f>
        <v>1009.377805479452</v>
      </c>
      <c r="T1010" s="148">
        <f>S1010*$T$5*$T$7</f>
        <v>331580.6091</v>
      </c>
      <c r="U1010" s="420"/>
      <c r="V1010" s="407"/>
      <c r="W1010" s="236"/>
      <c r="X1010" s="236"/>
      <c r="Y1010" s="408"/>
      <c r="Z1010" s="409"/>
      <c r="AA1010" s="409"/>
      <c r="AB1010" s="410"/>
      <c r="AC1010" s="155"/>
      <c r="AD1010" s="156"/>
      <c r="AE1010" s="156"/>
      <c r="AF1010" s="156"/>
      <c r="AG1010" s="156"/>
      <c r="AH1010" s="156"/>
      <c r="AI1010" s="156"/>
      <c r="AJ1010" s="156"/>
      <c r="AK1010" s="156"/>
      <c r="AL1010" s="156"/>
      <c r="AM1010" s="157"/>
      <c r="AN1010" s="158">
        <f t="shared" si="958"/>
        <v>4000</v>
      </c>
      <c r="AO1010" s="159"/>
      <c r="AP1010" s="160"/>
      <c r="AQ1010" s="161"/>
      <c r="AR1010" s="162"/>
      <c r="AS1010" s="163"/>
      <c r="AT1010" s="164"/>
      <c r="AU1010" s="165"/>
      <c r="AV1010" s="166"/>
      <c r="AW1010" s="167"/>
      <c r="AX1010" s="146"/>
      <c r="AY1010" s="168"/>
    </row>
    <row r="1011" spans="1:51" s="139" customFormat="1" ht="11.25" hidden="1" x14ac:dyDescent="0.25">
      <c r="A1011" s="1"/>
      <c r="B1011" s="140"/>
      <c r="C1011" s="490"/>
      <c r="D1011" s="142"/>
      <c r="E1011" s="143"/>
      <c r="F1011" s="143"/>
      <c r="G1011" s="143"/>
      <c r="H1011" s="143"/>
      <c r="I1011" s="143"/>
      <c r="J1011" s="143"/>
      <c r="K1011" s="143"/>
      <c r="L1011" s="143"/>
      <c r="M1011" s="143"/>
      <c r="N1011" s="222"/>
      <c r="O1011" s="222"/>
      <c r="P1011" s="145"/>
      <c r="Q1011" s="223"/>
      <c r="R1011" s="167"/>
      <c r="S1011" s="429"/>
      <c r="T1011" s="146"/>
      <c r="U1011" s="420" t="s">
        <v>713</v>
      </c>
      <c r="V1011" s="407">
        <v>5.4</v>
      </c>
      <c r="W1011" s="236">
        <f>35*365</f>
        <v>12775</v>
      </c>
      <c r="X1011" s="236"/>
      <c r="Y1011" s="408"/>
      <c r="Z1011" s="409"/>
      <c r="AA1011" s="409"/>
      <c r="AB1011" s="410"/>
      <c r="AC1011" s="411">
        <f>W1011*52%</f>
        <v>6643</v>
      </c>
      <c r="AD1011" s="412">
        <f>W1011*25%</f>
        <v>3193.75</v>
      </c>
      <c r="AE1011" s="412">
        <f>W1011*9%</f>
        <v>1149.75</v>
      </c>
      <c r="AF1011" s="412">
        <f>W1011*5%</f>
        <v>638.75</v>
      </c>
      <c r="AG1011" s="412">
        <f>W1011*3%</f>
        <v>383.25</v>
      </c>
      <c r="AH1011" s="412">
        <f>W1011*1%</f>
        <v>127.75</v>
      </c>
      <c r="AI1011" s="412">
        <f>W1011*2%</f>
        <v>255.5</v>
      </c>
      <c r="AJ1011" s="412">
        <f>W1011*1%</f>
        <v>127.75</v>
      </c>
      <c r="AK1011" s="412">
        <f>W1011*4%</f>
        <v>511</v>
      </c>
      <c r="AL1011" s="412">
        <f>W1011*1%</f>
        <v>127.75</v>
      </c>
      <c r="AM1011" s="413">
        <f>SUM(AD1011:AI1011)</f>
        <v>5748.75</v>
      </c>
      <c r="AN1011" s="158">
        <f t="shared" si="958"/>
        <v>4000</v>
      </c>
      <c r="AO1011" s="159">
        <v>0.2</v>
      </c>
      <c r="AP1011" s="160">
        <f>AM1011*AN1011*$AP$5</f>
        <v>96275466</v>
      </c>
      <c r="AQ1011" s="161">
        <f>AP1011*$AQ$5</f>
        <v>26743.1871394548</v>
      </c>
      <c r="AR1011" s="162">
        <f>AQ1011*$AR$5</f>
        <v>5348.6374278909607</v>
      </c>
      <c r="AS1011" s="163"/>
      <c r="AT1011" s="233"/>
      <c r="AU1011" s="187"/>
      <c r="AV1011" s="414">
        <f>AR1011/$AV$5</f>
        <v>0.76321881105750011</v>
      </c>
      <c r="AW1011" s="415"/>
      <c r="AX1011" s="146">
        <f>SUM(AU1011:AV1011)</f>
        <v>0.76321881105750011</v>
      </c>
      <c r="AY1011" s="168"/>
    </row>
    <row r="1012" spans="1:51" s="139" customFormat="1" ht="11.25" hidden="1" x14ac:dyDescent="0.25">
      <c r="A1012" s="1"/>
      <c r="B1012" s="140">
        <v>3</v>
      </c>
      <c r="C1012" s="340" t="s">
        <v>347</v>
      </c>
      <c r="D1012" s="142"/>
      <c r="E1012" s="143"/>
      <c r="F1012" s="143"/>
      <c r="G1012" s="143"/>
      <c r="H1012" s="143"/>
      <c r="I1012" s="143"/>
      <c r="J1012" s="143"/>
      <c r="K1012" s="143"/>
      <c r="L1012" s="143"/>
      <c r="M1012" s="143"/>
      <c r="N1012" s="222"/>
      <c r="O1012" s="222">
        <v>848952</v>
      </c>
      <c r="P1012" s="145"/>
      <c r="Q1012" s="304">
        <f t="shared" si="959"/>
        <v>848952</v>
      </c>
      <c r="R1012" s="147">
        <f>Q1012*$R$9</f>
        <v>123946.992</v>
      </c>
      <c r="S1012" s="147">
        <f>R1012/$S$5</f>
        <v>339.58080000000001</v>
      </c>
      <c r="T1012" s="148">
        <f>S1012*$T$5*$T$9</f>
        <v>86762.89439999999</v>
      </c>
      <c r="U1012" s="420"/>
      <c r="V1012" s="407"/>
      <c r="W1012" s="236"/>
      <c r="X1012" s="236"/>
      <c r="Y1012" s="408"/>
      <c r="Z1012" s="409"/>
      <c r="AA1012" s="409"/>
      <c r="AB1012" s="410"/>
      <c r="AC1012" s="155"/>
      <c r="AD1012" s="156"/>
      <c r="AE1012" s="156"/>
      <c r="AF1012" s="156"/>
      <c r="AG1012" s="156"/>
      <c r="AH1012" s="156"/>
      <c r="AI1012" s="156"/>
      <c r="AJ1012" s="156"/>
      <c r="AK1012" s="156"/>
      <c r="AL1012" s="156"/>
      <c r="AM1012" s="157"/>
      <c r="AN1012" s="158">
        <f t="shared" si="958"/>
        <v>4000</v>
      </c>
      <c r="AO1012" s="159"/>
      <c r="AP1012" s="160"/>
      <c r="AQ1012" s="161"/>
      <c r="AR1012" s="162"/>
      <c r="AS1012" s="163"/>
      <c r="AT1012" s="164"/>
      <c r="AU1012" s="165"/>
      <c r="AV1012" s="166"/>
      <c r="AW1012" s="167"/>
      <c r="AX1012" s="146"/>
      <c r="AY1012" s="168"/>
    </row>
    <row r="1013" spans="1:51" s="139" customFormat="1" ht="11.25" hidden="1" x14ac:dyDescent="0.25">
      <c r="A1013" s="1"/>
      <c r="B1013" s="140">
        <v>4</v>
      </c>
      <c r="C1013" s="340" t="s">
        <v>348</v>
      </c>
      <c r="D1013" s="142"/>
      <c r="E1013" s="143"/>
      <c r="F1013" s="143"/>
      <c r="G1013" s="143"/>
      <c r="H1013" s="143"/>
      <c r="I1013" s="143"/>
      <c r="J1013" s="143"/>
      <c r="K1013" s="143"/>
      <c r="L1013" s="143"/>
      <c r="M1013" s="143"/>
      <c r="N1013" s="222"/>
      <c r="O1013" s="222">
        <v>868913</v>
      </c>
      <c r="P1013" s="145"/>
      <c r="Q1013" s="304">
        <f t="shared" si="959"/>
        <v>868913</v>
      </c>
      <c r="R1013" s="147">
        <f>Q1013*$R$9</f>
        <v>126861.298</v>
      </c>
      <c r="S1013" s="147">
        <f>R1013/$S$5</f>
        <v>347.5652</v>
      </c>
      <c r="T1013" s="148">
        <f>S1013*$T$5*$T$9</f>
        <v>88802.908599999995</v>
      </c>
      <c r="U1013" s="420"/>
      <c r="V1013" s="407"/>
      <c r="W1013" s="236"/>
      <c r="X1013" s="236"/>
      <c r="Y1013" s="408"/>
      <c r="Z1013" s="409"/>
      <c r="AA1013" s="409"/>
      <c r="AB1013" s="410"/>
      <c r="AC1013" s="155"/>
      <c r="AD1013" s="156"/>
      <c r="AE1013" s="156"/>
      <c r="AF1013" s="156"/>
      <c r="AG1013" s="156"/>
      <c r="AH1013" s="156"/>
      <c r="AI1013" s="156"/>
      <c r="AJ1013" s="156"/>
      <c r="AK1013" s="156"/>
      <c r="AL1013" s="156"/>
      <c r="AM1013" s="157"/>
      <c r="AN1013" s="158">
        <f t="shared" si="958"/>
        <v>4000</v>
      </c>
      <c r="AO1013" s="159"/>
      <c r="AP1013" s="160"/>
      <c r="AQ1013" s="161"/>
      <c r="AR1013" s="162"/>
      <c r="AS1013" s="163"/>
      <c r="AT1013" s="164"/>
      <c r="AU1013" s="165"/>
      <c r="AV1013" s="166"/>
      <c r="AW1013" s="167"/>
      <c r="AX1013" s="146"/>
      <c r="AY1013" s="168"/>
    </row>
    <row r="1014" spans="1:51" s="139" customFormat="1" ht="11.25" hidden="1" x14ac:dyDescent="0.25">
      <c r="A1014" s="1"/>
      <c r="B1014" s="140"/>
      <c r="C1014" s="491"/>
      <c r="D1014" s="142"/>
      <c r="E1014" s="143"/>
      <c r="F1014" s="143"/>
      <c r="G1014" s="143"/>
      <c r="H1014" s="143"/>
      <c r="I1014" s="143"/>
      <c r="J1014" s="143"/>
      <c r="K1014" s="143"/>
      <c r="L1014" s="143"/>
      <c r="M1014" s="143"/>
      <c r="N1014" s="222"/>
      <c r="O1014" s="222"/>
      <c r="P1014" s="145"/>
      <c r="Q1014" s="223"/>
      <c r="R1014" s="167"/>
      <c r="S1014" s="429"/>
      <c r="T1014" s="146"/>
      <c r="U1014" s="420" t="s">
        <v>714</v>
      </c>
      <c r="V1014" s="407">
        <v>1.1000000000000001</v>
      </c>
      <c r="W1014" s="236"/>
      <c r="X1014" s="236"/>
      <c r="Y1014" s="408"/>
      <c r="Z1014" s="409"/>
      <c r="AA1014" s="409"/>
      <c r="AB1014" s="410"/>
      <c r="AC1014" s="411">
        <f>W1014*52%</f>
        <v>0</v>
      </c>
      <c r="AD1014" s="412">
        <f>W1014*25%</f>
        <v>0</v>
      </c>
      <c r="AE1014" s="412">
        <f>W1014*9%</f>
        <v>0</v>
      </c>
      <c r="AF1014" s="412">
        <f>W1014*5%</f>
        <v>0</v>
      </c>
      <c r="AG1014" s="412">
        <f>W1014*3%</f>
        <v>0</v>
      </c>
      <c r="AH1014" s="412">
        <f>W1014*1%</f>
        <v>0</v>
      </c>
      <c r="AI1014" s="412">
        <f>W1014*2%</f>
        <v>0</v>
      </c>
      <c r="AJ1014" s="412">
        <f>W1014*1%</f>
        <v>0</v>
      </c>
      <c r="AK1014" s="412">
        <f>W1014*4%</f>
        <v>0</v>
      </c>
      <c r="AL1014" s="412">
        <f>W1014*1%</f>
        <v>0</v>
      </c>
      <c r="AM1014" s="413">
        <f>SUM(AD1014:AI1014)</f>
        <v>0</v>
      </c>
      <c r="AN1014" s="158">
        <f t="shared" si="958"/>
        <v>4000</v>
      </c>
      <c r="AO1014" s="159">
        <v>0.2</v>
      </c>
      <c r="AP1014" s="160">
        <f>AM1014*AN1014*$AP$5</f>
        <v>0</v>
      </c>
      <c r="AQ1014" s="161">
        <f>AP1014*$AQ$5</f>
        <v>0</v>
      </c>
      <c r="AR1014" s="162">
        <f>AQ1014*$AR$5</f>
        <v>0</v>
      </c>
      <c r="AS1014" s="163"/>
      <c r="AT1014" s="233"/>
      <c r="AU1014" s="187"/>
      <c r="AV1014" s="414">
        <f>AR1014/$AV$5</f>
        <v>0</v>
      </c>
      <c r="AW1014" s="415"/>
      <c r="AX1014" s="146">
        <f>SUM(AU1014:AV1014)</f>
        <v>0</v>
      </c>
      <c r="AY1014" s="168"/>
    </row>
    <row r="1015" spans="1:51" s="139" customFormat="1" ht="11.25" hidden="1" x14ac:dyDescent="0.25">
      <c r="A1015" s="1"/>
      <c r="B1015" s="140">
        <v>5</v>
      </c>
      <c r="C1015" s="341" t="s">
        <v>349</v>
      </c>
      <c r="D1015" s="142"/>
      <c r="E1015" s="143"/>
      <c r="F1015" s="143"/>
      <c r="G1015" s="143"/>
      <c r="H1015" s="143"/>
      <c r="I1015" s="143"/>
      <c r="J1015" s="143"/>
      <c r="K1015" s="143"/>
      <c r="L1015" s="143"/>
      <c r="M1015" s="143"/>
      <c r="N1015" s="222"/>
      <c r="O1015" s="222">
        <v>1159926</v>
      </c>
      <c r="P1015" s="145"/>
      <c r="Q1015" s="304">
        <f t="shared" si="959"/>
        <v>1159926</v>
      </c>
      <c r="R1015" s="147">
        <f>Q1015*$R$8</f>
        <v>190227.864</v>
      </c>
      <c r="S1015" s="147">
        <f>R1015/$S$5</f>
        <v>521.17223013698629</v>
      </c>
      <c r="T1015" s="148">
        <f>S1015*$T$5*$T$8</f>
        <v>152182.29120000001</v>
      </c>
      <c r="U1015" s="420"/>
      <c r="V1015" s="407"/>
      <c r="W1015" s="236"/>
      <c r="X1015" s="236"/>
      <c r="Y1015" s="408"/>
      <c r="Z1015" s="409"/>
      <c r="AA1015" s="409"/>
      <c r="AB1015" s="410"/>
      <c r="AC1015" s="155"/>
      <c r="AD1015" s="156"/>
      <c r="AE1015" s="156"/>
      <c r="AF1015" s="156"/>
      <c r="AG1015" s="156"/>
      <c r="AH1015" s="156"/>
      <c r="AI1015" s="156"/>
      <c r="AJ1015" s="156"/>
      <c r="AK1015" s="156"/>
      <c r="AL1015" s="156"/>
      <c r="AM1015" s="157"/>
      <c r="AN1015" s="158">
        <f t="shared" si="958"/>
        <v>4000</v>
      </c>
      <c r="AO1015" s="159"/>
      <c r="AP1015" s="160"/>
      <c r="AQ1015" s="161"/>
      <c r="AR1015" s="162"/>
      <c r="AS1015" s="163"/>
      <c r="AT1015" s="164"/>
      <c r="AU1015" s="165"/>
      <c r="AV1015" s="166"/>
      <c r="AW1015" s="167"/>
      <c r="AX1015" s="146"/>
      <c r="AY1015" s="168"/>
    </row>
    <row r="1016" spans="1:51" s="139" customFormat="1" ht="11.25" hidden="1" x14ac:dyDescent="0.25">
      <c r="A1016" s="1"/>
      <c r="B1016" s="140"/>
      <c r="C1016" s="492"/>
      <c r="D1016" s="485"/>
      <c r="E1016" s="143"/>
      <c r="F1016" s="143"/>
      <c r="G1016" s="143"/>
      <c r="H1016" s="143"/>
      <c r="I1016" s="143"/>
      <c r="J1016" s="143"/>
      <c r="K1016" s="143"/>
      <c r="L1016" s="143"/>
      <c r="M1016" s="143"/>
      <c r="N1016" s="222"/>
      <c r="O1016" s="222"/>
      <c r="P1016" s="145"/>
      <c r="Q1016" s="223"/>
      <c r="R1016" s="167"/>
      <c r="S1016" s="429"/>
      <c r="T1016" s="146"/>
      <c r="U1016" s="420" t="s">
        <v>715</v>
      </c>
      <c r="V1016" s="430"/>
      <c r="W1016" s="430">
        <f>((247*0.33)*365)/2</f>
        <v>14875.575000000001</v>
      </c>
      <c r="X1016" s="236"/>
      <c r="Y1016" s="408"/>
      <c r="Z1016" s="409"/>
      <c r="AA1016" s="409"/>
      <c r="AB1016" s="410"/>
      <c r="AC1016" s="411">
        <f>W1016*52%</f>
        <v>7735.2990000000009</v>
      </c>
      <c r="AD1016" s="412">
        <f>W1016*25%</f>
        <v>3718.8937500000002</v>
      </c>
      <c r="AE1016" s="412">
        <f>W1016*9%</f>
        <v>1338.8017500000001</v>
      </c>
      <c r="AF1016" s="412">
        <f>W1016*5%</f>
        <v>743.77875000000006</v>
      </c>
      <c r="AG1016" s="412">
        <f>W1016*3%</f>
        <v>446.26724999999999</v>
      </c>
      <c r="AH1016" s="412">
        <f>W1016*1%</f>
        <v>148.75575000000001</v>
      </c>
      <c r="AI1016" s="412">
        <f>W1016*2%</f>
        <v>297.51150000000001</v>
      </c>
      <c r="AJ1016" s="412">
        <f>W1016*1%</f>
        <v>148.75575000000001</v>
      </c>
      <c r="AK1016" s="412">
        <f>W1016*4%</f>
        <v>595.02300000000002</v>
      </c>
      <c r="AL1016" s="412">
        <f>W1016*1%</f>
        <v>148.75575000000001</v>
      </c>
      <c r="AM1016" s="413">
        <f>SUM(AD1016:AI1016)</f>
        <v>6694.00875</v>
      </c>
      <c r="AN1016" s="158">
        <f t="shared" si="958"/>
        <v>4000</v>
      </c>
      <c r="AO1016" s="159">
        <v>0.2</v>
      </c>
      <c r="AP1016" s="160">
        <f>AM1016*AN1016*$AP$5</f>
        <v>112105903.338</v>
      </c>
      <c r="AQ1016" s="161">
        <f>AP1016*$AQ$5</f>
        <v>31140.531196242297</v>
      </c>
      <c r="AR1016" s="162">
        <f>AQ1016*$AR$5</f>
        <v>6228.10623924846</v>
      </c>
      <c r="AS1016" s="163"/>
      <c r="AT1016" s="233"/>
      <c r="AU1016" s="187"/>
      <c r="AV1016" s="414">
        <f>AR1016/$AV$5</f>
        <v>0.88871378984709759</v>
      </c>
      <c r="AW1016" s="415"/>
      <c r="AX1016" s="146">
        <f>SUM(AU1016:AV1016)</f>
        <v>0.88871378984709759</v>
      </c>
      <c r="AY1016" s="168"/>
    </row>
    <row r="1017" spans="1:51" s="139" customFormat="1" ht="11.25" hidden="1" x14ac:dyDescent="0.25">
      <c r="A1017" s="1"/>
      <c r="B1017" s="140"/>
      <c r="C1017" s="492"/>
      <c r="D1017" s="485"/>
      <c r="E1017" s="143"/>
      <c r="F1017" s="143"/>
      <c r="G1017" s="143"/>
      <c r="H1017" s="143"/>
      <c r="I1017" s="143"/>
      <c r="J1017" s="143"/>
      <c r="K1017" s="143"/>
      <c r="L1017" s="143"/>
      <c r="M1017" s="143"/>
      <c r="N1017" s="222"/>
      <c r="O1017" s="222"/>
      <c r="P1017" s="145"/>
      <c r="Q1017" s="223"/>
      <c r="R1017" s="167"/>
      <c r="S1017" s="429"/>
      <c r="T1017" s="146"/>
      <c r="U1017" s="420" t="s">
        <v>716</v>
      </c>
      <c r="V1017" s="430"/>
      <c r="W1017" s="430">
        <f>((247*0.33)*365)/2</f>
        <v>14875.575000000001</v>
      </c>
      <c r="X1017" s="236"/>
      <c r="Y1017" s="408"/>
      <c r="Z1017" s="409"/>
      <c r="AA1017" s="409"/>
      <c r="AB1017" s="410"/>
      <c r="AC1017" s="411">
        <f>W1017*52%</f>
        <v>7735.2990000000009</v>
      </c>
      <c r="AD1017" s="412">
        <f>W1017*25%</f>
        <v>3718.8937500000002</v>
      </c>
      <c r="AE1017" s="412">
        <f>W1017*9%</f>
        <v>1338.8017500000001</v>
      </c>
      <c r="AF1017" s="412">
        <f>W1017*5%</f>
        <v>743.77875000000006</v>
      </c>
      <c r="AG1017" s="412">
        <f>W1017*3%</f>
        <v>446.26724999999999</v>
      </c>
      <c r="AH1017" s="412">
        <f>W1017*1%</f>
        <v>148.75575000000001</v>
      </c>
      <c r="AI1017" s="412">
        <f>W1017*2%</f>
        <v>297.51150000000001</v>
      </c>
      <c r="AJ1017" s="412">
        <f>W1017*1%</f>
        <v>148.75575000000001</v>
      </c>
      <c r="AK1017" s="412">
        <f>W1017*4%</f>
        <v>595.02300000000002</v>
      </c>
      <c r="AL1017" s="412">
        <f>W1017*1%</f>
        <v>148.75575000000001</v>
      </c>
      <c r="AM1017" s="413">
        <f>SUM(AD1017:AI1017)</f>
        <v>6694.00875</v>
      </c>
      <c r="AN1017" s="158">
        <f t="shared" si="958"/>
        <v>4000</v>
      </c>
      <c r="AO1017" s="159">
        <v>0.2</v>
      </c>
      <c r="AP1017" s="160">
        <f>AM1017*AN1017*$AP$5</f>
        <v>112105903.338</v>
      </c>
      <c r="AQ1017" s="161">
        <f>AP1017*$AQ$5</f>
        <v>31140.531196242297</v>
      </c>
      <c r="AR1017" s="162">
        <f>AQ1017*$AR$5</f>
        <v>6228.10623924846</v>
      </c>
      <c r="AS1017" s="163"/>
      <c r="AT1017" s="233"/>
      <c r="AU1017" s="187"/>
      <c r="AV1017" s="414">
        <f>AR1017/$AV$5</f>
        <v>0.88871378984709759</v>
      </c>
      <c r="AW1017" s="415"/>
      <c r="AX1017" s="146">
        <f>SUM(AU1017:AV1017)</f>
        <v>0.88871378984709759</v>
      </c>
      <c r="AY1017" s="168"/>
    </row>
    <row r="1018" spans="1:51" s="139" customFormat="1" ht="11.25" hidden="1" x14ac:dyDescent="0.25">
      <c r="A1018" s="1"/>
      <c r="B1018" s="140">
        <v>6</v>
      </c>
      <c r="C1018" s="343" t="s">
        <v>350</v>
      </c>
      <c r="D1018" s="142"/>
      <c r="E1018" s="143"/>
      <c r="F1018" s="143"/>
      <c r="G1018" s="143"/>
      <c r="H1018" s="143"/>
      <c r="I1018" s="143"/>
      <c r="J1018" s="143"/>
      <c r="K1018" s="143"/>
      <c r="L1018" s="143"/>
      <c r="M1018" s="143"/>
      <c r="N1018" s="222"/>
      <c r="O1018" s="222">
        <v>695427</v>
      </c>
      <c r="P1018" s="145"/>
      <c r="Q1018" s="304">
        <f t="shared" si="959"/>
        <v>695427</v>
      </c>
      <c r="R1018" s="147">
        <f>Q1018*$R$9</f>
        <v>101532.34199999999</v>
      </c>
      <c r="S1018" s="147">
        <f>R1018/$S$5</f>
        <v>278.17079999999999</v>
      </c>
      <c r="T1018" s="148">
        <f>S1018*$T$5*$T$9</f>
        <v>71072.639399999985</v>
      </c>
      <c r="U1018" s="420"/>
      <c r="V1018" s="407"/>
      <c r="W1018" s="236"/>
      <c r="X1018" s="236"/>
      <c r="Y1018" s="408"/>
      <c r="Z1018" s="409"/>
      <c r="AA1018" s="409"/>
      <c r="AB1018" s="410"/>
      <c r="AC1018" s="155"/>
      <c r="AD1018" s="156"/>
      <c r="AE1018" s="156"/>
      <c r="AF1018" s="156"/>
      <c r="AG1018" s="156"/>
      <c r="AH1018" s="156"/>
      <c r="AI1018" s="156"/>
      <c r="AJ1018" s="156"/>
      <c r="AK1018" s="156"/>
      <c r="AL1018" s="156"/>
      <c r="AM1018" s="157"/>
      <c r="AN1018" s="158">
        <f t="shared" si="958"/>
        <v>4000</v>
      </c>
      <c r="AO1018" s="159"/>
      <c r="AP1018" s="160"/>
      <c r="AQ1018" s="161"/>
      <c r="AR1018" s="162"/>
      <c r="AS1018" s="163"/>
      <c r="AT1018" s="164"/>
      <c r="AU1018" s="165"/>
      <c r="AV1018" s="166"/>
      <c r="AW1018" s="167"/>
      <c r="AX1018" s="146"/>
      <c r="AY1018" s="168"/>
    </row>
    <row r="1019" spans="1:51" s="139" customFormat="1" ht="11.25" hidden="1" x14ac:dyDescent="0.25">
      <c r="A1019" s="1"/>
      <c r="B1019" s="140"/>
      <c r="C1019" s="342"/>
      <c r="D1019" s="142"/>
      <c r="E1019" s="143"/>
      <c r="F1019" s="143"/>
      <c r="G1019" s="143"/>
      <c r="H1019" s="143"/>
      <c r="I1019" s="143"/>
      <c r="J1019" s="143"/>
      <c r="K1019" s="143"/>
      <c r="L1019" s="143"/>
      <c r="M1019" s="143"/>
      <c r="N1019" s="222"/>
      <c r="O1019" s="222"/>
      <c r="P1019" s="145"/>
      <c r="Q1019" s="223"/>
      <c r="R1019" s="167"/>
      <c r="S1019" s="429"/>
      <c r="T1019" s="146"/>
      <c r="U1019" s="420" t="s">
        <v>717</v>
      </c>
      <c r="V1019" s="407"/>
      <c r="W1019" s="236"/>
      <c r="X1019" s="236"/>
      <c r="Y1019" s="408"/>
      <c r="Z1019" s="409"/>
      <c r="AA1019" s="409"/>
      <c r="AB1019" s="410"/>
      <c r="AC1019" s="411">
        <f>W1019*52%</f>
        <v>0</v>
      </c>
      <c r="AD1019" s="412">
        <f>W1019*25%</f>
        <v>0</v>
      </c>
      <c r="AE1019" s="412">
        <f>W1019*9%</f>
        <v>0</v>
      </c>
      <c r="AF1019" s="412">
        <f>W1019*5%</f>
        <v>0</v>
      </c>
      <c r="AG1019" s="412">
        <f>W1019*3%</f>
        <v>0</v>
      </c>
      <c r="AH1019" s="412">
        <f>W1019*1%</f>
        <v>0</v>
      </c>
      <c r="AI1019" s="412">
        <f>W1019*2%</f>
        <v>0</v>
      </c>
      <c r="AJ1019" s="412">
        <f>W1019*1%</f>
        <v>0</v>
      </c>
      <c r="AK1019" s="412">
        <f>W1019*4%</f>
        <v>0</v>
      </c>
      <c r="AL1019" s="412">
        <f>W1019*1%</f>
        <v>0</v>
      </c>
      <c r="AM1019" s="413">
        <f>SUM(AD1019:AI1019)</f>
        <v>0</v>
      </c>
      <c r="AN1019" s="158">
        <f t="shared" si="958"/>
        <v>4000</v>
      </c>
      <c r="AO1019" s="159">
        <v>0.2</v>
      </c>
      <c r="AP1019" s="160">
        <f>AM1019*AN1019*$AP$5</f>
        <v>0</v>
      </c>
      <c r="AQ1019" s="161">
        <f>AP1019*$AQ$5</f>
        <v>0</v>
      </c>
      <c r="AR1019" s="162">
        <f>AQ1019*$AR$5</f>
        <v>0</v>
      </c>
      <c r="AS1019" s="163"/>
      <c r="AT1019" s="233"/>
      <c r="AU1019" s="187"/>
      <c r="AV1019" s="414">
        <f>AR1019/$AV$5</f>
        <v>0</v>
      </c>
      <c r="AW1019" s="415"/>
      <c r="AX1019" s="146">
        <f>SUM(AU1019:AV1019)</f>
        <v>0</v>
      </c>
      <c r="AY1019" s="168"/>
    </row>
    <row r="1020" spans="1:51" s="139" customFormat="1" ht="11.25" hidden="1" x14ac:dyDescent="0.25">
      <c r="A1020" s="1"/>
      <c r="B1020" s="140">
        <v>7</v>
      </c>
      <c r="C1020" s="343" t="s">
        <v>351</v>
      </c>
      <c r="D1020" s="142"/>
      <c r="E1020" s="143"/>
      <c r="F1020" s="143"/>
      <c r="G1020" s="143"/>
      <c r="H1020" s="143"/>
      <c r="I1020" s="143"/>
      <c r="J1020" s="143"/>
      <c r="K1020" s="143"/>
      <c r="L1020" s="143"/>
      <c r="M1020" s="143"/>
      <c r="N1020" s="222"/>
      <c r="O1020" s="222">
        <v>754883</v>
      </c>
      <c r="P1020" s="145"/>
      <c r="Q1020" s="304">
        <f t="shared" si="959"/>
        <v>754883</v>
      </c>
      <c r="R1020" s="147">
        <f>Q1020*$R$9</f>
        <v>110212.91799999999</v>
      </c>
      <c r="S1020" s="147">
        <f>R1020/$S$5</f>
        <v>301.95319999999998</v>
      </c>
      <c r="T1020" s="148">
        <f>S1020*$T$5*$T$9</f>
        <v>77149.042599999986</v>
      </c>
      <c r="U1020" s="420"/>
      <c r="V1020" s="407"/>
      <c r="W1020" s="236"/>
      <c r="X1020" s="236"/>
      <c r="Y1020" s="408"/>
      <c r="Z1020" s="409"/>
      <c r="AA1020" s="409"/>
      <c r="AB1020" s="410"/>
      <c r="AC1020" s="155"/>
      <c r="AD1020" s="156"/>
      <c r="AE1020" s="156"/>
      <c r="AF1020" s="156"/>
      <c r="AG1020" s="156"/>
      <c r="AH1020" s="156"/>
      <c r="AI1020" s="156"/>
      <c r="AJ1020" s="156"/>
      <c r="AK1020" s="156"/>
      <c r="AL1020" s="156"/>
      <c r="AM1020" s="157"/>
      <c r="AN1020" s="158">
        <f t="shared" si="958"/>
        <v>4000</v>
      </c>
      <c r="AO1020" s="159"/>
      <c r="AP1020" s="160"/>
      <c r="AQ1020" s="161"/>
      <c r="AR1020" s="162"/>
      <c r="AS1020" s="163"/>
      <c r="AT1020" s="164"/>
      <c r="AU1020" s="165"/>
      <c r="AV1020" s="166"/>
      <c r="AW1020" s="167"/>
      <c r="AX1020" s="146"/>
      <c r="AY1020" s="168"/>
    </row>
    <row r="1021" spans="1:51" s="139" customFormat="1" ht="11.25" hidden="1" x14ac:dyDescent="0.25">
      <c r="A1021" s="1"/>
      <c r="B1021" s="140"/>
      <c r="C1021" s="342"/>
      <c r="D1021" s="142"/>
      <c r="E1021" s="143"/>
      <c r="F1021" s="143"/>
      <c r="G1021" s="143"/>
      <c r="H1021" s="143"/>
      <c r="I1021" s="143"/>
      <c r="J1021" s="143"/>
      <c r="K1021" s="143"/>
      <c r="L1021" s="143"/>
      <c r="M1021" s="143"/>
      <c r="N1021" s="222"/>
      <c r="O1021" s="222"/>
      <c r="P1021" s="145"/>
      <c r="Q1021" s="223"/>
      <c r="R1021" s="167"/>
      <c r="S1021" s="429"/>
      <c r="T1021" s="146"/>
      <c r="U1021" s="420" t="s">
        <v>718</v>
      </c>
      <c r="V1021" s="407"/>
      <c r="W1021" s="236">
        <f>(197*0.33)*365</f>
        <v>23728.65</v>
      </c>
      <c r="X1021" s="236"/>
      <c r="Y1021" s="408"/>
      <c r="Z1021" s="409"/>
      <c r="AA1021" s="409"/>
      <c r="AB1021" s="410"/>
      <c r="AC1021" s="411">
        <f>W1021*52%</f>
        <v>12338.898000000001</v>
      </c>
      <c r="AD1021" s="412">
        <f>W1021*25%</f>
        <v>5932.1625000000004</v>
      </c>
      <c r="AE1021" s="412">
        <f>W1021*9%</f>
        <v>2135.5785000000001</v>
      </c>
      <c r="AF1021" s="412">
        <f>W1021*5%</f>
        <v>1186.4325000000001</v>
      </c>
      <c r="AG1021" s="412">
        <f>W1021*3%</f>
        <v>711.85950000000003</v>
      </c>
      <c r="AH1021" s="412">
        <f>W1021*1%</f>
        <v>237.28650000000002</v>
      </c>
      <c r="AI1021" s="412">
        <f>W1021*2%</f>
        <v>474.57300000000004</v>
      </c>
      <c r="AJ1021" s="412">
        <f>W1021*1%</f>
        <v>237.28650000000002</v>
      </c>
      <c r="AK1021" s="412">
        <f>W1021*4%</f>
        <v>949.14600000000007</v>
      </c>
      <c r="AL1021" s="412">
        <f>W1021*1%</f>
        <v>237.28650000000002</v>
      </c>
      <c r="AM1021" s="413">
        <f>SUM(AD1021:AI1021)</f>
        <v>10677.892500000002</v>
      </c>
      <c r="AN1021" s="158">
        <f t="shared" si="958"/>
        <v>4000</v>
      </c>
      <c r="AO1021" s="159">
        <v>0.2</v>
      </c>
      <c r="AP1021" s="160">
        <f>AM1021*AN1021*$AP$5</f>
        <v>178824801.27600002</v>
      </c>
      <c r="AQ1021" s="161">
        <f>AP1021*$AQ$5</f>
        <v>49673.559883884482</v>
      </c>
      <c r="AR1021" s="162">
        <f>AQ1021*$AR$5</f>
        <v>9934.7119767768963</v>
      </c>
      <c r="AS1021" s="163"/>
      <c r="AT1021" s="233"/>
      <c r="AU1021" s="187"/>
      <c r="AV1021" s="414">
        <f>AR1021/$AV$5</f>
        <v>1.4176244259099453</v>
      </c>
      <c r="AW1021" s="415"/>
      <c r="AX1021" s="146">
        <f>SUM(AU1021:AV1021)</f>
        <v>1.4176244259099453</v>
      </c>
      <c r="AY1021" s="168"/>
    </row>
    <row r="1022" spans="1:51" s="139" customFormat="1" ht="11.25" hidden="1" x14ac:dyDescent="0.25">
      <c r="A1022" s="1"/>
      <c r="B1022" s="140">
        <v>8</v>
      </c>
      <c r="C1022" s="343" t="s">
        <v>352</v>
      </c>
      <c r="D1022" s="142"/>
      <c r="E1022" s="143"/>
      <c r="F1022" s="143"/>
      <c r="G1022" s="143"/>
      <c r="H1022" s="143"/>
      <c r="I1022" s="143"/>
      <c r="J1022" s="143"/>
      <c r="K1022" s="143"/>
      <c r="L1022" s="143"/>
      <c r="M1022" s="143"/>
      <c r="N1022" s="222"/>
      <c r="O1022" s="222">
        <v>1181723</v>
      </c>
      <c r="P1022" s="145"/>
      <c r="Q1022" s="304">
        <f t="shared" si="959"/>
        <v>1181723</v>
      </c>
      <c r="R1022" s="147">
        <f>Q1022*$R$8</f>
        <v>193802.57200000001</v>
      </c>
      <c r="S1022" s="147">
        <f>R1022/$S$5</f>
        <v>530.9659506849315</v>
      </c>
      <c r="T1022" s="148">
        <f>S1022*$T$5*$T$8</f>
        <v>155042.0576</v>
      </c>
      <c r="U1022" s="420"/>
      <c r="V1022" s="407"/>
      <c r="W1022" s="236"/>
      <c r="X1022" s="236"/>
      <c r="Y1022" s="408"/>
      <c r="Z1022" s="409"/>
      <c r="AA1022" s="409"/>
      <c r="AB1022" s="410"/>
      <c r="AC1022" s="155"/>
      <c r="AD1022" s="156"/>
      <c r="AE1022" s="156"/>
      <c r="AF1022" s="156"/>
      <c r="AG1022" s="156"/>
      <c r="AH1022" s="156"/>
      <c r="AI1022" s="156"/>
      <c r="AJ1022" s="156"/>
      <c r="AK1022" s="156"/>
      <c r="AL1022" s="156"/>
      <c r="AM1022" s="157"/>
      <c r="AN1022" s="158">
        <f t="shared" si="958"/>
        <v>4000</v>
      </c>
      <c r="AO1022" s="159"/>
      <c r="AP1022" s="160"/>
      <c r="AQ1022" s="161"/>
      <c r="AR1022" s="162"/>
      <c r="AS1022" s="163"/>
      <c r="AT1022" s="164"/>
      <c r="AU1022" s="165"/>
      <c r="AV1022" s="166"/>
      <c r="AW1022" s="167"/>
      <c r="AX1022" s="146"/>
      <c r="AY1022" s="168"/>
    </row>
    <row r="1023" spans="1:51" s="139" customFormat="1" ht="11.25" hidden="1" x14ac:dyDescent="0.25">
      <c r="A1023" s="1"/>
      <c r="B1023" s="140"/>
      <c r="C1023" s="493"/>
      <c r="D1023" s="142"/>
      <c r="E1023" s="143"/>
      <c r="F1023" s="143"/>
      <c r="G1023" s="143"/>
      <c r="H1023" s="143"/>
      <c r="I1023" s="143"/>
      <c r="J1023" s="143"/>
      <c r="K1023" s="143"/>
      <c r="L1023" s="143"/>
      <c r="M1023" s="143"/>
      <c r="N1023" s="222"/>
      <c r="O1023" s="222"/>
      <c r="P1023" s="145"/>
      <c r="Q1023" s="223"/>
      <c r="R1023" s="167"/>
      <c r="S1023" s="429"/>
      <c r="T1023" s="146"/>
      <c r="U1023" s="420" t="s">
        <v>719</v>
      </c>
      <c r="V1023" s="407">
        <v>8</v>
      </c>
      <c r="W1023" s="236">
        <f>(200*0.33)*365</f>
        <v>24090</v>
      </c>
      <c r="X1023" s="236"/>
      <c r="Y1023" s="408"/>
      <c r="Z1023" s="409"/>
      <c r="AA1023" s="409"/>
      <c r="AB1023" s="410"/>
      <c r="AC1023" s="411">
        <f>W1023*52%</f>
        <v>12526.800000000001</v>
      </c>
      <c r="AD1023" s="412">
        <f>W1023*25%</f>
        <v>6022.5</v>
      </c>
      <c r="AE1023" s="412">
        <f>W1023*9%</f>
        <v>2168.1</v>
      </c>
      <c r="AF1023" s="412">
        <f>W1023*5%</f>
        <v>1204.5</v>
      </c>
      <c r="AG1023" s="412">
        <f>W1023*3%</f>
        <v>722.69999999999993</v>
      </c>
      <c r="AH1023" s="412">
        <f>W1023*1%</f>
        <v>240.9</v>
      </c>
      <c r="AI1023" s="412">
        <f>W1023*2%</f>
        <v>481.8</v>
      </c>
      <c r="AJ1023" s="412">
        <f>W1023*1%</f>
        <v>240.9</v>
      </c>
      <c r="AK1023" s="412">
        <f>W1023*4%</f>
        <v>963.6</v>
      </c>
      <c r="AL1023" s="412">
        <f>W1023*1%</f>
        <v>240.9</v>
      </c>
      <c r="AM1023" s="413">
        <f>SUM(AD1023:AI1023)</f>
        <v>10840.5</v>
      </c>
      <c r="AN1023" s="158">
        <f t="shared" si="958"/>
        <v>4000</v>
      </c>
      <c r="AO1023" s="159">
        <v>0.2</v>
      </c>
      <c r="AP1023" s="160">
        <f>AM1023*AN1023*$AP$5</f>
        <v>181548021.59999999</v>
      </c>
      <c r="AQ1023" s="161">
        <f>AP1023*$AQ$5</f>
        <v>50430.010034400475</v>
      </c>
      <c r="AR1023" s="162">
        <f>AQ1023*$AR$5</f>
        <v>10086.002006880095</v>
      </c>
      <c r="AS1023" s="163"/>
      <c r="AT1023" s="233"/>
      <c r="AU1023" s="187"/>
      <c r="AV1023" s="414">
        <f>AR1023/$AV$5</f>
        <v>1.4392126151369999</v>
      </c>
      <c r="AW1023" s="415"/>
      <c r="AX1023" s="146">
        <f>SUM(AU1023:AV1023)</f>
        <v>1.4392126151369999</v>
      </c>
      <c r="AY1023" s="168"/>
    </row>
    <row r="1024" spans="1:51" s="139" customFormat="1" ht="11.25" hidden="1" x14ac:dyDescent="0.25">
      <c r="A1024" s="1"/>
      <c r="B1024" s="140">
        <v>9</v>
      </c>
      <c r="C1024" s="344" t="s">
        <v>353</v>
      </c>
      <c r="D1024" s="142"/>
      <c r="E1024" s="143"/>
      <c r="F1024" s="143"/>
      <c r="G1024" s="143"/>
      <c r="H1024" s="143"/>
      <c r="I1024" s="143"/>
      <c r="J1024" s="143"/>
      <c r="K1024" s="143"/>
      <c r="L1024" s="143"/>
      <c r="M1024" s="143"/>
      <c r="N1024" s="222"/>
      <c r="O1024" s="222">
        <v>930531</v>
      </c>
      <c r="P1024" s="145"/>
      <c r="Q1024" s="304">
        <f t="shared" si="959"/>
        <v>930531</v>
      </c>
      <c r="R1024" s="147">
        <f>Q1024*$R$9</f>
        <v>135857.52599999998</v>
      </c>
      <c r="S1024" s="147">
        <f>R1024/$S$5</f>
        <v>372.21239999999995</v>
      </c>
      <c r="T1024" s="148">
        <f>S1024*$T$5*$T$9</f>
        <v>95100.268199999977</v>
      </c>
      <c r="U1024" s="420"/>
      <c r="V1024" s="407"/>
      <c r="W1024" s="236"/>
      <c r="X1024" s="236"/>
      <c r="Y1024" s="408"/>
      <c r="Z1024" s="409"/>
      <c r="AA1024" s="409"/>
      <c r="AB1024" s="410"/>
      <c r="AC1024" s="155"/>
      <c r="AD1024" s="156"/>
      <c r="AE1024" s="156"/>
      <c r="AF1024" s="156"/>
      <c r="AG1024" s="156"/>
      <c r="AH1024" s="156"/>
      <c r="AI1024" s="156"/>
      <c r="AJ1024" s="156"/>
      <c r="AK1024" s="156"/>
      <c r="AL1024" s="156"/>
      <c r="AM1024" s="157"/>
      <c r="AN1024" s="158">
        <f t="shared" si="958"/>
        <v>4000</v>
      </c>
      <c r="AO1024" s="159"/>
      <c r="AP1024" s="160"/>
      <c r="AQ1024" s="161"/>
      <c r="AR1024" s="162"/>
      <c r="AS1024" s="163"/>
      <c r="AT1024" s="233"/>
      <c r="AU1024" s="187"/>
      <c r="AV1024" s="166"/>
      <c r="AW1024" s="167"/>
      <c r="AX1024" s="146"/>
      <c r="AY1024" s="168"/>
    </row>
    <row r="1025" spans="1:51" s="139" customFormat="1" ht="11.25" hidden="1" x14ac:dyDescent="0.25">
      <c r="A1025" s="1"/>
      <c r="B1025" s="140"/>
      <c r="C1025" s="493"/>
      <c r="D1025" s="142"/>
      <c r="E1025" s="143"/>
      <c r="F1025" s="143"/>
      <c r="G1025" s="143"/>
      <c r="H1025" s="143"/>
      <c r="I1025" s="143"/>
      <c r="J1025" s="143"/>
      <c r="K1025" s="143"/>
      <c r="L1025" s="143"/>
      <c r="M1025" s="143"/>
      <c r="N1025" s="222"/>
      <c r="O1025" s="222"/>
      <c r="P1025" s="145"/>
      <c r="Q1025" s="223"/>
      <c r="R1025" s="167"/>
      <c r="S1025" s="429"/>
      <c r="T1025" s="146"/>
      <c r="U1025" s="420" t="s">
        <v>714</v>
      </c>
      <c r="V1025" s="407"/>
      <c r="W1025" s="236">
        <f>(70*0.33)*365</f>
        <v>8431.5</v>
      </c>
      <c r="X1025" s="236"/>
      <c r="Y1025" s="408"/>
      <c r="Z1025" s="409"/>
      <c r="AA1025" s="409"/>
      <c r="AB1025" s="410"/>
      <c r="AC1025" s="411">
        <f>W1025*52%</f>
        <v>4384.38</v>
      </c>
      <c r="AD1025" s="412">
        <f>W1025*25%</f>
        <v>2107.875</v>
      </c>
      <c r="AE1025" s="412">
        <f>W1025*9%</f>
        <v>758.83499999999992</v>
      </c>
      <c r="AF1025" s="412">
        <f>W1025*5%</f>
        <v>421.57500000000005</v>
      </c>
      <c r="AG1025" s="412">
        <f>W1025*3%</f>
        <v>252.94499999999999</v>
      </c>
      <c r="AH1025" s="412">
        <f>W1025*1%</f>
        <v>84.314999999999998</v>
      </c>
      <c r="AI1025" s="412">
        <f>W1025*2%</f>
        <v>168.63</v>
      </c>
      <c r="AJ1025" s="412">
        <f>W1025*1%</f>
        <v>84.314999999999998</v>
      </c>
      <c r="AK1025" s="412">
        <f>W1025*4%</f>
        <v>337.26</v>
      </c>
      <c r="AL1025" s="412">
        <f>W1025*1%</f>
        <v>84.314999999999998</v>
      </c>
      <c r="AM1025" s="413">
        <f>SUM(AD1025:AI1025)</f>
        <v>3794.1750000000002</v>
      </c>
      <c r="AN1025" s="158">
        <f t="shared" si="958"/>
        <v>4000</v>
      </c>
      <c r="AO1025" s="159">
        <v>0.2</v>
      </c>
      <c r="AP1025" s="160">
        <f>AM1025*AN1025*$AP$5</f>
        <v>63541807.559999995</v>
      </c>
      <c r="AQ1025" s="161">
        <f>AP1025*$AQ$5</f>
        <v>17650.503512040166</v>
      </c>
      <c r="AR1025" s="162">
        <f>AQ1025*$AR$5</f>
        <v>3530.1007024080336</v>
      </c>
      <c r="AS1025" s="163"/>
      <c r="AT1025" s="233"/>
      <c r="AU1025" s="187"/>
      <c r="AV1025" s="414">
        <f>AR1025/$AV$5</f>
        <v>0.50372441529794998</v>
      </c>
      <c r="AW1025" s="415"/>
      <c r="AX1025" s="146">
        <f>SUM(AU1025:AV1025)</f>
        <v>0.50372441529794998</v>
      </c>
      <c r="AY1025" s="168"/>
    </row>
    <row r="1026" spans="1:51" s="139" customFormat="1" ht="11.25" hidden="1" x14ac:dyDescent="0.25">
      <c r="A1026" s="1"/>
      <c r="B1026" s="140">
        <v>10</v>
      </c>
      <c r="C1026" s="344" t="s">
        <v>354</v>
      </c>
      <c r="D1026" s="142"/>
      <c r="E1026" s="143"/>
      <c r="F1026" s="143"/>
      <c r="G1026" s="143"/>
      <c r="H1026" s="143"/>
      <c r="I1026" s="143"/>
      <c r="J1026" s="143"/>
      <c r="K1026" s="143"/>
      <c r="L1026" s="143"/>
      <c r="M1026" s="143"/>
      <c r="N1026" s="222"/>
      <c r="O1026" s="222">
        <v>1130047</v>
      </c>
      <c r="P1026" s="145"/>
      <c r="Q1026" s="304">
        <f t="shared" si="959"/>
        <v>1130047</v>
      </c>
      <c r="R1026" s="147">
        <f>Q1026*$R$8</f>
        <v>185327.70800000001</v>
      </c>
      <c r="S1026" s="147">
        <f>R1026/$S$5</f>
        <v>507.74714520547951</v>
      </c>
      <c r="T1026" s="148">
        <f>S1026*$T$5*$T$8</f>
        <v>148262.16640000002</v>
      </c>
      <c r="U1026" s="420"/>
      <c r="V1026" s="407"/>
      <c r="W1026" s="236"/>
      <c r="X1026" s="236"/>
      <c r="Y1026" s="408"/>
      <c r="Z1026" s="409"/>
      <c r="AA1026" s="409"/>
      <c r="AB1026" s="410"/>
      <c r="AC1026" s="155"/>
      <c r="AD1026" s="156"/>
      <c r="AE1026" s="156"/>
      <c r="AF1026" s="156"/>
      <c r="AG1026" s="156"/>
      <c r="AH1026" s="156"/>
      <c r="AI1026" s="156"/>
      <c r="AJ1026" s="156"/>
      <c r="AK1026" s="156"/>
      <c r="AL1026" s="156"/>
      <c r="AM1026" s="157"/>
      <c r="AN1026" s="158">
        <f t="shared" si="958"/>
        <v>4000</v>
      </c>
      <c r="AO1026" s="159"/>
      <c r="AP1026" s="160"/>
      <c r="AQ1026" s="161"/>
      <c r="AR1026" s="162"/>
      <c r="AS1026" s="163"/>
      <c r="AT1026" s="164"/>
      <c r="AU1026" s="165"/>
      <c r="AV1026" s="166"/>
      <c r="AW1026" s="167"/>
      <c r="AX1026" s="146"/>
      <c r="AY1026" s="168"/>
    </row>
    <row r="1027" spans="1:51" s="139" customFormat="1" ht="11.25" hidden="1" x14ac:dyDescent="0.25">
      <c r="A1027" s="1"/>
      <c r="B1027" s="140">
        <v>11</v>
      </c>
      <c r="C1027" s="335" t="s">
        <v>355</v>
      </c>
      <c r="D1027" s="142"/>
      <c r="E1027" s="143"/>
      <c r="F1027" s="143"/>
      <c r="G1027" s="143"/>
      <c r="H1027" s="143"/>
      <c r="I1027" s="143"/>
      <c r="J1027" s="143"/>
      <c r="K1027" s="143"/>
      <c r="L1027" s="143"/>
      <c r="M1027" s="143"/>
      <c r="N1027" s="222"/>
      <c r="O1027" s="222">
        <v>824238</v>
      </c>
      <c r="P1027" s="145"/>
      <c r="Q1027" s="304">
        <f t="shared" si="959"/>
        <v>824238</v>
      </c>
      <c r="R1027" s="147">
        <f>Q1027*$R$9</f>
        <v>120338.74799999999</v>
      </c>
      <c r="S1027" s="147">
        <f>R1027/$S$5</f>
        <v>329.6952</v>
      </c>
      <c r="T1027" s="148">
        <f>S1027*$T$5*$T$9</f>
        <v>84237.123600000006</v>
      </c>
      <c r="U1027" s="420"/>
      <c r="V1027" s="407"/>
      <c r="W1027" s="236"/>
      <c r="X1027" s="236"/>
      <c r="Y1027" s="408"/>
      <c r="Z1027" s="409"/>
      <c r="AA1027" s="409"/>
      <c r="AB1027" s="410"/>
      <c r="AC1027" s="155"/>
      <c r="AD1027" s="156"/>
      <c r="AE1027" s="156"/>
      <c r="AF1027" s="156"/>
      <c r="AG1027" s="156"/>
      <c r="AH1027" s="156"/>
      <c r="AI1027" s="156"/>
      <c r="AJ1027" s="156"/>
      <c r="AK1027" s="156"/>
      <c r="AL1027" s="156"/>
      <c r="AM1027" s="157"/>
      <c r="AN1027" s="158">
        <f t="shared" si="958"/>
        <v>4000</v>
      </c>
      <c r="AO1027" s="159"/>
      <c r="AP1027" s="160"/>
      <c r="AQ1027" s="161"/>
      <c r="AR1027" s="162"/>
      <c r="AS1027" s="163"/>
      <c r="AT1027" s="164"/>
      <c r="AU1027" s="165"/>
      <c r="AV1027" s="166"/>
      <c r="AW1027" s="167"/>
      <c r="AX1027" s="146"/>
      <c r="AY1027" s="168"/>
    </row>
    <row r="1028" spans="1:51" s="139" customFormat="1" ht="11.25" hidden="1" x14ac:dyDescent="0.25">
      <c r="A1028" s="1"/>
      <c r="B1028" s="140"/>
      <c r="C1028" s="345"/>
      <c r="D1028" s="142"/>
      <c r="E1028" s="143"/>
      <c r="F1028" s="143"/>
      <c r="G1028" s="143"/>
      <c r="H1028" s="143"/>
      <c r="I1028" s="143"/>
      <c r="J1028" s="143"/>
      <c r="K1028" s="143"/>
      <c r="L1028" s="143"/>
      <c r="M1028" s="143"/>
      <c r="N1028" s="222"/>
      <c r="O1028" s="222"/>
      <c r="P1028" s="145"/>
      <c r="Q1028" s="223"/>
      <c r="R1028" s="167"/>
      <c r="S1028" s="429"/>
      <c r="T1028" s="146"/>
      <c r="U1028" s="420" t="s">
        <v>720</v>
      </c>
      <c r="V1028" s="407"/>
      <c r="W1028" s="236"/>
      <c r="X1028" s="236"/>
      <c r="Y1028" s="408"/>
      <c r="Z1028" s="409"/>
      <c r="AA1028" s="409"/>
      <c r="AB1028" s="410"/>
      <c r="AC1028" s="411">
        <f>W1028*52%</f>
        <v>0</v>
      </c>
      <c r="AD1028" s="412">
        <f>W1028*25%</f>
        <v>0</v>
      </c>
      <c r="AE1028" s="412">
        <f>W1028*9%</f>
        <v>0</v>
      </c>
      <c r="AF1028" s="412">
        <f>W1028*5%</f>
        <v>0</v>
      </c>
      <c r="AG1028" s="412">
        <f>W1028*3%</f>
        <v>0</v>
      </c>
      <c r="AH1028" s="412">
        <f>W1028*1%</f>
        <v>0</v>
      </c>
      <c r="AI1028" s="412">
        <f>W1028*2%</f>
        <v>0</v>
      </c>
      <c r="AJ1028" s="412">
        <f>W1028*1%</f>
        <v>0</v>
      </c>
      <c r="AK1028" s="412">
        <f>W1028*4%</f>
        <v>0</v>
      </c>
      <c r="AL1028" s="412">
        <f>W1028*1%</f>
        <v>0</v>
      </c>
      <c r="AM1028" s="413">
        <f>SUM(AD1028:AI1028)</f>
        <v>0</v>
      </c>
      <c r="AN1028" s="158">
        <f t="shared" si="958"/>
        <v>4000</v>
      </c>
      <c r="AO1028" s="159">
        <v>0.2</v>
      </c>
      <c r="AP1028" s="160">
        <f>AM1028*AN1028*$AP$5</f>
        <v>0</v>
      </c>
      <c r="AQ1028" s="161">
        <f>AP1028*$AQ$5</f>
        <v>0</v>
      </c>
      <c r="AR1028" s="162">
        <f>AQ1028*$AR$5</f>
        <v>0</v>
      </c>
      <c r="AS1028" s="163"/>
      <c r="AT1028" s="233"/>
      <c r="AU1028" s="187"/>
      <c r="AV1028" s="414">
        <f>AR1028/$AV$5</f>
        <v>0</v>
      </c>
      <c r="AW1028" s="415"/>
      <c r="AX1028" s="146">
        <f>SUM(AU1028:AV1028)</f>
        <v>0</v>
      </c>
      <c r="AY1028" s="168"/>
    </row>
    <row r="1029" spans="1:51" s="139" customFormat="1" ht="11.25" hidden="1" x14ac:dyDescent="0.25">
      <c r="A1029" s="1"/>
      <c r="B1029" s="140">
        <v>12</v>
      </c>
      <c r="C1029" s="335" t="s">
        <v>356</v>
      </c>
      <c r="D1029" s="142"/>
      <c r="E1029" s="143"/>
      <c r="F1029" s="143"/>
      <c r="G1029" s="143"/>
      <c r="H1029" s="143"/>
      <c r="I1029" s="143"/>
      <c r="J1029" s="143"/>
      <c r="K1029" s="143"/>
      <c r="L1029" s="143"/>
      <c r="M1029" s="143"/>
      <c r="N1029" s="222"/>
      <c r="O1029" s="222">
        <v>928904</v>
      </c>
      <c r="P1029" s="145"/>
      <c r="Q1029" s="304">
        <f t="shared" si="959"/>
        <v>928904</v>
      </c>
      <c r="R1029" s="147">
        <f>Q1029*$R$9</f>
        <v>135619.984</v>
      </c>
      <c r="S1029" s="147">
        <f>R1029/$S$5</f>
        <v>371.5616</v>
      </c>
      <c r="T1029" s="148">
        <f>S1029*$T$5*$T$9</f>
        <v>94933.988799999992</v>
      </c>
      <c r="U1029" s="420"/>
      <c r="V1029" s="407"/>
      <c r="W1029" s="236"/>
      <c r="X1029" s="236"/>
      <c r="Y1029" s="408"/>
      <c r="Z1029" s="409"/>
      <c r="AA1029" s="409"/>
      <c r="AB1029" s="410"/>
      <c r="AC1029" s="155"/>
      <c r="AD1029" s="156"/>
      <c r="AE1029" s="156"/>
      <c r="AF1029" s="156"/>
      <c r="AG1029" s="156"/>
      <c r="AH1029" s="156"/>
      <c r="AI1029" s="156"/>
      <c r="AJ1029" s="156"/>
      <c r="AK1029" s="156"/>
      <c r="AL1029" s="156"/>
      <c r="AM1029" s="157"/>
      <c r="AN1029" s="158">
        <f t="shared" si="958"/>
        <v>4000</v>
      </c>
      <c r="AO1029" s="159"/>
      <c r="AP1029" s="160"/>
      <c r="AQ1029" s="161"/>
      <c r="AR1029" s="162"/>
      <c r="AS1029" s="163"/>
      <c r="AT1029" s="164"/>
      <c r="AU1029" s="165"/>
      <c r="AV1029" s="166"/>
      <c r="AW1029" s="167"/>
      <c r="AX1029" s="146"/>
      <c r="AY1029" s="168"/>
    </row>
    <row r="1030" spans="1:51" s="139" customFormat="1" ht="11.25" hidden="1" x14ac:dyDescent="0.25">
      <c r="A1030" s="1"/>
      <c r="B1030" s="140">
        <v>13</v>
      </c>
      <c r="C1030" s="335" t="s">
        <v>357</v>
      </c>
      <c r="D1030" s="142"/>
      <c r="E1030" s="143"/>
      <c r="F1030" s="143"/>
      <c r="G1030" s="143"/>
      <c r="H1030" s="143"/>
      <c r="I1030" s="143"/>
      <c r="J1030" s="143"/>
      <c r="K1030" s="143"/>
      <c r="L1030" s="143"/>
      <c r="M1030" s="143"/>
      <c r="N1030" s="222"/>
      <c r="O1030" s="222">
        <v>813196</v>
      </c>
      <c r="P1030" s="145"/>
      <c r="Q1030" s="304">
        <f t="shared" si="959"/>
        <v>813196</v>
      </c>
      <c r="R1030" s="147">
        <f>Q1030*$R$9</f>
        <v>118726.61599999999</v>
      </c>
      <c r="S1030" s="147">
        <f>R1030/$S$5</f>
        <v>325.27839999999998</v>
      </c>
      <c r="T1030" s="148">
        <f>S1030*$T$5*$T$9</f>
        <v>83108.631199999989</v>
      </c>
      <c r="U1030" s="420"/>
      <c r="V1030" s="407"/>
      <c r="W1030" s="236"/>
      <c r="X1030" s="236"/>
      <c r="Y1030" s="408"/>
      <c r="Z1030" s="409"/>
      <c r="AA1030" s="409"/>
      <c r="AB1030" s="410"/>
      <c r="AC1030" s="155"/>
      <c r="AD1030" s="156"/>
      <c r="AE1030" s="156"/>
      <c r="AF1030" s="156"/>
      <c r="AG1030" s="156"/>
      <c r="AH1030" s="156"/>
      <c r="AI1030" s="156"/>
      <c r="AJ1030" s="156"/>
      <c r="AK1030" s="156"/>
      <c r="AL1030" s="156"/>
      <c r="AM1030" s="157"/>
      <c r="AN1030" s="158">
        <f t="shared" si="958"/>
        <v>4000</v>
      </c>
      <c r="AO1030" s="159"/>
      <c r="AP1030" s="160"/>
      <c r="AQ1030" s="161"/>
      <c r="AR1030" s="162"/>
      <c r="AS1030" s="163"/>
      <c r="AT1030" s="164"/>
      <c r="AU1030" s="165"/>
      <c r="AV1030" s="166"/>
      <c r="AW1030" s="167"/>
      <c r="AX1030" s="146"/>
      <c r="AY1030" s="168"/>
    </row>
    <row r="1031" spans="1:51" s="139" customFormat="1" ht="11.25" hidden="1" x14ac:dyDescent="0.25">
      <c r="A1031" s="1"/>
      <c r="B1031" s="140"/>
      <c r="C1031" s="345"/>
      <c r="D1031" s="142"/>
      <c r="E1031" s="143"/>
      <c r="F1031" s="143"/>
      <c r="G1031" s="143"/>
      <c r="H1031" s="143"/>
      <c r="I1031" s="143"/>
      <c r="J1031" s="143"/>
      <c r="K1031" s="143"/>
      <c r="L1031" s="143"/>
      <c r="M1031" s="143"/>
      <c r="N1031" s="222"/>
      <c r="O1031" s="222"/>
      <c r="P1031" s="145"/>
      <c r="Q1031" s="223"/>
      <c r="R1031" s="167"/>
      <c r="S1031" s="429"/>
      <c r="T1031" s="146"/>
      <c r="U1031" s="420" t="s">
        <v>721</v>
      </c>
      <c r="V1031" s="407"/>
      <c r="W1031" s="236">
        <f>100*365</f>
        <v>36500</v>
      </c>
      <c r="X1031" s="236"/>
      <c r="Y1031" s="408"/>
      <c r="Z1031" s="409"/>
      <c r="AA1031" s="409"/>
      <c r="AB1031" s="410"/>
      <c r="AC1031" s="411">
        <f>W1031*52%</f>
        <v>18980</v>
      </c>
      <c r="AD1031" s="412">
        <f>W1031*25%</f>
        <v>9125</v>
      </c>
      <c r="AE1031" s="412">
        <f>W1031*9%</f>
        <v>3285</v>
      </c>
      <c r="AF1031" s="412">
        <f>W1031*5%</f>
        <v>1825</v>
      </c>
      <c r="AG1031" s="412">
        <f>W1031*3%</f>
        <v>1095</v>
      </c>
      <c r="AH1031" s="412">
        <f>W1031*1%</f>
        <v>365</v>
      </c>
      <c r="AI1031" s="412">
        <f>W1031*2%</f>
        <v>730</v>
      </c>
      <c r="AJ1031" s="412">
        <f>W1031*1%</f>
        <v>365</v>
      </c>
      <c r="AK1031" s="412">
        <f>W1031*4%</f>
        <v>1460</v>
      </c>
      <c r="AL1031" s="412">
        <f>W1031*1%</f>
        <v>365</v>
      </c>
      <c r="AM1031" s="413">
        <f>SUM(AD1031:AI1031)</f>
        <v>16425</v>
      </c>
      <c r="AN1031" s="158">
        <f t="shared" si="958"/>
        <v>4000</v>
      </c>
      <c r="AO1031" s="159">
        <v>0.2</v>
      </c>
      <c r="AP1031" s="160">
        <f>AM1031*AN1031*$AP$5</f>
        <v>275072760</v>
      </c>
      <c r="AQ1031" s="161">
        <f>AP1031*$AQ$5</f>
        <v>76409.106112727997</v>
      </c>
      <c r="AR1031" s="162">
        <f>AQ1031*$AR$5</f>
        <v>15281.821222545601</v>
      </c>
      <c r="AS1031" s="163"/>
      <c r="AT1031" s="233"/>
      <c r="AU1031" s="187"/>
      <c r="AV1031" s="414">
        <f>AR1031/$AV$5</f>
        <v>2.1806251744500003</v>
      </c>
      <c r="AW1031" s="415"/>
      <c r="AX1031" s="146">
        <f>SUM(AU1031:AV1031)</f>
        <v>2.1806251744500003</v>
      </c>
      <c r="AY1031" s="168"/>
    </row>
    <row r="1032" spans="1:51" s="139" customFormat="1" ht="11.25" hidden="1" x14ac:dyDescent="0.25">
      <c r="A1032" s="1"/>
      <c r="B1032" s="140">
        <v>14</v>
      </c>
      <c r="C1032" s="343" t="s">
        <v>358</v>
      </c>
      <c r="D1032" s="142"/>
      <c r="E1032" s="143"/>
      <c r="F1032" s="143"/>
      <c r="G1032" s="143"/>
      <c r="H1032" s="143"/>
      <c r="I1032" s="143"/>
      <c r="J1032" s="143"/>
      <c r="K1032" s="143"/>
      <c r="L1032" s="143"/>
      <c r="M1032" s="143"/>
      <c r="N1032" s="222"/>
      <c r="O1032" s="222">
        <v>858266</v>
      </c>
      <c r="P1032" s="145"/>
      <c r="Q1032" s="304">
        <f t="shared" si="959"/>
        <v>858266</v>
      </c>
      <c r="R1032" s="147">
        <f>Q1032*$R$9</f>
        <v>125306.836</v>
      </c>
      <c r="S1032" s="147">
        <f>R1032/$S$5</f>
        <v>343.3064</v>
      </c>
      <c r="T1032" s="148">
        <f>S1032*$T$5*$T$9</f>
        <v>87714.785199999998</v>
      </c>
      <c r="U1032" s="420"/>
      <c r="V1032" s="407"/>
      <c r="W1032" s="236"/>
      <c r="X1032" s="236"/>
      <c r="Y1032" s="408"/>
      <c r="Z1032" s="409"/>
      <c r="AA1032" s="409"/>
      <c r="AB1032" s="410"/>
      <c r="AC1032" s="155"/>
      <c r="AD1032" s="156"/>
      <c r="AE1032" s="156"/>
      <c r="AF1032" s="156"/>
      <c r="AG1032" s="156"/>
      <c r="AH1032" s="156"/>
      <c r="AI1032" s="156"/>
      <c r="AJ1032" s="156"/>
      <c r="AK1032" s="156"/>
      <c r="AL1032" s="156"/>
      <c r="AM1032" s="157"/>
      <c r="AN1032" s="158">
        <f t="shared" si="958"/>
        <v>4000</v>
      </c>
      <c r="AO1032" s="159"/>
      <c r="AP1032" s="160"/>
      <c r="AQ1032" s="161"/>
      <c r="AR1032" s="162"/>
      <c r="AS1032" s="163"/>
      <c r="AT1032" s="233"/>
      <c r="AU1032" s="187"/>
      <c r="AV1032" s="166"/>
      <c r="AW1032" s="167"/>
      <c r="AX1032" s="146"/>
      <c r="AY1032" s="168"/>
    </row>
    <row r="1033" spans="1:51" s="139" customFormat="1" ht="11.25" hidden="1" x14ac:dyDescent="0.25">
      <c r="A1033" s="1"/>
      <c r="B1033" s="140"/>
      <c r="C1033" s="342"/>
      <c r="D1033" s="142"/>
      <c r="E1033" s="143"/>
      <c r="F1033" s="143"/>
      <c r="G1033" s="143"/>
      <c r="H1033" s="143"/>
      <c r="I1033" s="143"/>
      <c r="J1033" s="143"/>
      <c r="K1033" s="143"/>
      <c r="L1033" s="143"/>
      <c r="M1033" s="143"/>
      <c r="N1033" s="222"/>
      <c r="O1033" s="222"/>
      <c r="P1033" s="145"/>
      <c r="Q1033" s="223"/>
      <c r="R1033" s="167"/>
      <c r="S1033" s="429"/>
      <c r="T1033" s="146"/>
      <c r="U1033" s="420" t="s">
        <v>722</v>
      </c>
      <c r="V1033" s="407"/>
      <c r="W1033" s="236"/>
      <c r="X1033" s="236"/>
      <c r="Y1033" s="408"/>
      <c r="Z1033" s="409"/>
      <c r="AA1033" s="409"/>
      <c r="AB1033" s="410"/>
      <c r="AC1033" s="411">
        <f>W1033*52%</f>
        <v>0</v>
      </c>
      <c r="AD1033" s="412">
        <f>W1033*25%</f>
        <v>0</v>
      </c>
      <c r="AE1033" s="412">
        <f>W1033*9%</f>
        <v>0</v>
      </c>
      <c r="AF1033" s="412">
        <f>W1033*5%</f>
        <v>0</v>
      </c>
      <c r="AG1033" s="412">
        <f>W1033*3%</f>
        <v>0</v>
      </c>
      <c r="AH1033" s="412">
        <f>W1033*1%</f>
        <v>0</v>
      </c>
      <c r="AI1033" s="412">
        <f>W1033*2%</f>
        <v>0</v>
      </c>
      <c r="AJ1033" s="412">
        <f>W1033*1%</f>
        <v>0</v>
      </c>
      <c r="AK1033" s="412">
        <f>W1033*4%</f>
        <v>0</v>
      </c>
      <c r="AL1033" s="412">
        <f>W1033*1%</f>
        <v>0</v>
      </c>
      <c r="AM1033" s="413">
        <f>SUM(AD1033:AI1033)</f>
        <v>0</v>
      </c>
      <c r="AN1033" s="158">
        <f t="shared" si="958"/>
        <v>4000</v>
      </c>
      <c r="AO1033" s="159">
        <v>0.2</v>
      </c>
      <c r="AP1033" s="160">
        <f>AM1033*AN1033*$AP$5</f>
        <v>0</v>
      </c>
      <c r="AQ1033" s="161">
        <f>AP1033*$AQ$5</f>
        <v>0</v>
      </c>
      <c r="AR1033" s="162">
        <f>AQ1033*$AR$5</f>
        <v>0</v>
      </c>
      <c r="AS1033" s="163"/>
      <c r="AT1033" s="233"/>
      <c r="AU1033" s="187"/>
      <c r="AV1033" s="414">
        <f>AR1033/$AV$5</f>
        <v>0</v>
      </c>
      <c r="AW1033" s="415"/>
      <c r="AX1033" s="146">
        <f>SUM(AU1033:AV1033)</f>
        <v>0</v>
      </c>
      <c r="AY1033" s="168"/>
    </row>
    <row r="1034" spans="1:51" s="139" customFormat="1" ht="11.25" hidden="1" x14ac:dyDescent="0.25">
      <c r="A1034" s="1"/>
      <c r="B1034" s="140">
        <v>15</v>
      </c>
      <c r="C1034" s="342" t="s">
        <v>359</v>
      </c>
      <c r="D1034" s="142"/>
      <c r="E1034" s="143"/>
      <c r="F1034" s="143"/>
      <c r="G1034" s="143"/>
      <c r="H1034" s="143"/>
      <c r="I1034" s="143"/>
      <c r="J1034" s="143"/>
      <c r="K1034" s="143"/>
      <c r="L1034" s="143"/>
      <c r="M1034" s="143"/>
      <c r="N1034" s="222"/>
      <c r="O1034" s="222">
        <v>1308696</v>
      </c>
      <c r="P1034" s="145"/>
      <c r="Q1034" s="304">
        <f t="shared" si="959"/>
        <v>1308696</v>
      </c>
      <c r="R1034" s="147">
        <f>Q1034*$R$8</f>
        <v>214626.144</v>
      </c>
      <c r="S1034" s="147">
        <f>R1034/$S$5</f>
        <v>588.01683287671233</v>
      </c>
      <c r="T1034" s="148">
        <f>S1034*$T$5*$T$8</f>
        <v>171700.91520000002</v>
      </c>
      <c r="U1034" s="420"/>
      <c r="V1034" s="407"/>
      <c r="W1034" s="236"/>
      <c r="X1034" s="236"/>
      <c r="Y1034" s="408"/>
      <c r="Z1034" s="409"/>
      <c r="AA1034" s="409"/>
      <c r="AB1034" s="410"/>
      <c r="AC1034" s="155"/>
      <c r="AD1034" s="156"/>
      <c r="AE1034" s="156"/>
      <c r="AF1034" s="156"/>
      <c r="AG1034" s="156"/>
      <c r="AH1034" s="156"/>
      <c r="AI1034" s="156"/>
      <c r="AJ1034" s="156"/>
      <c r="AK1034" s="156"/>
      <c r="AL1034" s="156"/>
      <c r="AM1034" s="157"/>
      <c r="AN1034" s="158">
        <f t="shared" si="958"/>
        <v>4000</v>
      </c>
      <c r="AO1034" s="159"/>
      <c r="AP1034" s="160"/>
      <c r="AQ1034" s="161"/>
      <c r="AR1034" s="162"/>
      <c r="AS1034" s="163"/>
      <c r="AT1034" s="233"/>
      <c r="AU1034" s="187"/>
      <c r="AV1034" s="166"/>
      <c r="AW1034" s="167"/>
      <c r="AX1034" s="146"/>
      <c r="AY1034" s="168"/>
    </row>
    <row r="1035" spans="1:51" s="139" customFormat="1" ht="11.25" hidden="1" x14ac:dyDescent="0.25">
      <c r="A1035" s="1"/>
      <c r="B1035" s="140"/>
      <c r="C1035" s="343"/>
      <c r="D1035" s="142"/>
      <c r="E1035" s="143"/>
      <c r="F1035" s="143"/>
      <c r="G1035" s="143"/>
      <c r="H1035" s="143"/>
      <c r="I1035" s="143"/>
      <c r="J1035" s="143"/>
      <c r="K1035" s="143"/>
      <c r="L1035" s="143"/>
      <c r="M1035" s="143"/>
      <c r="N1035" s="222"/>
      <c r="O1035" s="222"/>
      <c r="P1035" s="145"/>
      <c r="Q1035" s="223"/>
      <c r="R1035" s="167"/>
      <c r="S1035" s="429"/>
      <c r="T1035" s="146"/>
      <c r="U1035" s="420" t="s">
        <v>723</v>
      </c>
      <c r="V1035" s="407">
        <v>5.6</v>
      </c>
      <c r="W1035" s="236">
        <f>100*365</f>
        <v>36500</v>
      </c>
      <c r="X1035" s="236"/>
      <c r="Y1035" s="408"/>
      <c r="Z1035" s="409"/>
      <c r="AA1035" s="409"/>
      <c r="AB1035" s="410"/>
      <c r="AC1035" s="411">
        <f>W1035*52%</f>
        <v>18980</v>
      </c>
      <c r="AD1035" s="412">
        <f>W1035*25%</f>
        <v>9125</v>
      </c>
      <c r="AE1035" s="412">
        <f>W1035*9%</f>
        <v>3285</v>
      </c>
      <c r="AF1035" s="412">
        <f>W1035*5%</f>
        <v>1825</v>
      </c>
      <c r="AG1035" s="412">
        <f>W1035*3%</f>
        <v>1095</v>
      </c>
      <c r="AH1035" s="412">
        <f>W1035*1%</f>
        <v>365</v>
      </c>
      <c r="AI1035" s="412">
        <f>W1035*2%</f>
        <v>730</v>
      </c>
      <c r="AJ1035" s="412">
        <f>W1035*1%</f>
        <v>365</v>
      </c>
      <c r="AK1035" s="412">
        <f>W1035*4%</f>
        <v>1460</v>
      </c>
      <c r="AL1035" s="412">
        <f>W1035*1%</f>
        <v>365</v>
      </c>
      <c r="AM1035" s="413">
        <f>SUM(AD1035:AI1035)</f>
        <v>16425</v>
      </c>
      <c r="AN1035" s="158">
        <f t="shared" si="958"/>
        <v>4000</v>
      </c>
      <c r="AO1035" s="159">
        <v>0.2</v>
      </c>
      <c r="AP1035" s="160">
        <f>AM1035*AN1035*$AP$5</f>
        <v>275072760</v>
      </c>
      <c r="AQ1035" s="161">
        <f>AP1035*$AQ$5</f>
        <v>76409.106112727997</v>
      </c>
      <c r="AR1035" s="162">
        <f>AQ1035*$AR$5</f>
        <v>15281.821222545601</v>
      </c>
      <c r="AS1035" s="163"/>
      <c r="AT1035" s="233"/>
      <c r="AU1035" s="187"/>
      <c r="AV1035" s="414">
        <f>AR1035/$AV$5</f>
        <v>2.1806251744500003</v>
      </c>
      <c r="AW1035" s="415"/>
      <c r="AX1035" s="146">
        <f>SUM(AU1035:AV1035)</f>
        <v>2.1806251744500003</v>
      </c>
      <c r="AY1035" s="168"/>
    </row>
    <row r="1036" spans="1:51" s="139" customFormat="1" ht="11.25" hidden="1" x14ac:dyDescent="0.25">
      <c r="A1036" s="1"/>
      <c r="B1036" s="140">
        <v>16</v>
      </c>
      <c r="C1036" s="343" t="s">
        <v>360</v>
      </c>
      <c r="D1036" s="142"/>
      <c r="E1036" s="143"/>
      <c r="F1036" s="143"/>
      <c r="G1036" s="143"/>
      <c r="H1036" s="143"/>
      <c r="I1036" s="143"/>
      <c r="J1036" s="143"/>
      <c r="K1036" s="143"/>
      <c r="L1036" s="143"/>
      <c r="M1036" s="143"/>
      <c r="N1036" s="222"/>
      <c r="O1036" s="222">
        <v>829728</v>
      </c>
      <c r="P1036" s="145"/>
      <c r="Q1036" s="304">
        <f t="shared" si="959"/>
        <v>829728</v>
      </c>
      <c r="R1036" s="147">
        <f>Q1036*$R$9</f>
        <v>121140.28799999999</v>
      </c>
      <c r="S1036" s="147">
        <f>R1036/$S$5</f>
        <v>331.89119999999997</v>
      </c>
      <c r="T1036" s="148">
        <f>S1036*$T$5*$T$9</f>
        <v>84798.201599999986</v>
      </c>
      <c r="U1036" s="420"/>
      <c r="V1036" s="407"/>
      <c r="W1036" s="236"/>
      <c r="X1036" s="236"/>
      <c r="Y1036" s="408"/>
      <c r="Z1036" s="409"/>
      <c r="AA1036" s="409"/>
      <c r="AB1036" s="410"/>
      <c r="AC1036" s="155"/>
      <c r="AD1036" s="156"/>
      <c r="AE1036" s="156"/>
      <c r="AF1036" s="156"/>
      <c r="AG1036" s="156"/>
      <c r="AH1036" s="156"/>
      <c r="AI1036" s="156"/>
      <c r="AJ1036" s="156"/>
      <c r="AK1036" s="156"/>
      <c r="AL1036" s="156"/>
      <c r="AM1036" s="157"/>
      <c r="AN1036" s="158">
        <f t="shared" si="958"/>
        <v>4000</v>
      </c>
      <c r="AO1036" s="159"/>
      <c r="AP1036" s="160"/>
      <c r="AQ1036" s="161"/>
      <c r="AR1036" s="162"/>
      <c r="AS1036" s="163"/>
      <c r="AT1036" s="164"/>
      <c r="AU1036" s="165"/>
      <c r="AV1036" s="166"/>
      <c r="AW1036" s="167"/>
      <c r="AX1036" s="146"/>
      <c r="AY1036" s="168"/>
    </row>
    <row r="1037" spans="1:51" s="139" customFormat="1" ht="11.25" hidden="1" x14ac:dyDescent="0.25">
      <c r="A1037" s="1"/>
      <c r="B1037" s="140"/>
      <c r="C1037" s="342"/>
      <c r="D1037" s="142"/>
      <c r="E1037" s="143"/>
      <c r="F1037" s="143"/>
      <c r="G1037" s="143"/>
      <c r="H1037" s="143"/>
      <c r="I1037" s="143"/>
      <c r="J1037" s="143"/>
      <c r="K1037" s="143"/>
      <c r="L1037" s="143"/>
      <c r="M1037" s="143"/>
      <c r="N1037" s="222"/>
      <c r="O1037" s="222"/>
      <c r="P1037" s="145"/>
      <c r="Q1037" s="223"/>
      <c r="R1037" s="167"/>
      <c r="S1037" s="429"/>
      <c r="T1037" s="146"/>
      <c r="U1037" s="420" t="s">
        <v>724</v>
      </c>
      <c r="V1037" s="407"/>
      <c r="W1037" s="236">
        <f>350*365</f>
        <v>127750</v>
      </c>
      <c r="X1037" s="236"/>
      <c r="Y1037" s="408"/>
      <c r="Z1037" s="409"/>
      <c r="AA1037" s="409"/>
      <c r="AB1037" s="410"/>
      <c r="AC1037" s="411">
        <f>W1037*52%</f>
        <v>66430</v>
      </c>
      <c r="AD1037" s="412">
        <f>W1037*25%</f>
        <v>31937.5</v>
      </c>
      <c r="AE1037" s="412">
        <f>W1037*9%</f>
        <v>11497.5</v>
      </c>
      <c r="AF1037" s="412">
        <f>W1037*5%</f>
        <v>6387.5</v>
      </c>
      <c r="AG1037" s="412">
        <f>W1037*3%</f>
        <v>3832.5</v>
      </c>
      <c r="AH1037" s="412">
        <f>W1037*1%</f>
        <v>1277.5</v>
      </c>
      <c r="AI1037" s="412">
        <f>W1037*2%</f>
        <v>2555</v>
      </c>
      <c r="AJ1037" s="412">
        <f>W1037*1%</f>
        <v>1277.5</v>
      </c>
      <c r="AK1037" s="412">
        <f>W1037*4%</f>
        <v>5110</v>
      </c>
      <c r="AL1037" s="412">
        <f>W1037*1%</f>
        <v>1277.5</v>
      </c>
      <c r="AM1037" s="413">
        <f>SUM(AD1037:AI1037)</f>
        <v>57487.5</v>
      </c>
      <c r="AN1037" s="158">
        <f t="shared" si="958"/>
        <v>4000</v>
      </c>
      <c r="AO1037" s="159">
        <v>0.2</v>
      </c>
      <c r="AP1037" s="160">
        <f>AM1037*AN1037*$AP$5</f>
        <v>962754660</v>
      </c>
      <c r="AQ1037" s="161">
        <f>AP1037*$AQ$5</f>
        <v>267431.87139454798</v>
      </c>
      <c r="AR1037" s="162">
        <f>AQ1037*$AR$5</f>
        <v>53486.3742789096</v>
      </c>
      <c r="AS1037" s="163"/>
      <c r="AT1037" s="233"/>
      <c r="AU1037" s="187">
        <v>0.5</v>
      </c>
      <c r="AV1037" s="414">
        <f>AR1037/$AV$5</f>
        <v>7.632188110575</v>
      </c>
      <c r="AW1037" s="415">
        <f>AV1037</f>
        <v>7.632188110575</v>
      </c>
      <c r="AX1037" s="146">
        <f>SUM(AU1037:AV1037)</f>
        <v>8.1321881105750009</v>
      </c>
      <c r="AY1037" s="168"/>
    </row>
    <row r="1038" spans="1:51" s="139" customFormat="1" ht="11.25" hidden="1" x14ac:dyDescent="0.25">
      <c r="A1038" s="1"/>
      <c r="B1038" s="140">
        <v>17</v>
      </c>
      <c r="C1038" s="343" t="s">
        <v>361</v>
      </c>
      <c r="D1038" s="142"/>
      <c r="E1038" s="143"/>
      <c r="F1038" s="143"/>
      <c r="G1038" s="143"/>
      <c r="H1038" s="143"/>
      <c r="I1038" s="143"/>
      <c r="J1038" s="143"/>
      <c r="K1038" s="143"/>
      <c r="L1038" s="143"/>
      <c r="M1038" s="143"/>
      <c r="N1038" s="222"/>
      <c r="O1038" s="222">
        <v>591359</v>
      </c>
      <c r="P1038" s="145"/>
      <c r="Q1038" s="304">
        <f t="shared" si="959"/>
        <v>591359</v>
      </c>
      <c r="R1038" s="147">
        <f>Q1038*$R$9</f>
        <v>86338.41399999999</v>
      </c>
      <c r="S1038" s="147">
        <f>R1038/$S$5</f>
        <v>236.54359999999997</v>
      </c>
      <c r="T1038" s="148">
        <f>S1038*$T$5*$T$9</f>
        <v>60436.88979999999</v>
      </c>
      <c r="U1038" s="420"/>
      <c r="V1038" s="407"/>
      <c r="W1038" s="236"/>
      <c r="X1038" s="236"/>
      <c r="Y1038" s="408"/>
      <c r="Z1038" s="409"/>
      <c r="AA1038" s="409"/>
      <c r="AB1038" s="410"/>
      <c r="AC1038" s="155"/>
      <c r="AD1038" s="156"/>
      <c r="AE1038" s="156"/>
      <c r="AF1038" s="156"/>
      <c r="AG1038" s="156"/>
      <c r="AH1038" s="156"/>
      <c r="AI1038" s="156"/>
      <c r="AJ1038" s="156"/>
      <c r="AK1038" s="156"/>
      <c r="AL1038" s="156"/>
      <c r="AM1038" s="157"/>
      <c r="AN1038" s="158">
        <f t="shared" si="958"/>
        <v>4000</v>
      </c>
      <c r="AO1038" s="159"/>
      <c r="AP1038" s="160"/>
      <c r="AQ1038" s="161"/>
      <c r="AR1038" s="162"/>
      <c r="AS1038" s="163"/>
      <c r="AT1038" s="164"/>
      <c r="AU1038" s="165"/>
      <c r="AV1038" s="166"/>
      <c r="AW1038" s="167"/>
      <c r="AX1038" s="146"/>
      <c r="AY1038" s="168"/>
    </row>
    <row r="1039" spans="1:51" s="139" customFormat="1" ht="11.25" hidden="1" x14ac:dyDescent="0.25">
      <c r="A1039" s="1"/>
      <c r="B1039" s="140"/>
      <c r="C1039" s="342"/>
      <c r="D1039" s="142"/>
      <c r="E1039" s="143"/>
      <c r="F1039" s="143"/>
      <c r="G1039" s="143"/>
      <c r="H1039" s="143"/>
      <c r="I1039" s="143"/>
      <c r="J1039" s="143"/>
      <c r="K1039" s="143"/>
      <c r="L1039" s="143"/>
      <c r="M1039" s="143"/>
      <c r="N1039" s="222"/>
      <c r="O1039" s="222"/>
      <c r="P1039" s="145"/>
      <c r="Q1039" s="223"/>
      <c r="R1039" s="167"/>
      <c r="S1039" s="429"/>
      <c r="T1039" s="146"/>
      <c r="U1039" s="420" t="s">
        <v>725</v>
      </c>
      <c r="V1039" s="407"/>
      <c r="W1039" s="236"/>
      <c r="X1039" s="236"/>
      <c r="Y1039" s="408"/>
      <c r="Z1039" s="409"/>
      <c r="AA1039" s="409"/>
      <c r="AB1039" s="410"/>
      <c r="AC1039" s="411">
        <f>W1039*52%</f>
        <v>0</v>
      </c>
      <c r="AD1039" s="412">
        <f>W1039*25%</f>
        <v>0</v>
      </c>
      <c r="AE1039" s="412">
        <f>W1039*9%</f>
        <v>0</v>
      </c>
      <c r="AF1039" s="412">
        <f>W1039*5%</f>
        <v>0</v>
      </c>
      <c r="AG1039" s="412">
        <f>W1039*3%</f>
        <v>0</v>
      </c>
      <c r="AH1039" s="412">
        <f>W1039*1%</f>
        <v>0</v>
      </c>
      <c r="AI1039" s="412">
        <f>W1039*2%</f>
        <v>0</v>
      </c>
      <c r="AJ1039" s="412">
        <f>W1039*1%</f>
        <v>0</v>
      </c>
      <c r="AK1039" s="412">
        <f>W1039*4%</f>
        <v>0</v>
      </c>
      <c r="AL1039" s="412">
        <f>W1039*1%</f>
        <v>0</v>
      </c>
      <c r="AM1039" s="413">
        <f>SUM(AD1039:AI1039)</f>
        <v>0</v>
      </c>
      <c r="AN1039" s="158">
        <f t="shared" si="958"/>
        <v>4000</v>
      </c>
      <c r="AO1039" s="159">
        <v>0.2</v>
      </c>
      <c r="AP1039" s="160">
        <f>AM1039*AN1039*$AP$5</f>
        <v>0</v>
      </c>
      <c r="AQ1039" s="161">
        <f>AP1039*$AQ$5</f>
        <v>0</v>
      </c>
      <c r="AR1039" s="162">
        <f>AQ1039*$AR$5</f>
        <v>0</v>
      </c>
      <c r="AS1039" s="163"/>
      <c r="AT1039" s="233"/>
      <c r="AU1039" s="187"/>
      <c r="AV1039" s="414">
        <f>AR1039/$AV$5</f>
        <v>0</v>
      </c>
      <c r="AW1039" s="415"/>
      <c r="AX1039" s="146">
        <f>SUM(AU1039:AV1039)</f>
        <v>0</v>
      </c>
      <c r="AY1039" s="168"/>
    </row>
    <row r="1040" spans="1:51" s="139" customFormat="1" ht="11.25" hidden="1" x14ac:dyDescent="0.25">
      <c r="A1040" s="1"/>
      <c r="B1040" s="140">
        <v>18</v>
      </c>
      <c r="C1040" s="343" t="s">
        <v>362</v>
      </c>
      <c r="D1040" s="142"/>
      <c r="E1040" s="143"/>
      <c r="F1040" s="143"/>
      <c r="G1040" s="143"/>
      <c r="H1040" s="143"/>
      <c r="I1040" s="143"/>
      <c r="J1040" s="143"/>
      <c r="K1040" s="143"/>
      <c r="L1040" s="143"/>
      <c r="M1040" s="143"/>
      <c r="N1040" s="222"/>
      <c r="O1040" s="222">
        <v>1190993</v>
      </c>
      <c r="P1040" s="145"/>
      <c r="Q1040" s="304">
        <f t="shared" si="959"/>
        <v>1190993</v>
      </c>
      <c r="R1040" s="147">
        <f>Q1040*$R$8</f>
        <v>195322.85200000001</v>
      </c>
      <c r="S1040" s="147">
        <f>R1040/$S$5</f>
        <v>535.13110136986302</v>
      </c>
      <c r="T1040" s="148">
        <f>S1040*$T$5*$T$8</f>
        <v>156258.28160000002</v>
      </c>
      <c r="U1040" s="420"/>
      <c r="V1040" s="407"/>
      <c r="W1040" s="236"/>
      <c r="X1040" s="236"/>
      <c r="Y1040" s="408"/>
      <c r="Z1040" s="409"/>
      <c r="AA1040" s="409"/>
      <c r="AB1040" s="410"/>
      <c r="AC1040" s="155"/>
      <c r="AD1040" s="156"/>
      <c r="AE1040" s="156"/>
      <c r="AF1040" s="156"/>
      <c r="AG1040" s="156"/>
      <c r="AH1040" s="156"/>
      <c r="AI1040" s="156"/>
      <c r="AJ1040" s="156"/>
      <c r="AK1040" s="156"/>
      <c r="AL1040" s="156"/>
      <c r="AM1040" s="157"/>
      <c r="AN1040" s="158">
        <f t="shared" si="958"/>
        <v>4000</v>
      </c>
      <c r="AO1040" s="159"/>
      <c r="AP1040" s="160"/>
      <c r="AQ1040" s="161"/>
      <c r="AR1040" s="162"/>
      <c r="AS1040" s="163"/>
      <c r="AT1040" s="164"/>
      <c r="AU1040" s="165"/>
      <c r="AV1040" s="166"/>
      <c r="AW1040" s="167"/>
      <c r="AX1040" s="146"/>
      <c r="AY1040" s="168"/>
    </row>
    <row r="1041" spans="1:51" s="139" customFormat="1" ht="11.25" hidden="1" x14ac:dyDescent="0.25">
      <c r="A1041" s="1"/>
      <c r="B1041" s="140"/>
      <c r="C1041" s="342"/>
      <c r="D1041" s="142"/>
      <c r="E1041" s="143"/>
      <c r="F1041" s="143"/>
      <c r="G1041" s="143"/>
      <c r="H1041" s="143"/>
      <c r="I1041" s="143"/>
      <c r="J1041" s="143"/>
      <c r="K1041" s="143"/>
      <c r="L1041" s="143"/>
      <c r="M1041" s="143"/>
      <c r="N1041" s="222"/>
      <c r="O1041" s="222"/>
      <c r="P1041" s="145"/>
      <c r="Q1041" s="223"/>
      <c r="R1041" s="167"/>
      <c r="S1041" s="429"/>
      <c r="T1041" s="146"/>
      <c r="U1041" s="420" t="s">
        <v>726</v>
      </c>
      <c r="V1041" s="407"/>
      <c r="W1041" s="236">
        <f>30*365</f>
        <v>10950</v>
      </c>
      <c r="X1041" s="236"/>
      <c r="Y1041" s="408"/>
      <c r="Z1041" s="409"/>
      <c r="AA1041" s="409"/>
      <c r="AB1041" s="410"/>
      <c r="AC1041" s="411">
        <f>W1041*52%</f>
        <v>5694</v>
      </c>
      <c r="AD1041" s="412">
        <f>W1041*25%</f>
        <v>2737.5</v>
      </c>
      <c r="AE1041" s="412">
        <f>W1041*9%</f>
        <v>985.5</v>
      </c>
      <c r="AF1041" s="412">
        <f>W1041*5%</f>
        <v>547.5</v>
      </c>
      <c r="AG1041" s="412">
        <f>W1041*3%</f>
        <v>328.5</v>
      </c>
      <c r="AH1041" s="412">
        <f>W1041*1%</f>
        <v>109.5</v>
      </c>
      <c r="AI1041" s="412">
        <f>W1041*2%</f>
        <v>219</v>
      </c>
      <c r="AJ1041" s="412">
        <f>W1041*1%</f>
        <v>109.5</v>
      </c>
      <c r="AK1041" s="412">
        <f>W1041*4%</f>
        <v>438</v>
      </c>
      <c r="AL1041" s="412">
        <f>W1041*1%</f>
        <v>109.5</v>
      </c>
      <c r="AM1041" s="413">
        <f>SUM(AD1041:AI1041)</f>
        <v>4927.5</v>
      </c>
      <c r="AN1041" s="158">
        <f t="shared" si="958"/>
        <v>4000</v>
      </c>
      <c r="AO1041" s="159">
        <v>0.2</v>
      </c>
      <c r="AP1041" s="160">
        <f>AM1041*AN1041*$AP$5</f>
        <v>82521828</v>
      </c>
      <c r="AQ1041" s="161">
        <f>AP1041*$AQ$5</f>
        <v>22922.731833818401</v>
      </c>
      <c r="AR1041" s="162">
        <f>AQ1041*$AR$5</f>
        <v>4584.5463667636805</v>
      </c>
      <c r="AS1041" s="163"/>
      <c r="AT1041" s="233"/>
      <c r="AU1041" s="187"/>
      <c r="AV1041" s="414">
        <f>AR1041/$AV$5</f>
        <v>0.65418755233500003</v>
      </c>
      <c r="AW1041" s="415"/>
      <c r="AX1041" s="146">
        <f>SUM(AU1041:AV1041)</f>
        <v>0.65418755233500003</v>
      </c>
      <c r="AY1041" s="168"/>
    </row>
    <row r="1042" spans="1:51" s="139" customFormat="1" ht="11.25" hidden="1" x14ac:dyDescent="0.25">
      <c r="A1042" s="1"/>
      <c r="B1042" s="140">
        <v>19</v>
      </c>
      <c r="C1042" s="343" t="s">
        <v>363</v>
      </c>
      <c r="D1042" s="142"/>
      <c r="E1042" s="143"/>
      <c r="F1042" s="143"/>
      <c r="G1042" s="143"/>
      <c r="H1042" s="143"/>
      <c r="I1042" s="143"/>
      <c r="J1042" s="143"/>
      <c r="K1042" s="143"/>
      <c r="L1042" s="143"/>
      <c r="M1042" s="143"/>
      <c r="N1042" s="222"/>
      <c r="O1042" s="222">
        <v>777437</v>
      </c>
      <c r="P1042" s="145"/>
      <c r="Q1042" s="304">
        <f t="shared" si="959"/>
        <v>777437</v>
      </c>
      <c r="R1042" s="147">
        <f>Q1042*$R$9</f>
        <v>113505.802</v>
      </c>
      <c r="S1042" s="147">
        <f>R1042/$S$5</f>
        <v>310.97480000000002</v>
      </c>
      <c r="T1042" s="148">
        <f>S1042*$T$5*$T$9</f>
        <v>79454.061400000006</v>
      </c>
      <c r="U1042" s="420"/>
      <c r="V1042" s="407"/>
      <c r="W1042" s="236"/>
      <c r="X1042" s="236"/>
      <c r="Y1042" s="408"/>
      <c r="Z1042" s="409"/>
      <c r="AA1042" s="409"/>
      <c r="AB1042" s="410"/>
      <c r="AC1042" s="155"/>
      <c r="AD1042" s="156"/>
      <c r="AE1042" s="156"/>
      <c r="AF1042" s="156"/>
      <c r="AG1042" s="156"/>
      <c r="AH1042" s="156"/>
      <c r="AI1042" s="156"/>
      <c r="AJ1042" s="156"/>
      <c r="AK1042" s="156"/>
      <c r="AL1042" s="156"/>
      <c r="AM1042" s="157"/>
      <c r="AN1042" s="158">
        <f t="shared" si="958"/>
        <v>4000</v>
      </c>
      <c r="AO1042" s="159"/>
      <c r="AP1042" s="160"/>
      <c r="AQ1042" s="161"/>
      <c r="AR1042" s="162"/>
      <c r="AS1042" s="163"/>
      <c r="AT1042" s="164"/>
      <c r="AU1042" s="165"/>
      <c r="AV1042" s="166"/>
      <c r="AW1042" s="167"/>
      <c r="AX1042" s="146"/>
      <c r="AY1042" s="168"/>
    </row>
    <row r="1043" spans="1:51" s="139" customFormat="1" ht="11.25" hidden="1" x14ac:dyDescent="0.25">
      <c r="A1043" s="1"/>
      <c r="B1043" s="140"/>
      <c r="C1043" s="342"/>
      <c r="D1043" s="142"/>
      <c r="E1043" s="143"/>
      <c r="F1043" s="143"/>
      <c r="G1043" s="143"/>
      <c r="H1043" s="143"/>
      <c r="I1043" s="143"/>
      <c r="J1043" s="143"/>
      <c r="K1043" s="143"/>
      <c r="L1043" s="143"/>
      <c r="M1043" s="143"/>
      <c r="N1043" s="222"/>
      <c r="O1043" s="222"/>
      <c r="P1043" s="145"/>
      <c r="Q1043" s="223"/>
      <c r="R1043" s="167"/>
      <c r="S1043" s="429"/>
      <c r="T1043" s="146"/>
      <c r="U1043" s="420" t="s">
        <v>727</v>
      </c>
      <c r="V1043" s="407">
        <v>5.6</v>
      </c>
      <c r="W1043" s="236">
        <f>200000*0.33</f>
        <v>66000</v>
      </c>
      <c r="X1043" s="236"/>
      <c r="Y1043" s="408"/>
      <c r="Z1043" s="409"/>
      <c r="AA1043" s="409"/>
      <c r="AB1043" s="410"/>
      <c r="AC1043" s="411">
        <f>W1043*52%</f>
        <v>34320</v>
      </c>
      <c r="AD1043" s="412">
        <f>W1043*25%</f>
        <v>16500</v>
      </c>
      <c r="AE1043" s="412">
        <f>W1043*9%</f>
        <v>5940</v>
      </c>
      <c r="AF1043" s="412">
        <f>W1043*5%</f>
        <v>3300</v>
      </c>
      <c r="AG1043" s="412">
        <f>W1043*3%</f>
        <v>1980</v>
      </c>
      <c r="AH1043" s="412">
        <f>W1043*1%</f>
        <v>660</v>
      </c>
      <c r="AI1043" s="412">
        <f>W1043*2%</f>
        <v>1320</v>
      </c>
      <c r="AJ1043" s="412">
        <f>W1043*1%</f>
        <v>660</v>
      </c>
      <c r="AK1043" s="412">
        <f>W1043*4%</f>
        <v>2640</v>
      </c>
      <c r="AL1043" s="412">
        <f>W1043*1%</f>
        <v>660</v>
      </c>
      <c r="AM1043" s="413">
        <f>SUM(AD1043:AI1043)</f>
        <v>29700</v>
      </c>
      <c r="AN1043" s="158">
        <f t="shared" si="958"/>
        <v>4000</v>
      </c>
      <c r="AO1043" s="159">
        <v>0.2</v>
      </c>
      <c r="AP1043" s="160">
        <f>AM1043*AN1043*$AP$5</f>
        <v>497391840</v>
      </c>
      <c r="AQ1043" s="161">
        <f>AP1043*$AQ$5</f>
        <v>138164.411053152</v>
      </c>
      <c r="AR1043" s="162">
        <f>AQ1043*$AR$5</f>
        <v>27632.8822106304</v>
      </c>
      <c r="AS1043" s="163"/>
      <c r="AT1043" s="233"/>
      <c r="AU1043" s="187"/>
      <c r="AV1043" s="414">
        <f>AR1043/$AV$5</f>
        <v>3.9430482606493151</v>
      </c>
      <c r="AW1043" s="415"/>
      <c r="AX1043" s="146">
        <f>SUM(AU1043:AV1043)</f>
        <v>3.9430482606493151</v>
      </c>
      <c r="AY1043" s="168"/>
    </row>
    <row r="1044" spans="1:51" s="139" customFormat="1" ht="11.25" hidden="1" x14ac:dyDescent="0.25">
      <c r="A1044" s="1"/>
      <c r="B1044" s="140">
        <v>20</v>
      </c>
      <c r="C1044" s="343" t="s">
        <v>364</v>
      </c>
      <c r="D1044" s="142"/>
      <c r="E1044" s="143"/>
      <c r="F1044" s="143"/>
      <c r="G1044" s="143"/>
      <c r="H1044" s="143"/>
      <c r="I1044" s="143"/>
      <c r="J1044" s="143"/>
      <c r="K1044" s="143"/>
      <c r="L1044" s="143"/>
      <c r="M1044" s="143"/>
      <c r="N1044" s="222"/>
      <c r="O1044" s="222">
        <v>1097280</v>
      </c>
      <c r="P1044" s="145"/>
      <c r="Q1044" s="304">
        <f t="shared" si="959"/>
        <v>1097280</v>
      </c>
      <c r="R1044" s="147">
        <f>Q1044*$R$8</f>
        <v>179953.92000000001</v>
      </c>
      <c r="S1044" s="147">
        <f>R1044/$S$5</f>
        <v>493.02443835616441</v>
      </c>
      <c r="T1044" s="148">
        <f>S1044*$T$5*$T$8</f>
        <v>143963.13600000003</v>
      </c>
      <c r="U1044" s="420"/>
      <c r="V1044" s="407"/>
      <c r="W1044" s="236"/>
      <c r="X1044" s="236"/>
      <c r="Y1044" s="408"/>
      <c r="Z1044" s="409"/>
      <c r="AA1044" s="409"/>
      <c r="AB1044" s="410"/>
      <c r="AC1044" s="155"/>
      <c r="AD1044" s="156"/>
      <c r="AE1044" s="156"/>
      <c r="AF1044" s="156"/>
      <c r="AG1044" s="156"/>
      <c r="AH1044" s="156"/>
      <c r="AI1044" s="156"/>
      <c r="AJ1044" s="156"/>
      <c r="AK1044" s="156"/>
      <c r="AL1044" s="156"/>
      <c r="AM1044" s="157"/>
      <c r="AN1044" s="158">
        <f t="shared" si="958"/>
        <v>4000</v>
      </c>
      <c r="AO1044" s="159"/>
      <c r="AP1044" s="160"/>
      <c r="AQ1044" s="161"/>
      <c r="AR1044" s="162"/>
      <c r="AS1044" s="163"/>
      <c r="AT1044" s="164"/>
      <c r="AU1044" s="165"/>
      <c r="AV1044" s="166"/>
      <c r="AW1044" s="167"/>
      <c r="AX1044" s="146"/>
      <c r="AY1044" s="168"/>
    </row>
    <row r="1045" spans="1:51" s="139" customFormat="1" ht="11.25" hidden="1" x14ac:dyDescent="0.25">
      <c r="A1045" s="1"/>
      <c r="B1045" s="140"/>
      <c r="C1045" s="342"/>
      <c r="D1045" s="142"/>
      <c r="E1045" s="143"/>
      <c r="F1045" s="143"/>
      <c r="G1045" s="143"/>
      <c r="H1045" s="143"/>
      <c r="I1045" s="143"/>
      <c r="J1045" s="143"/>
      <c r="K1045" s="143"/>
      <c r="L1045" s="143"/>
      <c r="M1045" s="143"/>
      <c r="N1045" s="222"/>
      <c r="O1045" s="222"/>
      <c r="P1045" s="145"/>
      <c r="Q1045" s="223"/>
      <c r="R1045" s="167"/>
      <c r="S1045" s="429"/>
      <c r="T1045" s="146"/>
      <c r="U1045" s="420" t="s">
        <v>728</v>
      </c>
      <c r="V1045" s="407"/>
      <c r="W1045" s="236"/>
      <c r="X1045" s="236"/>
      <c r="Y1045" s="408"/>
      <c r="Z1045" s="409"/>
      <c r="AA1045" s="409"/>
      <c r="AB1045" s="410"/>
      <c r="AC1045" s="411">
        <f>W1045*52%</f>
        <v>0</v>
      </c>
      <c r="AD1045" s="412">
        <f>W1045*25%</f>
        <v>0</v>
      </c>
      <c r="AE1045" s="412">
        <f>W1045*9%</f>
        <v>0</v>
      </c>
      <c r="AF1045" s="412">
        <f>W1045*5%</f>
        <v>0</v>
      </c>
      <c r="AG1045" s="412">
        <f>W1045*3%</f>
        <v>0</v>
      </c>
      <c r="AH1045" s="412">
        <f>W1045*1%</f>
        <v>0</v>
      </c>
      <c r="AI1045" s="412">
        <f>W1045*2%</f>
        <v>0</v>
      </c>
      <c r="AJ1045" s="412">
        <f>W1045*1%</f>
        <v>0</v>
      </c>
      <c r="AK1045" s="412">
        <f>W1045*4%</f>
        <v>0</v>
      </c>
      <c r="AL1045" s="412">
        <f>W1045*1%</f>
        <v>0</v>
      </c>
      <c r="AM1045" s="413">
        <f>SUM(AD1045:AI1045)</f>
        <v>0</v>
      </c>
      <c r="AN1045" s="158">
        <f t="shared" si="958"/>
        <v>4000</v>
      </c>
      <c r="AO1045" s="159">
        <v>0.2</v>
      </c>
      <c r="AP1045" s="160">
        <f>AM1045*AN1045*$AP$5</f>
        <v>0</v>
      </c>
      <c r="AQ1045" s="161">
        <f>AP1045*$AQ$5</f>
        <v>0</v>
      </c>
      <c r="AR1045" s="162">
        <f>AQ1045*$AR$5</f>
        <v>0</v>
      </c>
      <c r="AS1045" s="163"/>
      <c r="AT1045" s="233"/>
      <c r="AU1045" s="187"/>
      <c r="AV1045" s="414">
        <f>AR1045/$AV$5</f>
        <v>0</v>
      </c>
      <c r="AW1045" s="415"/>
      <c r="AX1045" s="146">
        <f>SUM(AU1045:AV1045)</f>
        <v>0</v>
      </c>
      <c r="AY1045" s="168"/>
    </row>
    <row r="1046" spans="1:51" s="139" customFormat="1" ht="11.25" hidden="1" x14ac:dyDescent="0.25">
      <c r="A1046" s="1"/>
      <c r="B1046" s="140">
        <v>21</v>
      </c>
      <c r="C1046" s="343" t="s">
        <v>365</v>
      </c>
      <c r="D1046" s="142"/>
      <c r="E1046" s="143"/>
      <c r="F1046" s="143"/>
      <c r="G1046" s="143"/>
      <c r="H1046" s="143"/>
      <c r="I1046" s="143"/>
      <c r="J1046" s="143"/>
      <c r="K1046" s="143"/>
      <c r="L1046" s="143"/>
      <c r="M1046" s="143"/>
      <c r="N1046" s="222"/>
      <c r="O1046" s="222">
        <v>1055579</v>
      </c>
      <c r="P1046" s="145"/>
      <c r="Q1046" s="304">
        <f t="shared" si="959"/>
        <v>1055579</v>
      </c>
      <c r="R1046" s="147">
        <f>Q1046*$R$8</f>
        <v>173114.95600000001</v>
      </c>
      <c r="S1046" s="147">
        <f>R1046/$S$5</f>
        <v>474.28755068493155</v>
      </c>
      <c r="T1046" s="148">
        <f>S1046*$T$5*$T$8</f>
        <v>138491.96480000002</v>
      </c>
      <c r="U1046" s="420"/>
      <c r="V1046" s="407"/>
      <c r="W1046" s="236"/>
      <c r="X1046" s="236"/>
      <c r="Y1046" s="408"/>
      <c r="Z1046" s="409"/>
      <c r="AA1046" s="409"/>
      <c r="AB1046" s="410"/>
      <c r="AC1046" s="155"/>
      <c r="AD1046" s="156"/>
      <c r="AE1046" s="156"/>
      <c r="AF1046" s="156"/>
      <c r="AG1046" s="156"/>
      <c r="AH1046" s="156"/>
      <c r="AI1046" s="156"/>
      <c r="AJ1046" s="156"/>
      <c r="AK1046" s="156"/>
      <c r="AL1046" s="156"/>
      <c r="AM1046" s="157"/>
      <c r="AN1046" s="158">
        <f t="shared" si="958"/>
        <v>4000</v>
      </c>
      <c r="AO1046" s="159"/>
      <c r="AP1046" s="160"/>
      <c r="AQ1046" s="161"/>
      <c r="AR1046" s="162"/>
      <c r="AS1046" s="163"/>
      <c r="AT1046" s="164"/>
      <c r="AU1046" s="165"/>
      <c r="AV1046" s="166"/>
      <c r="AW1046" s="167"/>
      <c r="AX1046" s="146"/>
      <c r="AY1046" s="168"/>
    </row>
    <row r="1047" spans="1:51" s="139" customFormat="1" ht="11.25" hidden="1" x14ac:dyDescent="0.25">
      <c r="A1047" s="1"/>
      <c r="B1047" s="140"/>
      <c r="C1047" s="342"/>
      <c r="D1047" s="142"/>
      <c r="E1047" s="143"/>
      <c r="F1047" s="143"/>
      <c r="G1047" s="143"/>
      <c r="H1047" s="143"/>
      <c r="I1047" s="143"/>
      <c r="J1047" s="143"/>
      <c r="K1047" s="143"/>
      <c r="L1047" s="143"/>
      <c r="M1047" s="143"/>
      <c r="N1047" s="222"/>
      <c r="O1047" s="222"/>
      <c r="P1047" s="145"/>
      <c r="Q1047" s="223"/>
      <c r="R1047" s="167"/>
      <c r="S1047" s="429"/>
      <c r="T1047" s="146"/>
      <c r="U1047" s="420" t="s">
        <v>729</v>
      </c>
      <c r="V1047" s="407">
        <v>5.6</v>
      </c>
      <c r="W1047" s="236">
        <f>50*365</f>
        <v>18250</v>
      </c>
      <c r="X1047" s="236"/>
      <c r="Y1047" s="408"/>
      <c r="Z1047" s="409"/>
      <c r="AA1047" s="409"/>
      <c r="AB1047" s="410"/>
      <c r="AC1047" s="411">
        <f>W1047*52%</f>
        <v>9490</v>
      </c>
      <c r="AD1047" s="412">
        <f>W1047*25%</f>
        <v>4562.5</v>
      </c>
      <c r="AE1047" s="412">
        <f>W1047*9%</f>
        <v>1642.5</v>
      </c>
      <c r="AF1047" s="412">
        <f>W1047*5%</f>
        <v>912.5</v>
      </c>
      <c r="AG1047" s="412">
        <f>W1047*3%</f>
        <v>547.5</v>
      </c>
      <c r="AH1047" s="412">
        <f>W1047*1%</f>
        <v>182.5</v>
      </c>
      <c r="AI1047" s="412">
        <f>W1047*2%</f>
        <v>365</v>
      </c>
      <c r="AJ1047" s="412">
        <f>W1047*1%</f>
        <v>182.5</v>
      </c>
      <c r="AK1047" s="412">
        <f>W1047*4%</f>
        <v>730</v>
      </c>
      <c r="AL1047" s="412">
        <f>W1047*1%</f>
        <v>182.5</v>
      </c>
      <c r="AM1047" s="413">
        <f>SUM(AD1047:AI1047)</f>
        <v>8212.5</v>
      </c>
      <c r="AN1047" s="158">
        <f t="shared" si="958"/>
        <v>4000</v>
      </c>
      <c r="AO1047" s="159">
        <v>0.2</v>
      </c>
      <c r="AP1047" s="160">
        <f>AM1047*AN1047*$AP$5</f>
        <v>137536380</v>
      </c>
      <c r="AQ1047" s="161">
        <f>AP1047*$AQ$5</f>
        <v>38204.553056363999</v>
      </c>
      <c r="AR1047" s="162">
        <f>AQ1047*$AR$5</f>
        <v>7640.9106112728005</v>
      </c>
      <c r="AS1047" s="163"/>
      <c r="AT1047" s="233"/>
      <c r="AU1047" s="187"/>
      <c r="AV1047" s="414">
        <f>AR1047/$AV$5</f>
        <v>1.0903125872250001</v>
      </c>
      <c r="AW1047" s="415"/>
      <c r="AX1047" s="146">
        <f>SUM(AU1047:AV1047)</f>
        <v>1.0903125872250001</v>
      </c>
      <c r="AY1047" s="168"/>
    </row>
    <row r="1048" spans="1:51" s="139" customFormat="1" ht="11.25" hidden="1" x14ac:dyDescent="0.25">
      <c r="A1048" s="1"/>
      <c r="B1048" s="140">
        <v>22</v>
      </c>
      <c r="C1048" s="343" t="s">
        <v>366</v>
      </c>
      <c r="D1048" s="142"/>
      <c r="E1048" s="143"/>
      <c r="F1048" s="143"/>
      <c r="G1048" s="143"/>
      <c r="H1048" s="143"/>
      <c r="I1048" s="143"/>
      <c r="J1048" s="143"/>
      <c r="K1048" s="143"/>
      <c r="L1048" s="143"/>
      <c r="M1048" s="143"/>
      <c r="N1048" s="222"/>
      <c r="O1048" s="222">
        <v>930727</v>
      </c>
      <c r="P1048" s="145"/>
      <c r="Q1048" s="304">
        <f t="shared" si="959"/>
        <v>930727</v>
      </c>
      <c r="R1048" s="147">
        <f>Q1048*$R$9</f>
        <v>135886.14199999999</v>
      </c>
      <c r="S1048" s="147">
        <f>R1048/$S$5</f>
        <v>372.29079999999999</v>
      </c>
      <c r="T1048" s="148">
        <f>S1048*$T$5*$T$9</f>
        <v>95120.299399999989</v>
      </c>
      <c r="U1048" s="420"/>
      <c r="V1048" s="407"/>
      <c r="W1048" s="236"/>
      <c r="X1048" s="236"/>
      <c r="Y1048" s="408"/>
      <c r="Z1048" s="409"/>
      <c r="AA1048" s="409"/>
      <c r="AB1048" s="410"/>
      <c r="AC1048" s="155"/>
      <c r="AD1048" s="156"/>
      <c r="AE1048" s="156"/>
      <c r="AF1048" s="156"/>
      <c r="AG1048" s="156"/>
      <c r="AH1048" s="156"/>
      <c r="AI1048" s="156"/>
      <c r="AJ1048" s="156"/>
      <c r="AK1048" s="156"/>
      <c r="AL1048" s="156"/>
      <c r="AM1048" s="157"/>
      <c r="AN1048" s="158">
        <f t="shared" si="958"/>
        <v>4000</v>
      </c>
      <c r="AO1048" s="159"/>
      <c r="AP1048" s="160"/>
      <c r="AQ1048" s="161"/>
      <c r="AR1048" s="162"/>
      <c r="AS1048" s="163"/>
      <c r="AT1048" s="164"/>
      <c r="AU1048" s="165"/>
      <c r="AV1048" s="166"/>
      <c r="AW1048" s="167"/>
      <c r="AX1048" s="146"/>
      <c r="AY1048" s="168"/>
    </row>
    <row r="1049" spans="1:51" s="139" customFormat="1" ht="11.25" hidden="1" x14ac:dyDescent="0.25">
      <c r="A1049" s="1"/>
      <c r="B1049" s="140"/>
      <c r="C1049" s="343"/>
      <c r="D1049" s="142"/>
      <c r="E1049" s="143"/>
      <c r="F1049" s="143"/>
      <c r="G1049" s="143"/>
      <c r="H1049" s="143"/>
      <c r="I1049" s="143"/>
      <c r="J1049" s="143"/>
      <c r="K1049" s="143"/>
      <c r="L1049" s="143"/>
      <c r="M1049" s="143"/>
      <c r="N1049" s="222"/>
      <c r="O1049" s="222"/>
      <c r="P1049" s="145"/>
      <c r="Q1049" s="304"/>
      <c r="R1049" s="147"/>
      <c r="S1049" s="147"/>
      <c r="T1049" s="148"/>
      <c r="U1049" s="420" t="s">
        <v>730</v>
      </c>
      <c r="V1049" s="407">
        <v>6</v>
      </c>
      <c r="W1049" s="236">
        <f>(450*0.25)*365</f>
        <v>41062.5</v>
      </c>
      <c r="X1049" s="236"/>
      <c r="Y1049" s="408"/>
      <c r="Z1049" s="409"/>
      <c r="AA1049" s="409"/>
      <c r="AB1049" s="410"/>
      <c r="AC1049" s="411">
        <f>W1049*52%</f>
        <v>21352.5</v>
      </c>
      <c r="AD1049" s="412">
        <f>W1049*25%</f>
        <v>10265.625</v>
      </c>
      <c r="AE1049" s="412">
        <f>W1049*9%</f>
        <v>3695.625</v>
      </c>
      <c r="AF1049" s="412">
        <f>W1049*5%</f>
        <v>2053.125</v>
      </c>
      <c r="AG1049" s="412">
        <f>W1049*3%</f>
        <v>1231.875</v>
      </c>
      <c r="AH1049" s="412">
        <f>W1049*1%</f>
        <v>410.625</v>
      </c>
      <c r="AI1049" s="412">
        <f>W1049*2%</f>
        <v>821.25</v>
      </c>
      <c r="AJ1049" s="412">
        <f>W1049*1%</f>
        <v>410.625</v>
      </c>
      <c r="AK1049" s="412">
        <f>W1049*4%</f>
        <v>1642.5</v>
      </c>
      <c r="AL1049" s="412">
        <f>W1049*1%</f>
        <v>410.625</v>
      </c>
      <c r="AM1049" s="413">
        <f>SUM(AD1049:AI1049)</f>
        <v>18478.125</v>
      </c>
      <c r="AN1049" s="158">
        <f t="shared" si="958"/>
        <v>4000</v>
      </c>
      <c r="AO1049" s="159">
        <v>0.2</v>
      </c>
      <c r="AP1049" s="160">
        <f>AM1049*AN1049*$AP$5</f>
        <v>309456855</v>
      </c>
      <c r="AQ1049" s="161">
        <f>AP1049*$AQ$5</f>
        <v>85960.244376818999</v>
      </c>
      <c r="AR1049" s="162">
        <f>AQ1049*$AR$5</f>
        <v>17192.048875363802</v>
      </c>
      <c r="AS1049" s="163"/>
      <c r="AT1049" s="233"/>
      <c r="AU1049" s="187"/>
      <c r="AV1049" s="414">
        <f>AR1049/$AV$5</f>
        <v>2.4532033212562503</v>
      </c>
      <c r="AW1049" s="415"/>
      <c r="AX1049" s="146">
        <f>SUM(AU1049:AV1049)</f>
        <v>2.4532033212562503</v>
      </c>
      <c r="AY1049" s="168"/>
    </row>
    <row r="1050" spans="1:51" s="139" customFormat="1" ht="11.25" hidden="1" x14ac:dyDescent="0.25">
      <c r="A1050" s="1"/>
      <c r="B1050" s="140">
        <v>23</v>
      </c>
      <c r="C1050" s="343" t="s">
        <v>367</v>
      </c>
      <c r="D1050" s="142"/>
      <c r="E1050" s="143"/>
      <c r="F1050" s="143"/>
      <c r="G1050" s="143"/>
      <c r="H1050" s="143"/>
      <c r="I1050" s="143"/>
      <c r="J1050" s="143"/>
      <c r="K1050" s="143"/>
      <c r="L1050" s="143"/>
      <c r="M1050" s="143"/>
      <c r="N1050" s="222"/>
      <c r="O1050" s="222">
        <v>708546</v>
      </c>
      <c r="P1050" s="145"/>
      <c r="Q1050" s="304">
        <f t="shared" si="959"/>
        <v>708546</v>
      </c>
      <c r="R1050" s="147">
        <f>Q1050*$R$9</f>
        <v>103447.716</v>
      </c>
      <c r="S1050" s="147">
        <f>R1050/$S$5</f>
        <v>283.41840000000002</v>
      </c>
      <c r="T1050" s="148">
        <f>S1050*$T$5*$T$9</f>
        <v>72413.401199999993</v>
      </c>
      <c r="U1050" s="420"/>
      <c r="V1050" s="407"/>
      <c r="W1050" s="236"/>
      <c r="X1050" s="236"/>
      <c r="Y1050" s="408"/>
      <c r="Z1050" s="409"/>
      <c r="AA1050" s="409"/>
      <c r="AB1050" s="410"/>
      <c r="AC1050" s="155"/>
      <c r="AD1050" s="156"/>
      <c r="AE1050" s="156"/>
      <c r="AF1050" s="156"/>
      <c r="AG1050" s="156"/>
      <c r="AH1050" s="156"/>
      <c r="AI1050" s="156"/>
      <c r="AJ1050" s="156"/>
      <c r="AK1050" s="156"/>
      <c r="AL1050" s="156"/>
      <c r="AM1050" s="157"/>
      <c r="AN1050" s="158">
        <f t="shared" si="958"/>
        <v>4000</v>
      </c>
      <c r="AO1050" s="159"/>
      <c r="AP1050" s="160"/>
      <c r="AQ1050" s="161"/>
      <c r="AR1050" s="162"/>
      <c r="AS1050" s="163"/>
      <c r="AT1050" s="164"/>
      <c r="AU1050" s="165"/>
      <c r="AV1050" s="166"/>
      <c r="AW1050" s="167"/>
      <c r="AX1050" s="146"/>
      <c r="AY1050" s="168"/>
    </row>
    <row r="1051" spans="1:51" s="139" customFormat="1" ht="11.25" hidden="1" x14ac:dyDescent="0.25">
      <c r="A1051" s="1"/>
      <c r="B1051" s="140">
        <v>24</v>
      </c>
      <c r="C1051" s="343" t="s">
        <v>368</v>
      </c>
      <c r="D1051" s="142"/>
      <c r="E1051" s="143"/>
      <c r="F1051" s="143"/>
      <c r="G1051" s="143"/>
      <c r="H1051" s="143"/>
      <c r="I1051" s="143"/>
      <c r="J1051" s="143"/>
      <c r="K1051" s="143"/>
      <c r="L1051" s="143"/>
      <c r="M1051" s="143"/>
      <c r="N1051" s="222"/>
      <c r="O1051" s="222">
        <v>900313</v>
      </c>
      <c r="P1051" s="145"/>
      <c r="Q1051" s="304">
        <f t="shared" si="959"/>
        <v>900313</v>
      </c>
      <c r="R1051" s="147">
        <f>Q1051*$R$9</f>
        <v>131445.698</v>
      </c>
      <c r="S1051" s="147">
        <f>R1051/$S$5</f>
        <v>360.12520000000001</v>
      </c>
      <c r="T1051" s="148">
        <f>S1051*$T$5*$T$9</f>
        <v>92011.988599999997</v>
      </c>
      <c r="U1051" s="420"/>
      <c r="V1051" s="407"/>
      <c r="W1051" s="236"/>
      <c r="X1051" s="236"/>
      <c r="Y1051" s="408"/>
      <c r="Z1051" s="409"/>
      <c r="AA1051" s="409"/>
      <c r="AB1051" s="410"/>
      <c r="AC1051" s="155"/>
      <c r="AD1051" s="156"/>
      <c r="AE1051" s="156"/>
      <c r="AF1051" s="156"/>
      <c r="AG1051" s="156"/>
      <c r="AH1051" s="156"/>
      <c r="AI1051" s="156"/>
      <c r="AJ1051" s="156"/>
      <c r="AK1051" s="156"/>
      <c r="AL1051" s="156"/>
      <c r="AM1051" s="157"/>
      <c r="AN1051" s="158">
        <f t="shared" si="958"/>
        <v>4000</v>
      </c>
      <c r="AO1051" s="159"/>
      <c r="AP1051" s="160"/>
      <c r="AQ1051" s="161"/>
      <c r="AR1051" s="162"/>
      <c r="AS1051" s="163"/>
      <c r="AT1051" s="164"/>
      <c r="AU1051" s="165"/>
      <c r="AV1051" s="166"/>
      <c r="AW1051" s="167"/>
      <c r="AX1051" s="146"/>
      <c r="AY1051" s="168"/>
    </row>
    <row r="1052" spans="1:51" s="139" customFormat="1" ht="11.25" hidden="1" x14ac:dyDescent="0.25">
      <c r="A1052" s="1"/>
      <c r="B1052" s="140"/>
      <c r="C1052" s="342"/>
      <c r="D1052" s="142"/>
      <c r="E1052" s="143"/>
      <c r="F1052" s="143"/>
      <c r="G1052" s="143"/>
      <c r="H1052" s="143"/>
      <c r="I1052" s="143"/>
      <c r="J1052" s="143"/>
      <c r="K1052" s="143"/>
      <c r="L1052" s="143"/>
      <c r="M1052" s="143"/>
      <c r="N1052" s="222"/>
      <c r="O1052" s="222"/>
      <c r="P1052" s="145"/>
      <c r="Q1052" s="223"/>
      <c r="R1052" s="167"/>
      <c r="S1052" s="429"/>
      <c r="T1052" s="146"/>
      <c r="U1052" s="420" t="s">
        <v>731</v>
      </c>
      <c r="V1052" s="407">
        <v>2</v>
      </c>
      <c r="W1052" s="236">
        <f>30*365</f>
        <v>10950</v>
      </c>
      <c r="X1052" s="236"/>
      <c r="Y1052" s="408"/>
      <c r="Z1052" s="409"/>
      <c r="AA1052" s="409"/>
      <c r="AB1052" s="410"/>
      <c r="AC1052" s="411">
        <f>W1052*52%</f>
        <v>5694</v>
      </c>
      <c r="AD1052" s="412">
        <f>W1052*25%</f>
        <v>2737.5</v>
      </c>
      <c r="AE1052" s="412">
        <f>W1052*9%</f>
        <v>985.5</v>
      </c>
      <c r="AF1052" s="412">
        <f>W1052*5%</f>
        <v>547.5</v>
      </c>
      <c r="AG1052" s="412">
        <f>W1052*3%</f>
        <v>328.5</v>
      </c>
      <c r="AH1052" s="412">
        <f>W1052*1%</f>
        <v>109.5</v>
      </c>
      <c r="AI1052" s="412">
        <f>W1052*2%</f>
        <v>219</v>
      </c>
      <c r="AJ1052" s="412">
        <f>W1052*1%</f>
        <v>109.5</v>
      </c>
      <c r="AK1052" s="412">
        <f>W1052*4%</f>
        <v>438</v>
      </c>
      <c r="AL1052" s="412">
        <f>W1052*1%</f>
        <v>109.5</v>
      </c>
      <c r="AM1052" s="413">
        <f>SUM(AD1052:AI1052)</f>
        <v>4927.5</v>
      </c>
      <c r="AN1052" s="158">
        <f t="shared" si="958"/>
        <v>4000</v>
      </c>
      <c r="AO1052" s="159">
        <v>0.2</v>
      </c>
      <c r="AP1052" s="160">
        <f>AM1052*AN1052*$AP$5</f>
        <v>82521828</v>
      </c>
      <c r="AQ1052" s="161">
        <f>AP1052*$AQ$5</f>
        <v>22922.731833818401</v>
      </c>
      <c r="AR1052" s="162">
        <f>AQ1052*$AR$5</f>
        <v>4584.5463667636805</v>
      </c>
      <c r="AS1052" s="163"/>
      <c r="AT1052" s="233"/>
      <c r="AU1052" s="187"/>
      <c r="AV1052" s="414">
        <f>AR1052/$AV$5</f>
        <v>0.65418755233500003</v>
      </c>
      <c r="AW1052" s="415"/>
      <c r="AX1052" s="146">
        <f>SUM(AU1052:AV1052)</f>
        <v>0.65418755233500003</v>
      </c>
      <c r="AY1052" s="168"/>
    </row>
    <row r="1053" spans="1:51" s="139" customFormat="1" ht="11.25" hidden="1" x14ac:dyDescent="0.25">
      <c r="A1053" s="1"/>
      <c r="B1053" s="140">
        <v>25</v>
      </c>
      <c r="C1053" s="343" t="s">
        <v>369</v>
      </c>
      <c r="D1053" s="142"/>
      <c r="E1053" s="143"/>
      <c r="F1053" s="143"/>
      <c r="G1053" s="143"/>
      <c r="H1053" s="143"/>
      <c r="I1053" s="143"/>
      <c r="J1053" s="143"/>
      <c r="K1053" s="143"/>
      <c r="L1053" s="143"/>
      <c r="M1053" s="143"/>
      <c r="N1053" s="222"/>
      <c r="O1053" s="222">
        <v>706784</v>
      </c>
      <c r="P1053" s="145"/>
      <c r="Q1053" s="304">
        <f t="shared" si="959"/>
        <v>706784</v>
      </c>
      <c r="R1053" s="147">
        <f>Q1053*$R$9</f>
        <v>103190.46399999999</v>
      </c>
      <c r="S1053" s="147">
        <f>R1053/$S$5</f>
        <v>282.71359999999999</v>
      </c>
      <c r="T1053" s="148">
        <f>S1053*$T$5*$T$9</f>
        <v>72233.324799999988</v>
      </c>
      <c r="U1053" s="420"/>
      <c r="V1053" s="407"/>
      <c r="W1053" s="236"/>
      <c r="X1053" s="236"/>
      <c r="Y1053" s="408"/>
      <c r="Z1053" s="409"/>
      <c r="AA1053" s="409"/>
      <c r="AB1053" s="410"/>
      <c r="AC1053" s="155"/>
      <c r="AD1053" s="156"/>
      <c r="AE1053" s="156"/>
      <c r="AF1053" s="156"/>
      <c r="AG1053" s="156"/>
      <c r="AH1053" s="156"/>
      <c r="AI1053" s="156"/>
      <c r="AJ1053" s="156"/>
      <c r="AK1053" s="156"/>
      <c r="AL1053" s="156"/>
      <c r="AM1053" s="157"/>
      <c r="AN1053" s="158">
        <f t="shared" si="958"/>
        <v>4000</v>
      </c>
      <c r="AO1053" s="159"/>
      <c r="AP1053" s="160"/>
      <c r="AQ1053" s="161"/>
      <c r="AR1053" s="162"/>
      <c r="AS1053" s="163"/>
      <c r="AT1053" s="164"/>
      <c r="AU1053" s="165"/>
      <c r="AV1053" s="166"/>
      <c r="AW1053" s="167"/>
      <c r="AX1053" s="146"/>
      <c r="AY1053" s="168"/>
    </row>
    <row r="1054" spans="1:51" s="139" customFormat="1" ht="11.25" hidden="1" x14ac:dyDescent="0.25">
      <c r="A1054" s="1"/>
      <c r="B1054" s="140">
        <v>26</v>
      </c>
      <c r="C1054" s="343" t="s">
        <v>370</v>
      </c>
      <c r="D1054" s="142"/>
      <c r="E1054" s="143"/>
      <c r="F1054" s="143"/>
      <c r="G1054" s="143"/>
      <c r="H1054" s="143"/>
      <c r="I1054" s="143"/>
      <c r="J1054" s="143"/>
      <c r="K1054" s="143"/>
      <c r="L1054" s="143"/>
      <c r="M1054" s="143"/>
      <c r="N1054" s="222"/>
      <c r="O1054" s="222">
        <v>838621</v>
      </c>
      <c r="P1054" s="145"/>
      <c r="Q1054" s="304">
        <f t="shared" si="959"/>
        <v>838621</v>
      </c>
      <c r="R1054" s="147">
        <f>Q1054*$R$9</f>
        <v>122438.666</v>
      </c>
      <c r="S1054" s="147">
        <f>R1054/$S$5</f>
        <v>335.44839999999999</v>
      </c>
      <c r="T1054" s="148">
        <f>S1054*$T$5*$T$9</f>
        <v>85707.066199999987</v>
      </c>
      <c r="U1054" s="420"/>
      <c r="V1054" s="407"/>
      <c r="W1054" s="236"/>
      <c r="X1054" s="236"/>
      <c r="Y1054" s="408"/>
      <c r="Z1054" s="409"/>
      <c r="AA1054" s="409"/>
      <c r="AB1054" s="410"/>
      <c r="AC1054" s="155"/>
      <c r="AD1054" s="156"/>
      <c r="AE1054" s="156"/>
      <c r="AF1054" s="156"/>
      <c r="AG1054" s="156"/>
      <c r="AH1054" s="156"/>
      <c r="AI1054" s="156"/>
      <c r="AJ1054" s="156"/>
      <c r="AK1054" s="156"/>
      <c r="AL1054" s="156"/>
      <c r="AM1054" s="157"/>
      <c r="AN1054" s="158">
        <f t="shared" si="958"/>
        <v>4000</v>
      </c>
      <c r="AO1054" s="159"/>
      <c r="AP1054" s="160"/>
      <c r="AQ1054" s="161"/>
      <c r="AR1054" s="162"/>
      <c r="AS1054" s="163"/>
      <c r="AT1054" s="164"/>
      <c r="AU1054" s="165"/>
      <c r="AV1054" s="166"/>
      <c r="AW1054" s="167"/>
      <c r="AX1054" s="146"/>
      <c r="AY1054" s="168"/>
    </row>
    <row r="1055" spans="1:51" s="139" customFormat="1" ht="11.25" hidden="1" x14ac:dyDescent="0.25">
      <c r="A1055" s="1"/>
      <c r="B1055" s="140"/>
      <c r="C1055" s="342"/>
      <c r="D1055" s="142"/>
      <c r="E1055" s="143"/>
      <c r="F1055" s="143"/>
      <c r="G1055" s="143"/>
      <c r="H1055" s="143"/>
      <c r="I1055" s="143"/>
      <c r="J1055" s="143"/>
      <c r="K1055" s="143"/>
      <c r="L1055" s="143"/>
      <c r="M1055" s="143"/>
      <c r="N1055" s="222"/>
      <c r="O1055" s="222"/>
      <c r="P1055" s="145"/>
      <c r="Q1055" s="223"/>
      <c r="R1055" s="167"/>
      <c r="S1055" s="429"/>
      <c r="T1055" s="146"/>
      <c r="U1055" s="420" t="s">
        <v>732</v>
      </c>
      <c r="V1055" s="407"/>
      <c r="W1055" s="236"/>
      <c r="X1055" s="236"/>
      <c r="Y1055" s="408"/>
      <c r="Z1055" s="409"/>
      <c r="AA1055" s="409"/>
      <c r="AB1055" s="410"/>
      <c r="AC1055" s="411">
        <f>W1055*52%</f>
        <v>0</v>
      </c>
      <c r="AD1055" s="412">
        <f>W1055*25%</f>
        <v>0</v>
      </c>
      <c r="AE1055" s="412">
        <f>W1055*9%</f>
        <v>0</v>
      </c>
      <c r="AF1055" s="412">
        <f>W1055*5%</f>
        <v>0</v>
      </c>
      <c r="AG1055" s="412">
        <f>W1055*3%</f>
        <v>0</v>
      </c>
      <c r="AH1055" s="412">
        <f>W1055*1%</f>
        <v>0</v>
      </c>
      <c r="AI1055" s="412">
        <f>W1055*2%</f>
        <v>0</v>
      </c>
      <c r="AJ1055" s="412">
        <f>W1055*1%</f>
        <v>0</v>
      </c>
      <c r="AK1055" s="412">
        <f>W1055*4%</f>
        <v>0</v>
      </c>
      <c r="AL1055" s="412">
        <f>W1055*1%</f>
        <v>0</v>
      </c>
      <c r="AM1055" s="413">
        <f>SUM(AD1055:AI1055)</f>
        <v>0</v>
      </c>
      <c r="AN1055" s="158">
        <f t="shared" si="958"/>
        <v>4000</v>
      </c>
      <c r="AO1055" s="159">
        <v>0.2</v>
      </c>
      <c r="AP1055" s="160">
        <f>AM1055*AN1055*$AP$5</f>
        <v>0</v>
      </c>
      <c r="AQ1055" s="161">
        <f>AP1055*$AQ$5</f>
        <v>0</v>
      </c>
      <c r="AR1055" s="162">
        <f>AQ1055*$AR$5</f>
        <v>0</v>
      </c>
      <c r="AS1055" s="163"/>
      <c r="AT1055" s="233"/>
      <c r="AU1055" s="187"/>
      <c r="AV1055" s="414">
        <f>AR1055/$AV$5</f>
        <v>0</v>
      </c>
      <c r="AW1055" s="415"/>
      <c r="AX1055" s="146">
        <f>SUM(AU1055:AV1055)</f>
        <v>0</v>
      </c>
      <c r="AY1055" s="168"/>
    </row>
    <row r="1056" spans="1:51" s="139" customFormat="1" ht="11.25" hidden="1" x14ac:dyDescent="0.25">
      <c r="A1056" s="1"/>
      <c r="B1056" s="140">
        <v>27</v>
      </c>
      <c r="C1056" s="343" t="s">
        <v>371</v>
      </c>
      <c r="D1056" s="142"/>
      <c r="E1056" s="143"/>
      <c r="F1056" s="143"/>
      <c r="G1056" s="143"/>
      <c r="H1056" s="143"/>
      <c r="I1056" s="143"/>
      <c r="J1056" s="143"/>
      <c r="K1056" s="143"/>
      <c r="L1056" s="143"/>
      <c r="M1056" s="143"/>
      <c r="N1056" s="222"/>
      <c r="O1056" s="222">
        <v>1261353</v>
      </c>
      <c r="P1056" s="145"/>
      <c r="Q1056" s="304">
        <f t="shared" si="959"/>
        <v>1261353</v>
      </c>
      <c r="R1056" s="147">
        <f>Q1056*$R$8</f>
        <v>206861.89200000002</v>
      </c>
      <c r="S1056" s="147">
        <f>R1056/$S$5</f>
        <v>566.74490958904119</v>
      </c>
      <c r="T1056" s="148">
        <f>S1056*$T$5*$T$8</f>
        <v>165489.51360000003</v>
      </c>
      <c r="U1056" s="420"/>
      <c r="V1056" s="407"/>
      <c r="W1056" s="236"/>
      <c r="X1056" s="236"/>
      <c r="Y1056" s="408"/>
      <c r="Z1056" s="409"/>
      <c r="AA1056" s="409"/>
      <c r="AB1056" s="410"/>
      <c r="AC1056" s="155"/>
      <c r="AD1056" s="156"/>
      <c r="AE1056" s="156"/>
      <c r="AF1056" s="156"/>
      <c r="AG1056" s="156"/>
      <c r="AH1056" s="156"/>
      <c r="AI1056" s="156"/>
      <c r="AJ1056" s="156"/>
      <c r="AK1056" s="156"/>
      <c r="AL1056" s="156"/>
      <c r="AM1056" s="157"/>
      <c r="AN1056" s="158">
        <f t="shared" si="958"/>
        <v>4000</v>
      </c>
      <c r="AO1056" s="159"/>
      <c r="AP1056" s="160"/>
      <c r="AQ1056" s="161"/>
      <c r="AR1056" s="162"/>
      <c r="AS1056" s="163"/>
      <c r="AT1056" s="164"/>
      <c r="AU1056" s="165"/>
      <c r="AV1056" s="166"/>
      <c r="AW1056" s="167"/>
      <c r="AX1056" s="146"/>
      <c r="AY1056" s="168"/>
    </row>
    <row r="1057" spans="1:51" s="139" customFormat="1" ht="11.25" hidden="1" x14ac:dyDescent="0.25">
      <c r="A1057" s="1"/>
      <c r="B1057" s="140"/>
      <c r="C1057" s="342"/>
      <c r="D1057" s="142"/>
      <c r="E1057" s="143"/>
      <c r="F1057" s="143"/>
      <c r="G1057" s="143"/>
      <c r="H1057" s="143"/>
      <c r="I1057" s="143"/>
      <c r="J1057" s="143"/>
      <c r="K1057" s="143"/>
      <c r="L1057" s="143"/>
      <c r="M1057" s="143"/>
      <c r="N1057" s="222"/>
      <c r="O1057" s="222"/>
      <c r="P1057" s="145"/>
      <c r="Q1057" s="223"/>
      <c r="R1057" s="167"/>
      <c r="S1057" s="429"/>
      <c r="T1057" s="146"/>
      <c r="U1057" s="420" t="s">
        <v>733</v>
      </c>
      <c r="V1057" s="407"/>
      <c r="W1057" s="236"/>
      <c r="X1057" s="236"/>
      <c r="Y1057" s="408"/>
      <c r="Z1057" s="409"/>
      <c r="AA1057" s="409"/>
      <c r="AB1057" s="410"/>
      <c r="AC1057" s="411">
        <f>W1057*52%</f>
        <v>0</v>
      </c>
      <c r="AD1057" s="412">
        <f>W1057*25%</f>
        <v>0</v>
      </c>
      <c r="AE1057" s="412">
        <f>W1057*9%</f>
        <v>0</v>
      </c>
      <c r="AF1057" s="412">
        <f>W1057*5%</f>
        <v>0</v>
      </c>
      <c r="AG1057" s="412">
        <f>W1057*3%</f>
        <v>0</v>
      </c>
      <c r="AH1057" s="412">
        <f>W1057*1%</f>
        <v>0</v>
      </c>
      <c r="AI1057" s="412">
        <f>W1057*2%</f>
        <v>0</v>
      </c>
      <c r="AJ1057" s="412">
        <f>W1057*1%</f>
        <v>0</v>
      </c>
      <c r="AK1057" s="412">
        <f>W1057*4%</f>
        <v>0</v>
      </c>
      <c r="AL1057" s="412">
        <f>W1057*1%</f>
        <v>0</v>
      </c>
      <c r="AM1057" s="413">
        <f>SUM(AD1057:AI1057)</f>
        <v>0</v>
      </c>
      <c r="AN1057" s="158">
        <f t="shared" si="958"/>
        <v>4000</v>
      </c>
      <c r="AO1057" s="159">
        <v>0.2</v>
      </c>
      <c r="AP1057" s="160">
        <f>AM1057*AN1057*$AP$5</f>
        <v>0</v>
      </c>
      <c r="AQ1057" s="161">
        <f>AP1057*$AQ$5</f>
        <v>0</v>
      </c>
      <c r="AR1057" s="162">
        <f>AQ1057*$AR$5</f>
        <v>0</v>
      </c>
      <c r="AS1057" s="163"/>
      <c r="AT1057" s="233"/>
      <c r="AU1057" s="187"/>
      <c r="AV1057" s="414">
        <f>AR1057/$AV$5</f>
        <v>0</v>
      </c>
      <c r="AW1057" s="415"/>
      <c r="AX1057" s="146">
        <f>SUM(AU1057:AV1057)</f>
        <v>0</v>
      </c>
      <c r="AY1057" s="168"/>
    </row>
    <row r="1058" spans="1:51" s="139" customFormat="1" ht="11.25" hidden="1" x14ac:dyDescent="0.25">
      <c r="A1058" s="1"/>
      <c r="B1058" s="140">
        <v>28</v>
      </c>
      <c r="C1058" s="343" t="s">
        <v>372</v>
      </c>
      <c r="D1058" s="142"/>
      <c r="E1058" s="143"/>
      <c r="F1058" s="143"/>
      <c r="G1058" s="143"/>
      <c r="H1058" s="143"/>
      <c r="I1058" s="143"/>
      <c r="J1058" s="143"/>
      <c r="K1058" s="143"/>
      <c r="L1058" s="143"/>
      <c r="M1058" s="143"/>
      <c r="N1058" s="222"/>
      <c r="O1058" s="222">
        <v>1394839</v>
      </c>
      <c r="P1058" s="145"/>
      <c r="Q1058" s="304">
        <f t="shared" si="959"/>
        <v>1394839</v>
      </c>
      <c r="R1058" s="147">
        <f>Q1058*$R$8</f>
        <v>228753.59600000002</v>
      </c>
      <c r="S1058" s="147">
        <f>R1058/$S$5</f>
        <v>626.72218082191785</v>
      </c>
      <c r="T1058" s="148">
        <f>S1058*$T$5*$T$8</f>
        <v>183002.87680000003</v>
      </c>
      <c r="U1058" s="420"/>
      <c r="V1058" s="407"/>
      <c r="W1058" s="236"/>
      <c r="X1058" s="236"/>
      <c r="Y1058" s="408"/>
      <c r="Z1058" s="409"/>
      <c r="AA1058" s="409"/>
      <c r="AB1058" s="410"/>
      <c r="AC1058" s="155"/>
      <c r="AD1058" s="156"/>
      <c r="AE1058" s="156"/>
      <c r="AF1058" s="156"/>
      <c r="AG1058" s="156"/>
      <c r="AH1058" s="156"/>
      <c r="AI1058" s="156"/>
      <c r="AJ1058" s="156"/>
      <c r="AK1058" s="156"/>
      <c r="AL1058" s="156"/>
      <c r="AM1058" s="157"/>
      <c r="AN1058" s="158">
        <f t="shared" si="958"/>
        <v>4000</v>
      </c>
      <c r="AO1058" s="159"/>
      <c r="AP1058" s="160"/>
      <c r="AQ1058" s="161"/>
      <c r="AR1058" s="162"/>
      <c r="AS1058" s="163"/>
      <c r="AT1058" s="164"/>
      <c r="AU1058" s="165"/>
      <c r="AV1058" s="166"/>
      <c r="AW1058" s="167"/>
      <c r="AX1058" s="146"/>
      <c r="AY1058" s="168"/>
    </row>
    <row r="1059" spans="1:51" s="139" customFormat="1" ht="11.25" hidden="1" x14ac:dyDescent="0.25">
      <c r="A1059" s="1"/>
      <c r="B1059" s="140"/>
      <c r="C1059" s="342"/>
      <c r="D1059" s="142"/>
      <c r="E1059" s="143"/>
      <c r="F1059" s="143"/>
      <c r="G1059" s="143"/>
      <c r="H1059" s="143"/>
      <c r="I1059" s="143"/>
      <c r="J1059" s="143"/>
      <c r="K1059" s="143"/>
      <c r="L1059" s="143"/>
      <c r="M1059" s="143"/>
      <c r="N1059" s="222"/>
      <c r="O1059" s="222"/>
      <c r="P1059" s="145"/>
      <c r="Q1059" s="223"/>
      <c r="R1059" s="167"/>
      <c r="S1059" s="429"/>
      <c r="T1059" s="146"/>
      <c r="U1059" s="420" t="s">
        <v>734</v>
      </c>
      <c r="V1059" s="407"/>
      <c r="W1059" s="236"/>
      <c r="X1059" s="236"/>
      <c r="Y1059" s="408"/>
      <c r="Z1059" s="409"/>
      <c r="AA1059" s="409"/>
      <c r="AB1059" s="410"/>
      <c r="AC1059" s="411">
        <f>W1059*52%</f>
        <v>0</v>
      </c>
      <c r="AD1059" s="412">
        <f>W1059*25%</f>
        <v>0</v>
      </c>
      <c r="AE1059" s="412">
        <f>W1059*9%</f>
        <v>0</v>
      </c>
      <c r="AF1059" s="412">
        <f>W1059*5%</f>
        <v>0</v>
      </c>
      <c r="AG1059" s="412">
        <f>W1059*3%</f>
        <v>0</v>
      </c>
      <c r="AH1059" s="412">
        <f>W1059*1%</f>
        <v>0</v>
      </c>
      <c r="AI1059" s="412">
        <f>W1059*2%</f>
        <v>0</v>
      </c>
      <c r="AJ1059" s="412">
        <f>W1059*1%</f>
        <v>0</v>
      </c>
      <c r="AK1059" s="412">
        <f>W1059*4%</f>
        <v>0</v>
      </c>
      <c r="AL1059" s="412">
        <f>W1059*1%</f>
        <v>0</v>
      </c>
      <c r="AM1059" s="413">
        <f>SUM(AD1059:AI1059)</f>
        <v>0</v>
      </c>
      <c r="AN1059" s="158">
        <f t="shared" si="958"/>
        <v>4000</v>
      </c>
      <c r="AO1059" s="159">
        <v>0.2</v>
      </c>
      <c r="AP1059" s="160">
        <f>AM1059*AN1059*$AP$5</f>
        <v>0</v>
      </c>
      <c r="AQ1059" s="161">
        <f>AP1059*$AQ$5</f>
        <v>0</v>
      </c>
      <c r="AR1059" s="162">
        <f>AQ1059*$AR$5</f>
        <v>0</v>
      </c>
      <c r="AS1059" s="163"/>
      <c r="AT1059" s="233"/>
      <c r="AU1059" s="187"/>
      <c r="AV1059" s="414">
        <f>AR1059/$AV$5</f>
        <v>0</v>
      </c>
      <c r="AW1059" s="415"/>
      <c r="AX1059" s="146">
        <f>SUM(AU1059:AV1059)</f>
        <v>0</v>
      </c>
      <c r="AY1059" s="168"/>
    </row>
    <row r="1060" spans="1:51" s="139" customFormat="1" ht="11.25" hidden="1" x14ac:dyDescent="0.25">
      <c r="A1060" s="1"/>
      <c r="B1060" s="140">
        <v>29</v>
      </c>
      <c r="C1060" s="343" t="s">
        <v>373</v>
      </c>
      <c r="D1060" s="142"/>
      <c r="E1060" s="143"/>
      <c r="F1060" s="143"/>
      <c r="G1060" s="143"/>
      <c r="H1060" s="143"/>
      <c r="I1060" s="143"/>
      <c r="J1060" s="143"/>
      <c r="K1060" s="143"/>
      <c r="L1060" s="143"/>
      <c r="M1060" s="143"/>
      <c r="N1060" s="222"/>
      <c r="O1060" s="222">
        <v>1733869</v>
      </c>
      <c r="P1060" s="145"/>
      <c r="Q1060" s="304">
        <f t="shared" si="959"/>
        <v>1733869</v>
      </c>
      <c r="R1060" s="147">
        <f>Q1060*$R$7</f>
        <v>410926.95299999998</v>
      </c>
      <c r="S1060" s="147">
        <f>R1060/$S$5</f>
        <v>1125.8272684931505</v>
      </c>
      <c r="T1060" s="148">
        <f>S1060*$T$5*$T$7</f>
        <v>369834.25769999996</v>
      </c>
      <c r="U1060" s="420"/>
      <c r="V1060" s="407"/>
      <c r="W1060" s="236"/>
      <c r="X1060" s="236"/>
      <c r="Y1060" s="408"/>
      <c r="Z1060" s="409"/>
      <c r="AA1060" s="409"/>
      <c r="AB1060" s="410"/>
      <c r="AC1060" s="155"/>
      <c r="AD1060" s="156"/>
      <c r="AE1060" s="156"/>
      <c r="AF1060" s="156"/>
      <c r="AG1060" s="156"/>
      <c r="AH1060" s="156"/>
      <c r="AI1060" s="156"/>
      <c r="AJ1060" s="156"/>
      <c r="AK1060" s="156"/>
      <c r="AL1060" s="156"/>
      <c r="AM1060" s="157"/>
      <c r="AN1060" s="158">
        <f t="shared" si="958"/>
        <v>4000</v>
      </c>
      <c r="AO1060" s="159"/>
      <c r="AP1060" s="160"/>
      <c r="AQ1060" s="161"/>
      <c r="AR1060" s="162"/>
      <c r="AS1060" s="163"/>
      <c r="AT1060" s="164"/>
      <c r="AU1060" s="165"/>
      <c r="AV1060" s="166"/>
      <c r="AW1060" s="167"/>
      <c r="AX1060" s="146"/>
      <c r="AY1060" s="168"/>
    </row>
    <row r="1061" spans="1:51" s="139" customFormat="1" ht="11.25" hidden="1" x14ac:dyDescent="0.25">
      <c r="A1061" s="1"/>
      <c r="B1061" s="140"/>
      <c r="C1061" s="342"/>
      <c r="D1061" s="142"/>
      <c r="E1061" s="143"/>
      <c r="F1061" s="143"/>
      <c r="G1061" s="143"/>
      <c r="H1061" s="143"/>
      <c r="I1061" s="143"/>
      <c r="J1061" s="143"/>
      <c r="K1061" s="143"/>
      <c r="L1061" s="143"/>
      <c r="M1061" s="143"/>
      <c r="N1061" s="222"/>
      <c r="O1061" s="222"/>
      <c r="P1061" s="145"/>
      <c r="Q1061" s="223"/>
      <c r="R1061" s="167"/>
      <c r="S1061" s="429"/>
      <c r="T1061" s="146"/>
      <c r="U1061" s="420" t="s">
        <v>735</v>
      </c>
      <c r="V1061" s="407"/>
      <c r="W1061" s="236">
        <f>(30*0.33)*365</f>
        <v>3613.5</v>
      </c>
      <c r="X1061" s="236"/>
      <c r="Y1061" s="408"/>
      <c r="Z1061" s="409"/>
      <c r="AA1061" s="409"/>
      <c r="AB1061" s="410"/>
      <c r="AC1061" s="411">
        <f>W1061*52%</f>
        <v>1879.02</v>
      </c>
      <c r="AD1061" s="412">
        <f>W1061*25%</f>
        <v>903.375</v>
      </c>
      <c r="AE1061" s="412">
        <f>W1061*9%</f>
        <v>325.21499999999997</v>
      </c>
      <c r="AF1061" s="412">
        <f>W1061*5%</f>
        <v>180.67500000000001</v>
      </c>
      <c r="AG1061" s="412">
        <f>W1061*3%</f>
        <v>108.405</v>
      </c>
      <c r="AH1061" s="412">
        <f>W1061*1%</f>
        <v>36.134999999999998</v>
      </c>
      <c r="AI1061" s="412">
        <f>W1061*2%</f>
        <v>72.27</v>
      </c>
      <c r="AJ1061" s="412">
        <f>W1061*1%</f>
        <v>36.134999999999998</v>
      </c>
      <c r="AK1061" s="412">
        <f>W1061*4%</f>
        <v>144.54</v>
      </c>
      <c r="AL1061" s="412">
        <f>W1061*1%</f>
        <v>36.134999999999998</v>
      </c>
      <c r="AM1061" s="413">
        <f>SUM(AD1061:AI1061)</f>
        <v>1626.0749999999998</v>
      </c>
      <c r="AN1061" s="158">
        <f t="shared" si="958"/>
        <v>4000</v>
      </c>
      <c r="AO1061" s="159">
        <v>0.2</v>
      </c>
      <c r="AP1061" s="160">
        <f>AM1061*AN1061*$AP$5</f>
        <v>27232203.239999995</v>
      </c>
      <c r="AQ1061" s="161">
        <f>AP1061*$AQ$5</f>
        <v>7564.5015051600703</v>
      </c>
      <c r="AR1061" s="162">
        <f>AQ1061*$AR$5</f>
        <v>1512.9003010320141</v>
      </c>
      <c r="AS1061" s="163"/>
      <c r="AT1061" s="233"/>
      <c r="AU1061" s="187"/>
      <c r="AV1061" s="414">
        <f>AR1061/$AV$5</f>
        <v>0.21588189227054996</v>
      </c>
      <c r="AW1061" s="415"/>
      <c r="AX1061" s="146">
        <f>SUM(AU1061:AV1061)</f>
        <v>0.21588189227054996</v>
      </c>
      <c r="AY1061" s="168"/>
    </row>
    <row r="1062" spans="1:51" s="139" customFormat="1" ht="11.25" hidden="1" x14ac:dyDescent="0.25">
      <c r="A1062" s="1"/>
      <c r="B1062" s="140">
        <v>30</v>
      </c>
      <c r="C1062" s="342" t="s">
        <v>374</v>
      </c>
      <c r="D1062" s="235"/>
      <c r="E1062" s="236"/>
      <c r="F1062" s="236"/>
      <c r="G1062" s="236"/>
      <c r="H1062" s="236"/>
      <c r="I1062" s="236"/>
      <c r="J1062" s="236"/>
      <c r="K1062" s="236"/>
      <c r="L1062" s="236"/>
      <c r="M1062" s="236"/>
      <c r="N1062" s="236"/>
      <c r="O1062" s="236">
        <v>118227</v>
      </c>
      <c r="P1062" s="237"/>
      <c r="Q1062" s="223">
        <f t="shared" si="959"/>
        <v>118227</v>
      </c>
      <c r="R1062" s="147">
        <f>Q1062*$R$10</f>
        <v>13004.97</v>
      </c>
      <c r="S1062" s="147">
        <f>R1062/$S$5</f>
        <v>35.630054794520547</v>
      </c>
      <c r="T1062" s="148">
        <f>S1062*$T$5*$T$10</f>
        <v>7802.9819999999991</v>
      </c>
      <c r="U1062" s="420"/>
      <c r="V1062" s="407"/>
      <c r="W1062" s="236"/>
      <c r="X1062" s="236"/>
      <c r="Y1062" s="408"/>
      <c r="Z1062" s="409"/>
      <c r="AA1062" s="409"/>
      <c r="AB1062" s="410"/>
      <c r="AC1062" s="155"/>
      <c r="AD1062" s="156"/>
      <c r="AE1062" s="156"/>
      <c r="AF1062" s="156"/>
      <c r="AG1062" s="156"/>
      <c r="AH1062" s="156"/>
      <c r="AI1062" s="156"/>
      <c r="AJ1062" s="156"/>
      <c r="AK1062" s="156"/>
      <c r="AL1062" s="156"/>
      <c r="AM1062" s="157"/>
      <c r="AN1062" s="158">
        <f t="shared" si="958"/>
        <v>4000</v>
      </c>
      <c r="AO1062" s="159"/>
      <c r="AP1062" s="160"/>
      <c r="AQ1062" s="161"/>
      <c r="AR1062" s="162"/>
      <c r="AS1062" s="163"/>
      <c r="AT1062" s="164"/>
      <c r="AU1062" s="165"/>
      <c r="AV1062" s="166"/>
      <c r="AW1062" s="167"/>
      <c r="AX1062" s="146"/>
      <c r="AY1062" s="168"/>
    </row>
    <row r="1063" spans="1:51" s="139" customFormat="1" ht="11.25" hidden="1" x14ac:dyDescent="0.25">
      <c r="A1063" s="1"/>
      <c r="B1063" s="140">
        <v>31</v>
      </c>
      <c r="C1063" s="342" t="s">
        <v>375</v>
      </c>
      <c r="D1063" s="235"/>
      <c r="E1063" s="236"/>
      <c r="F1063" s="236"/>
      <c r="G1063" s="236"/>
      <c r="H1063" s="236"/>
      <c r="I1063" s="236"/>
      <c r="J1063" s="236"/>
      <c r="K1063" s="236"/>
      <c r="L1063" s="236"/>
      <c r="M1063" s="236"/>
      <c r="N1063" s="236"/>
      <c r="O1063" s="236">
        <v>499337</v>
      </c>
      <c r="P1063" s="237"/>
      <c r="Q1063" s="223">
        <f t="shared" si="959"/>
        <v>499337</v>
      </c>
      <c r="R1063" s="147">
        <f>Q1063*$R$10</f>
        <v>54927.07</v>
      </c>
      <c r="S1063" s="147">
        <f>R1063/$S$5</f>
        <v>150.48512328767123</v>
      </c>
      <c r="T1063" s="148">
        <f>S1063*$T$5*$T$10</f>
        <v>32956.241999999998</v>
      </c>
      <c r="U1063" s="420"/>
      <c r="V1063" s="407"/>
      <c r="W1063" s="236"/>
      <c r="X1063" s="236"/>
      <c r="Y1063" s="408"/>
      <c r="Z1063" s="409"/>
      <c r="AA1063" s="409"/>
      <c r="AB1063" s="410"/>
      <c r="AC1063" s="155"/>
      <c r="AD1063" s="156"/>
      <c r="AE1063" s="156"/>
      <c r="AF1063" s="156"/>
      <c r="AG1063" s="156"/>
      <c r="AH1063" s="156"/>
      <c r="AI1063" s="156"/>
      <c r="AJ1063" s="156"/>
      <c r="AK1063" s="156"/>
      <c r="AL1063" s="156"/>
      <c r="AM1063" s="157"/>
      <c r="AN1063" s="158">
        <f t="shared" si="958"/>
        <v>4000</v>
      </c>
      <c r="AO1063" s="159"/>
      <c r="AP1063" s="160"/>
      <c r="AQ1063" s="161"/>
      <c r="AR1063" s="162"/>
      <c r="AS1063" s="163"/>
      <c r="AT1063" s="164"/>
      <c r="AU1063" s="165"/>
      <c r="AV1063" s="166"/>
      <c r="AW1063" s="167"/>
      <c r="AX1063" s="146"/>
      <c r="AY1063" s="168"/>
    </row>
    <row r="1064" spans="1:51" s="139" customFormat="1" ht="11.25" hidden="1" x14ac:dyDescent="0.25">
      <c r="A1064" s="1"/>
      <c r="B1064" s="140"/>
      <c r="C1064" s="342"/>
      <c r="D1064" s="235"/>
      <c r="E1064" s="236"/>
      <c r="F1064" s="236"/>
      <c r="G1064" s="236"/>
      <c r="H1064" s="236"/>
      <c r="I1064" s="236"/>
      <c r="J1064" s="236"/>
      <c r="K1064" s="236"/>
      <c r="L1064" s="236"/>
      <c r="M1064" s="236"/>
      <c r="N1064" s="236"/>
      <c r="O1064" s="236"/>
      <c r="P1064" s="237"/>
      <c r="Q1064" s="223"/>
      <c r="R1064" s="167"/>
      <c r="S1064" s="429"/>
      <c r="T1064" s="146"/>
      <c r="U1064" s="420" t="s">
        <v>736</v>
      </c>
      <c r="V1064" s="407">
        <v>17</v>
      </c>
      <c r="W1064" s="236">
        <f>260*365</f>
        <v>94900</v>
      </c>
      <c r="X1064" s="236"/>
      <c r="Y1064" s="408"/>
      <c r="Z1064" s="409"/>
      <c r="AA1064" s="409"/>
      <c r="AB1064" s="410"/>
      <c r="AC1064" s="411">
        <f>W1064*52%</f>
        <v>49348</v>
      </c>
      <c r="AD1064" s="412">
        <f>W1064*25%</f>
        <v>23725</v>
      </c>
      <c r="AE1064" s="412">
        <f>W1064*9%</f>
        <v>8541</v>
      </c>
      <c r="AF1064" s="412">
        <f>W1064*5%</f>
        <v>4745</v>
      </c>
      <c r="AG1064" s="412">
        <f>W1064*3%</f>
        <v>2847</v>
      </c>
      <c r="AH1064" s="412">
        <f>W1064*1%</f>
        <v>949</v>
      </c>
      <c r="AI1064" s="412">
        <f>W1064*2%</f>
        <v>1898</v>
      </c>
      <c r="AJ1064" s="412">
        <f>W1064*1%</f>
        <v>949</v>
      </c>
      <c r="AK1064" s="412">
        <f>W1064*4%</f>
        <v>3796</v>
      </c>
      <c r="AL1064" s="412">
        <f>W1064*1%</f>
        <v>949</v>
      </c>
      <c r="AM1064" s="413">
        <f>SUM(AD1064:AI1064)</f>
        <v>42705</v>
      </c>
      <c r="AN1064" s="158">
        <f t="shared" si="958"/>
        <v>4000</v>
      </c>
      <c r="AO1064" s="159">
        <v>0.2</v>
      </c>
      <c r="AP1064" s="160">
        <f>AM1064*AN1064*$AP$5</f>
        <v>715189176</v>
      </c>
      <c r="AQ1064" s="161">
        <f>AP1064*$AQ$5</f>
        <v>198663.67589309279</v>
      </c>
      <c r="AR1064" s="162">
        <f>AQ1064*$AR$5</f>
        <v>39732.735178618561</v>
      </c>
      <c r="AS1064" s="163"/>
      <c r="AT1064" s="233"/>
      <c r="AU1064" s="187">
        <v>0.5</v>
      </c>
      <c r="AV1064" s="414">
        <f>AR1064/$AV$5</f>
        <v>5.6696254535700001</v>
      </c>
      <c r="AW1064" s="415">
        <f>AV1064</f>
        <v>5.6696254535700001</v>
      </c>
      <c r="AX1064" s="146">
        <f>SUM(AU1064:AV1064)</f>
        <v>6.1696254535700001</v>
      </c>
      <c r="AY1064" s="168"/>
    </row>
    <row r="1065" spans="1:51" s="139" customFormat="1" ht="11.25" hidden="1" x14ac:dyDescent="0.25">
      <c r="A1065" s="1"/>
      <c r="B1065" s="140">
        <v>32</v>
      </c>
      <c r="C1065" s="342" t="s">
        <v>376</v>
      </c>
      <c r="D1065" s="235"/>
      <c r="E1065" s="236"/>
      <c r="F1065" s="236"/>
      <c r="G1065" s="236"/>
      <c r="H1065" s="236"/>
      <c r="I1065" s="236"/>
      <c r="J1065" s="236"/>
      <c r="K1065" s="236"/>
      <c r="L1065" s="236"/>
      <c r="M1065" s="236"/>
      <c r="N1065" s="236"/>
      <c r="O1065" s="236">
        <v>170332</v>
      </c>
      <c r="P1065" s="237"/>
      <c r="Q1065" s="223">
        <f t="shared" si="959"/>
        <v>170332</v>
      </c>
      <c r="R1065" s="147">
        <f>Q1065*$R$10</f>
        <v>18736.52</v>
      </c>
      <c r="S1065" s="147">
        <f>R1065/$S$5</f>
        <v>51.332931506849313</v>
      </c>
      <c r="T1065" s="148">
        <f>S1065*$T$5*$T$10</f>
        <v>11241.912</v>
      </c>
      <c r="U1065" s="420"/>
      <c r="V1065" s="407"/>
      <c r="W1065" s="236"/>
      <c r="X1065" s="236"/>
      <c r="Y1065" s="408"/>
      <c r="Z1065" s="409"/>
      <c r="AA1065" s="409"/>
      <c r="AB1065" s="410"/>
      <c r="AC1065" s="155"/>
      <c r="AD1065" s="156"/>
      <c r="AE1065" s="156"/>
      <c r="AF1065" s="156"/>
      <c r="AG1065" s="156"/>
      <c r="AH1065" s="156"/>
      <c r="AI1065" s="156"/>
      <c r="AJ1065" s="156"/>
      <c r="AK1065" s="156"/>
      <c r="AL1065" s="156"/>
      <c r="AM1065" s="157"/>
      <c r="AN1065" s="158">
        <f t="shared" si="958"/>
        <v>4000</v>
      </c>
      <c r="AO1065" s="159"/>
      <c r="AP1065" s="160"/>
      <c r="AQ1065" s="161"/>
      <c r="AR1065" s="162"/>
      <c r="AS1065" s="163"/>
      <c r="AT1065" s="233"/>
      <c r="AU1065" s="187"/>
      <c r="AV1065" s="166"/>
      <c r="AW1065" s="167"/>
      <c r="AX1065" s="146"/>
      <c r="AY1065" s="168"/>
    </row>
    <row r="1066" spans="1:51" s="139" customFormat="1" ht="11.25" hidden="1" x14ac:dyDescent="0.25">
      <c r="A1066" s="1"/>
      <c r="B1066" s="140"/>
      <c r="C1066" s="342"/>
      <c r="D1066" s="235"/>
      <c r="E1066" s="236"/>
      <c r="F1066" s="236"/>
      <c r="G1066" s="236"/>
      <c r="H1066" s="236"/>
      <c r="I1066" s="236"/>
      <c r="J1066" s="236"/>
      <c r="K1066" s="236"/>
      <c r="L1066" s="236"/>
      <c r="M1066" s="236"/>
      <c r="N1066" s="236"/>
      <c r="O1066" s="236"/>
      <c r="P1066" s="237"/>
      <c r="Q1066" s="223"/>
      <c r="R1066" s="167"/>
      <c r="S1066" s="429"/>
      <c r="T1066" s="146"/>
      <c r="U1066" s="420" t="s">
        <v>737</v>
      </c>
      <c r="V1066" s="407"/>
      <c r="W1066" s="236"/>
      <c r="X1066" s="236"/>
      <c r="Y1066" s="408"/>
      <c r="Z1066" s="409"/>
      <c r="AA1066" s="409"/>
      <c r="AB1066" s="410"/>
      <c r="AC1066" s="411">
        <f>W1066*52%</f>
        <v>0</v>
      </c>
      <c r="AD1066" s="412">
        <f>W1066*25%</f>
        <v>0</v>
      </c>
      <c r="AE1066" s="412">
        <f>W1066*9%</f>
        <v>0</v>
      </c>
      <c r="AF1066" s="412">
        <f>W1066*5%</f>
        <v>0</v>
      </c>
      <c r="AG1066" s="412">
        <f>W1066*3%</f>
        <v>0</v>
      </c>
      <c r="AH1066" s="412">
        <f>W1066*1%</f>
        <v>0</v>
      </c>
      <c r="AI1066" s="412">
        <f>W1066*2%</f>
        <v>0</v>
      </c>
      <c r="AJ1066" s="412">
        <f>W1066*1%</f>
        <v>0</v>
      </c>
      <c r="AK1066" s="412">
        <f>W1066*4%</f>
        <v>0</v>
      </c>
      <c r="AL1066" s="412">
        <f>W1066*1%</f>
        <v>0</v>
      </c>
      <c r="AM1066" s="413">
        <f>SUM(AD1066:AI1066)</f>
        <v>0</v>
      </c>
      <c r="AN1066" s="158">
        <f t="shared" si="958"/>
        <v>4000</v>
      </c>
      <c r="AO1066" s="159">
        <v>0.2</v>
      </c>
      <c r="AP1066" s="160">
        <f>AM1066*AN1066*$AP$5</f>
        <v>0</v>
      </c>
      <c r="AQ1066" s="161">
        <f>AP1066*$AQ$5</f>
        <v>0</v>
      </c>
      <c r="AR1066" s="162">
        <f>AQ1066*$AR$5</f>
        <v>0</v>
      </c>
      <c r="AS1066" s="163"/>
      <c r="AT1066" s="233"/>
      <c r="AU1066" s="187"/>
      <c r="AV1066" s="414">
        <f>AR1066/$AV$5</f>
        <v>0</v>
      </c>
      <c r="AW1066" s="415"/>
      <c r="AX1066" s="146">
        <f>SUM(AU1066:AV1066)</f>
        <v>0</v>
      </c>
      <c r="AY1066" s="168"/>
    </row>
    <row r="1067" spans="1:51" s="139" customFormat="1" ht="11.25" hidden="1" x14ac:dyDescent="0.25">
      <c r="A1067" s="1"/>
      <c r="B1067" s="140">
        <v>33</v>
      </c>
      <c r="C1067" s="335" t="s">
        <v>377</v>
      </c>
      <c r="D1067" s="235"/>
      <c r="E1067" s="236"/>
      <c r="F1067" s="236"/>
      <c r="G1067" s="236"/>
      <c r="H1067" s="236"/>
      <c r="I1067" s="236"/>
      <c r="J1067" s="236"/>
      <c r="K1067" s="236"/>
      <c r="L1067" s="236"/>
      <c r="M1067" s="236"/>
      <c r="N1067" s="236"/>
      <c r="O1067" s="236">
        <v>1555984</v>
      </c>
      <c r="P1067" s="237"/>
      <c r="Q1067" s="304">
        <f t="shared" si="959"/>
        <v>1555984</v>
      </c>
      <c r="R1067" s="147">
        <f>Q1067*$R$7</f>
        <v>368768.20799999998</v>
      </c>
      <c r="S1067" s="147">
        <f>R1067/$S$5</f>
        <v>1010.3238575342465</v>
      </c>
      <c r="T1067" s="148">
        <f>S1067*$T$5*$T$7</f>
        <v>331891.3872</v>
      </c>
      <c r="U1067" s="420"/>
      <c r="V1067" s="407"/>
      <c r="W1067" s="236"/>
      <c r="X1067" s="236"/>
      <c r="Y1067" s="408"/>
      <c r="Z1067" s="409"/>
      <c r="AA1067" s="409"/>
      <c r="AB1067" s="410"/>
      <c r="AC1067" s="155"/>
      <c r="AD1067" s="156"/>
      <c r="AE1067" s="156"/>
      <c r="AF1067" s="156"/>
      <c r="AG1067" s="156"/>
      <c r="AH1067" s="156"/>
      <c r="AI1067" s="156"/>
      <c r="AJ1067" s="156"/>
      <c r="AK1067" s="156"/>
      <c r="AL1067" s="156"/>
      <c r="AM1067" s="157"/>
      <c r="AN1067" s="158">
        <f t="shared" si="958"/>
        <v>4000</v>
      </c>
      <c r="AO1067" s="159"/>
      <c r="AP1067" s="160"/>
      <c r="AQ1067" s="161"/>
      <c r="AR1067" s="162"/>
      <c r="AS1067" s="163"/>
      <c r="AT1067" s="164"/>
      <c r="AU1067" s="165"/>
      <c r="AV1067" s="166"/>
      <c r="AW1067" s="167"/>
      <c r="AX1067" s="146"/>
      <c r="AY1067" s="168"/>
    </row>
    <row r="1068" spans="1:51" s="139" customFormat="1" ht="11.25" hidden="1" x14ac:dyDescent="0.25">
      <c r="A1068" s="1"/>
      <c r="B1068" s="140"/>
      <c r="C1068" s="345"/>
      <c r="D1068" s="235"/>
      <c r="E1068" s="236"/>
      <c r="F1068" s="236"/>
      <c r="G1068" s="236"/>
      <c r="H1068" s="236"/>
      <c r="I1068" s="236"/>
      <c r="J1068" s="236"/>
      <c r="K1068" s="236"/>
      <c r="L1068" s="236"/>
      <c r="M1068" s="236"/>
      <c r="N1068" s="236"/>
      <c r="O1068" s="236"/>
      <c r="P1068" s="237"/>
      <c r="Q1068" s="223"/>
      <c r="R1068" s="167"/>
      <c r="S1068" s="429"/>
      <c r="T1068" s="146"/>
      <c r="U1068" s="420" t="s">
        <v>738</v>
      </c>
      <c r="V1068" s="407">
        <v>46</v>
      </c>
      <c r="W1068" s="236">
        <f>700*365</f>
        <v>255500</v>
      </c>
      <c r="X1068" s="236"/>
      <c r="Y1068" s="408"/>
      <c r="Z1068" s="409"/>
      <c r="AA1068" s="409"/>
      <c r="AB1068" s="410"/>
      <c r="AC1068" s="411">
        <f>W1068*52%</f>
        <v>132860</v>
      </c>
      <c r="AD1068" s="412">
        <f>W1068*25%</f>
        <v>63875</v>
      </c>
      <c r="AE1068" s="412">
        <f>W1068*9%</f>
        <v>22995</v>
      </c>
      <c r="AF1068" s="412">
        <f>W1068*5%</f>
        <v>12775</v>
      </c>
      <c r="AG1068" s="412">
        <f>W1068*3%</f>
        <v>7665</v>
      </c>
      <c r="AH1068" s="412">
        <f>W1068*1%</f>
        <v>2555</v>
      </c>
      <c r="AI1068" s="412">
        <f>W1068*2%</f>
        <v>5110</v>
      </c>
      <c r="AJ1068" s="412">
        <f>W1068*1%</f>
        <v>2555</v>
      </c>
      <c r="AK1068" s="412">
        <f>W1068*4%</f>
        <v>10220</v>
      </c>
      <c r="AL1068" s="412">
        <f>W1068*1%</f>
        <v>2555</v>
      </c>
      <c r="AM1068" s="413">
        <f>SUM(AD1068:AI1068)</f>
        <v>114975</v>
      </c>
      <c r="AN1068" s="158">
        <f t="shared" si="958"/>
        <v>4000</v>
      </c>
      <c r="AO1068" s="159">
        <v>0.2</v>
      </c>
      <c r="AP1068" s="160">
        <f>AM1068*AN1068*$AP$5</f>
        <v>1925509320</v>
      </c>
      <c r="AQ1068" s="161">
        <f>AP1068*$AQ$5</f>
        <v>534863.74278909597</v>
      </c>
      <c r="AR1068" s="162">
        <f>AQ1068*$AR$5</f>
        <v>106972.7485578192</v>
      </c>
      <c r="AS1068" s="163"/>
      <c r="AT1068" s="233"/>
      <c r="AU1068" s="187">
        <v>1.5</v>
      </c>
      <c r="AV1068" s="414">
        <f>AR1068/$AV$5</f>
        <v>15.26437622115</v>
      </c>
      <c r="AW1068" s="415">
        <f>AV1068</f>
        <v>15.26437622115</v>
      </c>
      <c r="AX1068" s="146">
        <f>SUM(AU1068:AV1068)</f>
        <v>16.764376221150002</v>
      </c>
      <c r="AY1068" s="168"/>
    </row>
    <row r="1069" spans="1:51" s="139" customFormat="1" ht="11.25" hidden="1" x14ac:dyDescent="0.25">
      <c r="A1069" s="1"/>
      <c r="B1069" s="140">
        <v>34</v>
      </c>
      <c r="C1069" s="345" t="s">
        <v>378</v>
      </c>
      <c r="D1069" s="235"/>
      <c r="E1069" s="236"/>
      <c r="F1069" s="236"/>
      <c r="G1069" s="236"/>
      <c r="H1069" s="236"/>
      <c r="I1069" s="236"/>
      <c r="J1069" s="236"/>
      <c r="K1069" s="236"/>
      <c r="L1069" s="236"/>
      <c r="M1069" s="236"/>
      <c r="N1069" s="236"/>
      <c r="O1069" s="236">
        <v>281434</v>
      </c>
      <c r="P1069" s="237"/>
      <c r="Q1069" s="223">
        <f t="shared" si="959"/>
        <v>281434</v>
      </c>
      <c r="R1069" s="147">
        <f>Q1069*$R$10</f>
        <v>30957.74</v>
      </c>
      <c r="S1069" s="147">
        <f>R1069/$S$5</f>
        <v>84.815726027397261</v>
      </c>
      <c r="T1069" s="148">
        <f>S1069*$T$5*$T$10</f>
        <v>18574.644</v>
      </c>
      <c r="U1069" s="420"/>
      <c r="V1069" s="407"/>
      <c r="W1069" s="236"/>
      <c r="X1069" s="236"/>
      <c r="Y1069" s="408"/>
      <c r="Z1069" s="409"/>
      <c r="AA1069" s="409"/>
      <c r="AB1069" s="410"/>
      <c r="AC1069" s="155"/>
      <c r="AD1069" s="156"/>
      <c r="AE1069" s="156"/>
      <c r="AF1069" s="156"/>
      <c r="AG1069" s="156"/>
      <c r="AH1069" s="156"/>
      <c r="AI1069" s="156"/>
      <c r="AJ1069" s="156"/>
      <c r="AK1069" s="156"/>
      <c r="AL1069" s="156"/>
      <c r="AM1069" s="157"/>
      <c r="AN1069" s="158">
        <f t="shared" si="958"/>
        <v>4000</v>
      </c>
      <c r="AO1069" s="159"/>
      <c r="AP1069" s="160"/>
      <c r="AQ1069" s="161"/>
      <c r="AR1069" s="162"/>
      <c r="AS1069" s="163"/>
      <c r="AT1069" s="164"/>
      <c r="AU1069" s="165"/>
      <c r="AV1069" s="166"/>
      <c r="AW1069" s="167"/>
      <c r="AX1069" s="146"/>
      <c r="AY1069" s="168"/>
    </row>
    <row r="1070" spans="1:51" s="139" customFormat="1" ht="11.25" hidden="1" x14ac:dyDescent="0.25">
      <c r="A1070" s="1"/>
      <c r="B1070" s="140">
        <v>35</v>
      </c>
      <c r="C1070" s="345" t="s">
        <v>379</v>
      </c>
      <c r="D1070" s="235"/>
      <c r="E1070" s="236"/>
      <c r="F1070" s="236"/>
      <c r="G1070" s="236"/>
      <c r="H1070" s="236"/>
      <c r="I1070" s="236"/>
      <c r="J1070" s="236"/>
      <c r="K1070" s="236"/>
      <c r="L1070" s="236"/>
      <c r="M1070" s="236"/>
      <c r="N1070" s="236"/>
      <c r="O1070" s="236">
        <v>239599</v>
      </c>
      <c r="P1070" s="237"/>
      <c r="Q1070" s="223">
        <f t="shared" si="959"/>
        <v>239599</v>
      </c>
      <c r="R1070" s="147">
        <f>Q1070*$R$10</f>
        <v>26355.89</v>
      </c>
      <c r="S1070" s="147">
        <f>R1070/$S$5</f>
        <v>72.207917808219179</v>
      </c>
      <c r="T1070" s="148">
        <f>S1070*$T$5*$T$10</f>
        <v>15813.534</v>
      </c>
      <c r="U1070" s="420"/>
      <c r="V1070" s="407"/>
      <c r="W1070" s="236"/>
      <c r="X1070" s="236"/>
      <c r="Y1070" s="408"/>
      <c r="Z1070" s="409"/>
      <c r="AA1070" s="409"/>
      <c r="AB1070" s="410"/>
      <c r="AC1070" s="155"/>
      <c r="AD1070" s="156"/>
      <c r="AE1070" s="156"/>
      <c r="AF1070" s="156"/>
      <c r="AG1070" s="156"/>
      <c r="AH1070" s="156"/>
      <c r="AI1070" s="156"/>
      <c r="AJ1070" s="156"/>
      <c r="AK1070" s="156"/>
      <c r="AL1070" s="156"/>
      <c r="AM1070" s="157"/>
      <c r="AN1070" s="158">
        <f t="shared" si="958"/>
        <v>4000</v>
      </c>
      <c r="AO1070" s="159"/>
      <c r="AP1070" s="160"/>
      <c r="AQ1070" s="161"/>
      <c r="AR1070" s="162"/>
      <c r="AS1070" s="163"/>
      <c r="AT1070" s="164"/>
      <c r="AU1070" s="165"/>
      <c r="AV1070" s="166"/>
      <c r="AW1070" s="167"/>
      <c r="AX1070" s="167"/>
      <c r="AY1070" s="168"/>
    </row>
    <row r="1071" spans="1:51" s="190" customFormat="1" ht="16.7" hidden="1" customHeight="1" x14ac:dyDescent="0.25">
      <c r="A1071" s="173"/>
      <c r="B1071" s="120"/>
      <c r="C1071" s="121" t="s">
        <v>380</v>
      </c>
      <c r="D1071" s="240">
        <f t="shared" ref="D1071:AX1071" si="960">SUM(D1008:D1070)</f>
        <v>0</v>
      </c>
      <c r="E1071" s="240">
        <f t="shared" si="960"/>
        <v>0</v>
      </c>
      <c r="F1071" s="240">
        <f t="shared" si="960"/>
        <v>0</v>
      </c>
      <c r="G1071" s="240">
        <f t="shared" si="960"/>
        <v>0</v>
      </c>
      <c r="H1071" s="240">
        <f t="shared" si="960"/>
        <v>0</v>
      </c>
      <c r="I1071" s="240">
        <f t="shared" si="960"/>
        <v>0</v>
      </c>
      <c r="J1071" s="240">
        <f t="shared" si="960"/>
        <v>0</v>
      </c>
      <c r="K1071" s="240">
        <f t="shared" si="960"/>
        <v>0</v>
      </c>
      <c r="L1071" s="240">
        <f t="shared" si="960"/>
        <v>0</v>
      </c>
      <c r="M1071" s="240">
        <f t="shared" si="960"/>
        <v>0</v>
      </c>
      <c r="N1071" s="240">
        <f t="shared" si="960"/>
        <v>0</v>
      </c>
      <c r="O1071" s="240">
        <f t="shared" si="960"/>
        <v>32382677</v>
      </c>
      <c r="P1071" s="240">
        <f t="shared" si="960"/>
        <v>0</v>
      </c>
      <c r="Q1071" s="240">
        <f t="shared" si="960"/>
        <v>32382677</v>
      </c>
      <c r="R1071" s="240">
        <f t="shared" si="960"/>
        <v>5465067.5629999992</v>
      </c>
      <c r="S1071" s="240">
        <f t="shared" si="960"/>
        <v>14972.787843835617</v>
      </c>
      <c r="T1071" s="240">
        <f t="shared" si="960"/>
        <v>4295407.7093000002</v>
      </c>
      <c r="U1071" s="424">
        <f t="shared" si="960"/>
        <v>0</v>
      </c>
      <c r="V1071" s="424">
        <f t="shared" si="960"/>
        <v>102.30000000000001</v>
      </c>
      <c r="W1071" s="424">
        <f t="shared" si="960"/>
        <v>800752.3</v>
      </c>
      <c r="X1071" s="424">
        <f t="shared" si="960"/>
        <v>0</v>
      </c>
      <c r="Y1071" s="424">
        <f t="shared" si="960"/>
        <v>0</v>
      </c>
      <c r="Z1071" s="424">
        <f t="shared" si="960"/>
        <v>0</v>
      </c>
      <c r="AA1071" s="424">
        <f t="shared" si="960"/>
        <v>0</v>
      </c>
      <c r="AB1071" s="424">
        <f t="shared" si="960"/>
        <v>0</v>
      </c>
      <c r="AC1071" s="424">
        <f t="shared" si="960"/>
        <v>416391.196</v>
      </c>
      <c r="AD1071" s="424">
        <f t="shared" si="960"/>
        <v>200188.07500000001</v>
      </c>
      <c r="AE1071" s="424">
        <f t="shared" si="960"/>
        <v>72067.706999999995</v>
      </c>
      <c r="AF1071" s="424">
        <f t="shared" si="960"/>
        <v>40037.614999999998</v>
      </c>
      <c r="AG1071" s="424">
        <f t="shared" si="960"/>
        <v>24022.569000000003</v>
      </c>
      <c r="AH1071" s="424">
        <f t="shared" si="960"/>
        <v>8007.5230000000001</v>
      </c>
      <c r="AI1071" s="424">
        <f t="shared" si="960"/>
        <v>16015.046</v>
      </c>
      <c r="AJ1071" s="424">
        <f t="shared" si="960"/>
        <v>8007.5230000000001</v>
      </c>
      <c r="AK1071" s="424">
        <f t="shared" si="960"/>
        <v>32030.092000000001</v>
      </c>
      <c r="AL1071" s="424">
        <f t="shared" si="960"/>
        <v>8007.5230000000001</v>
      </c>
      <c r="AM1071" s="424">
        <f t="shared" si="960"/>
        <v>360338.53500000003</v>
      </c>
      <c r="AN1071" s="424"/>
      <c r="AO1071" s="424"/>
      <c r="AP1071" s="424">
        <f t="shared" si="960"/>
        <v>6034661513.3519993</v>
      </c>
      <c r="AQ1071" s="424">
        <f t="shared" si="960"/>
        <v>1676294.998923589</v>
      </c>
      <c r="AR1071" s="424">
        <f t="shared" si="960"/>
        <v>335258.9997847178</v>
      </c>
      <c r="AS1071" s="424">
        <f t="shared" si="960"/>
        <v>0</v>
      </c>
      <c r="AT1071" s="424">
        <f t="shared" si="960"/>
        <v>0</v>
      </c>
      <c r="AU1071" s="424">
        <f t="shared" si="960"/>
        <v>2.5</v>
      </c>
      <c r="AV1071" s="424">
        <f t="shared" si="960"/>
        <v>47.839469147362706</v>
      </c>
      <c r="AW1071" s="424">
        <f t="shared" si="960"/>
        <v>28.566189785295002</v>
      </c>
      <c r="AX1071" s="424">
        <f t="shared" si="960"/>
        <v>50.339469147362706</v>
      </c>
      <c r="AY1071" s="189"/>
    </row>
    <row r="1072" spans="1:51" hidden="1" x14ac:dyDescent="0.25"/>
    <row r="1073" spans="1:51" s="139" customFormat="1" ht="15" hidden="1" customHeight="1" x14ac:dyDescent="0.25">
      <c r="A1073" s="1"/>
      <c r="B1073" s="120"/>
      <c r="C1073" s="121" t="s">
        <v>381</v>
      </c>
      <c r="D1073" s="122"/>
      <c r="E1073" s="123"/>
      <c r="F1073" s="123"/>
      <c r="G1073" s="123"/>
      <c r="H1073" s="123"/>
      <c r="I1073" s="123"/>
      <c r="J1073" s="123"/>
      <c r="K1073" s="123"/>
      <c r="L1073" s="123"/>
      <c r="M1073" s="123"/>
      <c r="N1073" s="123"/>
      <c r="O1073" s="123"/>
      <c r="P1073" s="213"/>
      <c r="Q1073" s="76"/>
      <c r="R1073" s="108"/>
      <c r="S1073" s="108"/>
      <c r="T1073" s="94"/>
      <c r="U1073" s="120"/>
      <c r="V1073" s="67"/>
      <c r="W1073" s="123"/>
      <c r="X1073" s="123"/>
      <c r="Y1073" s="125"/>
      <c r="Z1073" s="126"/>
      <c r="AA1073" s="126"/>
      <c r="AB1073" s="127"/>
      <c r="AC1073" s="62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125"/>
      <c r="AN1073" s="75"/>
      <c r="AO1073" s="216"/>
      <c r="AP1073" s="75"/>
      <c r="AQ1073" s="51"/>
      <c r="AR1073" s="217"/>
      <c r="AS1073" s="218"/>
      <c r="AT1073" s="219"/>
      <c r="AU1073" s="220"/>
      <c r="AV1073" s="135"/>
      <c r="AW1073" s="136"/>
      <c r="AX1073" s="137"/>
      <c r="AY1073" s="138"/>
    </row>
    <row r="1074" spans="1:51" s="139" customFormat="1" ht="11.25" hidden="1" x14ac:dyDescent="0.25">
      <c r="A1074" s="1"/>
      <c r="B1074" s="140">
        <v>1</v>
      </c>
      <c r="C1074" s="63" t="s">
        <v>382</v>
      </c>
      <c r="D1074" s="142"/>
      <c r="E1074" s="143"/>
      <c r="F1074" s="143"/>
      <c r="G1074" s="143"/>
      <c r="H1074" s="143"/>
      <c r="I1074" s="143"/>
      <c r="J1074" s="143"/>
      <c r="K1074" s="143"/>
      <c r="L1074" s="143"/>
      <c r="M1074" s="143"/>
      <c r="N1074" s="222">
        <v>388755</v>
      </c>
      <c r="O1074" s="222">
        <v>468992</v>
      </c>
      <c r="P1074" s="145"/>
      <c r="Q1074" s="223">
        <f>MAX(D1074:P1074)</f>
        <v>468992</v>
      </c>
      <c r="R1074" s="147">
        <f>Q1074*$R$10</f>
        <v>51589.120000000003</v>
      </c>
      <c r="S1074" s="147">
        <f>R1074/$S$5</f>
        <v>141.34005479452057</v>
      </c>
      <c r="T1074" s="148">
        <f>S1074*$T$5*$T$10</f>
        <v>30953.472000000005</v>
      </c>
      <c r="U1074" s="420"/>
      <c r="V1074" s="407"/>
      <c r="W1074" s="236"/>
      <c r="X1074" s="236"/>
      <c r="Y1074" s="408"/>
      <c r="Z1074" s="409"/>
      <c r="AA1074" s="409"/>
      <c r="AB1074" s="410"/>
      <c r="AC1074" s="155"/>
      <c r="AD1074" s="156"/>
      <c r="AE1074" s="156"/>
      <c r="AF1074" s="156"/>
      <c r="AG1074" s="156"/>
      <c r="AH1074" s="156"/>
      <c r="AI1074" s="156"/>
      <c r="AJ1074" s="156"/>
      <c r="AK1074" s="156"/>
      <c r="AL1074" s="156"/>
      <c r="AM1074" s="157"/>
      <c r="AN1074" s="158">
        <f t="shared" ref="AN1074:AN1081" si="961">$AN$641</f>
        <v>4000</v>
      </c>
      <c r="AO1074" s="159"/>
      <c r="AP1074" s="160"/>
      <c r="AQ1074" s="161"/>
      <c r="AR1074" s="162"/>
      <c r="AS1074" s="163"/>
      <c r="AT1074" s="164"/>
      <c r="AU1074" s="165"/>
      <c r="AV1074" s="166"/>
      <c r="AW1074" s="167"/>
      <c r="AX1074" s="146"/>
      <c r="AY1074" s="168"/>
    </row>
    <row r="1075" spans="1:51" s="139" customFormat="1" ht="11.25" hidden="1" x14ac:dyDescent="0.25">
      <c r="A1075" s="1"/>
      <c r="B1075" s="140"/>
      <c r="C1075" s="63"/>
      <c r="D1075" s="142"/>
      <c r="E1075" s="143"/>
      <c r="F1075" s="143"/>
      <c r="G1075" s="143"/>
      <c r="H1075" s="143"/>
      <c r="I1075" s="143"/>
      <c r="J1075" s="143"/>
      <c r="K1075" s="143"/>
      <c r="L1075" s="143"/>
      <c r="M1075" s="143"/>
      <c r="N1075" s="222"/>
      <c r="O1075" s="222"/>
      <c r="P1075" s="145"/>
      <c r="Q1075" s="223"/>
      <c r="R1075" s="167"/>
      <c r="S1075" s="429"/>
      <c r="T1075" s="146"/>
      <c r="U1075" s="420" t="s">
        <v>739</v>
      </c>
      <c r="V1075" s="407"/>
      <c r="W1075" s="236">
        <f>(60*0.33)*465</f>
        <v>9207</v>
      </c>
      <c r="X1075" s="236"/>
      <c r="Y1075" s="408"/>
      <c r="Z1075" s="409"/>
      <c r="AA1075" s="409"/>
      <c r="AB1075" s="410"/>
      <c r="AC1075" s="411">
        <f>W1075*52%</f>
        <v>4787.6400000000003</v>
      </c>
      <c r="AD1075" s="412">
        <f>W1075*25%</f>
        <v>2301.75</v>
      </c>
      <c r="AE1075" s="412">
        <f>W1075*9%</f>
        <v>828.63</v>
      </c>
      <c r="AF1075" s="412">
        <f>W1075*5%</f>
        <v>460.35</v>
      </c>
      <c r="AG1075" s="412">
        <f>W1075*3%</f>
        <v>276.20999999999998</v>
      </c>
      <c r="AH1075" s="412">
        <f>W1075*1%</f>
        <v>92.070000000000007</v>
      </c>
      <c r="AI1075" s="412">
        <f>W1075*2%</f>
        <v>184.14000000000001</v>
      </c>
      <c r="AJ1075" s="412">
        <f>W1075*1%</f>
        <v>92.070000000000007</v>
      </c>
      <c r="AK1075" s="412">
        <f>W1075*4%</f>
        <v>368.28000000000003</v>
      </c>
      <c r="AL1075" s="412">
        <f>W1075*1%</f>
        <v>92.070000000000007</v>
      </c>
      <c r="AM1075" s="413">
        <f>SUM(AD1075:AI1075)</f>
        <v>4143.1500000000005</v>
      </c>
      <c r="AN1075" s="158">
        <f t="shared" si="961"/>
        <v>4000</v>
      </c>
      <c r="AO1075" s="159">
        <v>0.2</v>
      </c>
      <c r="AP1075" s="160">
        <f>AM1075*AN1075*$AP$5</f>
        <v>69386161.680000007</v>
      </c>
      <c r="AQ1075" s="161">
        <f>AP1075*$AQ$5</f>
        <v>19273.935341914705</v>
      </c>
      <c r="AR1075" s="162">
        <f>AQ1075*$AR$5</f>
        <v>3854.787068382941</v>
      </c>
      <c r="AS1075" s="163"/>
      <c r="AT1075" s="233"/>
      <c r="AU1075" s="187"/>
      <c r="AV1075" s="414">
        <f>AR1075/$AV$5</f>
        <v>0.55005523236057952</v>
      </c>
      <c r="AW1075" s="415"/>
      <c r="AX1075" s="146">
        <f>SUM(AU1075:AV1075)</f>
        <v>0.55005523236057952</v>
      </c>
      <c r="AY1075" s="168"/>
    </row>
    <row r="1076" spans="1:51" s="139" customFormat="1" ht="11.25" hidden="1" x14ac:dyDescent="0.25">
      <c r="A1076" s="1"/>
      <c r="B1076" s="140">
        <v>2</v>
      </c>
      <c r="C1076" s="258" t="s">
        <v>383</v>
      </c>
      <c r="D1076" s="142"/>
      <c r="E1076" s="143"/>
      <c r="F1076" s="143"/>
      <c r="G1076" s="143"/>
      <c r="H1076" s="143"/>
      <c r="I1076" s="143"/>
      <c r="J1076" s="143"/>
      <c r="K1076" s="143"/>
      <c r="L1076" s="143"/>
      <c r="M1076" s="143"/>
      <c r="N1076" s="222">
        <v>910572</v>
      </c>
      <c r="O1076" s="222">
        <v>1038310</v>
      </c>
      <c r="P1076" s="145"/>
      <c r="Q1076" s="304">
        <f>MAX(D1076:P1076)</f>
        <v>1038310</v>
      </c>
      <c r="R1076" s="147">
        <f>Q1076*$R$8</f>
        <v>170282.84</v>
      </c>
      <c r="S1076" s="147">
        <f>R1076/$S$5</f>
        <v>466.5283287671233</v>
      </c>
      <c r="T1076" s="148">
        <f>S1076*$T$5*$T$8</f>
        <v>136226.272</v>
      </c>
      <c r="U1076" s="420"/>
      <c r="V1076" s="407"/>
      <c r="W1076" s="236"/>
      <c r="X1076" s="236"/>
      <c r="Y1076" s="408"/>
      <c r="Z1076" s="409"/>
      <c r="AA1076" s="409"/>
      <c r="AB1076" s="410"/>
      <c r="AC1076" s="155"/>
      <c r="AD1076" s="156"/>
      <c r="AE1076" s="156"/>
      <c r="AF1076" s="156"/>
      <c r="AG1076" s="156"/>
      <c r="AH1076" s="156"/>
      <c r="AI1076" s="156"/>
      <c r="AJ1076" s="156"/>
      <c r="AK1076" s="156"/>
      <c r="AL1076" s="156"/>
      <c r="AM1076" s="157"/>
      <c r="AN1076" s="158">
        <f t="shared" si="961"/>
        <v>4000</v>
      </c>
      <c r="AO1076" s="159"/>
      <c r="AP1076" s="160"/>
      <c r="AQ1076" s="161"/>
      <c r="AR1076" s="162"/>
      <c r="AS1076" s="163"/>
      <c r="AT1076" s="164"/>
      <c r="AU1076" s="165"/>
      <c r="AV1076" s="166"/>
      <c r="AW1076" s="167"/>
      <c r="AX1076" s="146"/>
      <c r="AY1076" s="168"/>
    </row>
    <row r="1077" spans="1:51" s="139" customFormat="1" ht="11.25" hidden="1" x14ac:dyDescent="0.25">
      <c r="A1077" s="1"/>
      <c r="B1077" s="140"/>
      <c r="C1077" s="63"/>
      <c r="D1077" s="142"/>
      <c r="E1077" s="143"/>
      <c r="F1077" s="143"/>
      <c r="G1077" s="143"/>
      <c r="H1077" s="143"/>
      <c r="I1077" s="143"/>
      <c r="J1077" s="143"/>
      <c r="K1077" s="143"/>
      <c r="L1077" s="143"/>
      <c r="M1077" s="143"/>
      <c r="N1077" s="222"/>
      <c r="O1077" s="222"/>
      <c r="P1077" s="145"/>
      <c r="Q1077" s="223"/>
      <c r="R1077" s="167"/>
      <c r="S1077" s="429"/>
      <c r="T1077" s="146"/>
      <c r="U1077" s="420" t="s">
        <v>740</v>
      </c>
      <c r="V1077" s="407">
        <v>9.1999999999999993</v>
      </c>
      <c r="W1077" s="236">
        <f>500*365</f>
        <v>182500</v>
      </c>
      <c r="X1077" s="236"/>
      <c r="Y1077" s="408"/>
      <c r="Z1077" s="409"/>
      <c r="AA1077" s="409"/>
      <c r="AB1077" s="410"/>
      <c r="AC1077" s="411">
        <f>W1077*52%</f>
        <v>94900</v>
      </c>
      <c r="AD1077" s="412">
        <f>W1077*25%</f>
        <v>45625</v>
      </c>
      <c r="AE1077" s="412">
        <f>W1077*9%</f>
        <v>16425</v>
      </c>
      <c r="AF1077" s="412">
        <f>W1077*5%</f>
        <v>9125</v>
      </c>
      <c r="AG1077" s="412">
        <f>W1077*3%</f>
        <v>5475</v>
      </c>
      <c r="AH1077" s="412">
        <f>W1077*1%</f>
        <v>1825</v>
      </c>
      <c r="AI1077" s="412">
        <f>W1077*2%</f>
        <v>3650</v>
      </c>
      <c r="AJ1077" s="412">
        <f>W1077*1%</f>
        <v>1825</v>
      </c>
      <c r="AK1077" s="412">
        <f>W1077*4%</f>
        <v>7300</v>
      </c>
      <c r="AL1077" s="412">
        <f>W1077*1%</f>
        <v>1825</v>
      </c>
      <c r="AM1077" s="413">
        <f>SUM(AD1077:AI1077)</f>
        <v>82125</v>
      </c>
      <c r="AN1077" s="158">
        <f t="shared" si="961"/>
        <v>4000</v>
      </c>
      <c r="AO1077" s="159">
        <v>0.2</v>
      </c>
      <c r="AP1077" s="160">
        <f>AM1077*AN1077*$AP$5</f>
        <v>1375363800</v>
      </c>
      <c r="AQ1077" s="161">
        <f>AP1077*$AQ$5</f>
        <v>382045.53056364</v>
      </c>
      <c r="AR1077" s="162">
        <f>AQ1077*$AR$5</f>
        <v>76409.106112727997</v>
      </c>
      <c r="AS1077" s="163"/>
      <c r="AT1077" s="233"/>
      <c r="AU1077" s="187">
        <v>1</v>
      </c>
      <c r="AV1077" s="414">
        <f>AR1077/$AV$5</f>
        <v>10.90312587225</v>
      </c>
      <c r="AW1077" s="415">
        <f>AV1077</f>
        <v>10.90312587225</v>
      </c>
      <c r="AX1077" s="146">
        <f>SUM(AU1077:AV1077)</f>
        <v>11.90312587225</v>
      </c>
      <c r="AY1077" s="168"/>
    </row>
    <row r="1078" spans="1:51" s="139" customFormat="1" ht="11.25" hidden="1" x14ac:dyDescent="0.25">
      <c r="A1078" s="1"/>
      <c r="B1078" s="140">
        <v>3</v>
      </c>
      <c r="C1078" s="258" t="s">
        <v>384</v>
      </c>
      <c r="D1078" s="142"/>
      <c r="E1078" s="143"/>
      <c r="F1078" s="143"/>
      <c r="G1078" s="143"/>
      <c r="H1078" s="143"/>
      <c r="I1078" s="143"/>
      <c r="J1078" s="143"/>
      <c r="K1078" s="143"/>
      <c r="L1078" s="143"/>
      <c r="M1078" s="143"/>
      <c r="N1078" s="222">
        <v>1090567</v>
      </c>
      <c r="O1078" s="222">
        <v>1119271</v>
      </c>
      <c r="P1078" s="145"/>
      <c r="Q1078" s="304">
        <f>MAX(D1078:P1078)</f>
        <v>1119271</v>
      </c>
      <c r="R1078" s="147">
        <f>Q1078*$R$8</f>
        <v>183560.44400000002</v>
      </c>
      <c r="S1078" s="147">
        <f>R1078/$S$5</f>
        <v>502.90532602739734</v>
      </c>
      <c r="T1078" s="148">
        <f>S1078*$T$5*$T$8</f>
        <v>146848.35520000002</v>
      </c>
      <c r="U1078" s="420"/>
      <c r="V1078" s="407"/>
      <c r="W1078" s="236"/>
      <c r="X1078" s="236"/>
      <c r="Y1078" s="408"/>
      <c r="Z1078" s="409"/>
      <c r="AA1078" s="409"/>
      <c r="AB1078" s="410"/>
      <c r="AC1078" s="155"/>
      <c r="AD1078" s="156"/>
      <c r="AE1078" s="156"/>
      <c r="AF1078" s="156"/>
      <c r="AG1078" s="156"/>
      <c r="AH1078" s="156"/>
      <c r="AI1078" s="156"/>
      <c r="AJ1078" s="156"/>
      <c r="AK1078" s="156"/>
      <c r="AL1078" s="156"/>
      <c r="AM1078" s="157"/>
      <c r="AN1078" s="158">
        <f t="shared" si="961"/>
        <v>4000</v>
      </c>
      <c r="AO1078" s="159"/>
      <c r="AP1078" s="160"/>
      <c r="AQ1078" s="161"/>
      <c r="AR1078" s="162"/>
      <c r="AS1078" s="163"/>
      <c r="AT1078" s="164"/>
      <c r="AU1078" s="165"/>
      <c r="AV1078" s="166"/>
      <c r="AW1078" s="167"/>
      <c r="AX1078" s="146"/>
      <c r="AY1078" s="168"/>
    </row>
    <row r="1079" spans="1:51" s="139" customFormat="1" ht="11.25" hidden="1" x14ac:dyDescent="0.25">
      <c r="A1079" s="1"/>
      <c r="B1079" s="140">
        <v>4</v>
      </c>
      <c r="C1079" s="258" t="s">
        <v>385</v>
      </c>
      <c r="D1079" s="142"/>
      <c r="E1079" s="143"/>
      <c r="F1079" s="143"/>
      <c r="G1079" s="143"/>
      <c r="H1079" s="143"/>
      <c r="I1079" s="143"/>
      <c r="J1079" s="143"/>
      <c r="K1079" s="143"/>
      <c r="L1079" s="143"/>
      <c r="M1079" s="143"/>
      <c r="N1079" s="222">
        <v>674408</v>
      </c>
      <c r="O1079" s="222">
        <v>735020</v>
      </c>
      <c r="P1079" s="145"/>
      <c r="Q1079" s="304">
        <f>MAX(D1079:P1079)</f>
        <v>735020</v>
      </c>
      <c r="R1079" s="147">
        <f>Q1079*$R$9</f>
        <v>107312.92</v>
      </c>
      <c r="S1079" s="147">
        <f>R1079/$S$5</f>
        <v>294.00799999999998</v>
      </c>
      <c r="T1079" s="148">
        <f>S1079*$T$5*$T$9</f>
        <v>75119.043999999994</v>
      </c>
      <c r="U1079" s="420"/>
      <c r="V1079" s="407"/>
      <c r="W1079" s="236"/>
      <c r="X1079" s="236"/>
      <c r="Y1079" s="408"/>
      <c r="Z1079" s="409"/>
      <c r="AA1079" s="409"/>
      <c r="AB1079" s="410"/>
      <c r="AC1079" s="155"/>
      <c r="AD1079" s="156"/>
      <c r="AE1079" s="156"/>
      <c r="AF1079" s="156"/>
      <c r="AG1079" s="156"/>
      <c r="AH1079" s="156"/>
      <c r="AI1079" s="156"/>
      <c r="AJ1079" s="156"/>
      <c r="AK1079" s="156"/>
      <c r="AL1079" s="156"/>
      <c r="AM1079" s="157"/>
      <c r="AN1079" s="158">
        <f t="shared" si="961"/>
        <v>4000</v>
      </c>
      <c r="AO1079" s="159"/>
      <c r="AP1079" s="160"/>
      <c r="AQ1079" s="161"/>
      <c r="AR1079" s="162"/>
      <c r="AS1079" s="163"/>
      <c r="AT1079" s="164"/>
      <c r="AU1079" s="165"/>
      <c r="AV1079" s="166"/>
      <c r="AW1079" s="167"/>
      <c r="AX1079" s="146"/>
      <c r="AY1079" s="168"/>
    </row>
    <row r="1080" spans="1:51" s="139" customFormat="1" ht="11.25" hidden="1" x14ac:dyDescent="0.25">
      <c r="A1080" s="1"/>
      <c r="B1080" s="140"/>
      <c r="C1080" s="63"/>
      <c r="D1080" s="142"/>
      <c r="E1080" s="143"/>
      <c r="F1080" s="143"/>
      <c r="G1080" s="143"/>
      <c r="H1080" s="143"/>
      <c r="I1080" s="143"/>
      <c r="J1080" s="143"/>
      <c r="K1080" s="143"/>
      <c r="L1080" s="143"/>
      <c r="M1080" s="143"/>
      <c r="N1080" s="222"/>
      <c r="O1080" s="222"/>
      <c r="P1080" s="145"/>
      <c r="Q1080" s="223"/>
      <c r="R1080" s="167"/>
      <c r="S1080" s="429"/>
      <c r="T1080" s="146"/>
      <c r="U1080" s="420" t="s">
        <v>741</v>
      </c>
      <c r="V1080" s="407">
        <v>1</v>
      </c>
      <c r="W1080" s="236">
        <f>30*365</f>
        <v>10950</v>
      </c>
      <c r="X1080" s="236"/>
      <c r="Y1080" s="408"/>
      <c r="Z1080" s="409"/>
      <c r="AA1080" s="409"/>
      <c r="AB1080" s="410"/>
      <c r="AC1080" s="411">
        <f>W1080*52%</f>
        <v>5694</v>
      </c>
      <c r="AD1080" s="412">
        <f>W1080*25%</f>
        <v>2737.5</v>
      </c>
      <c r="AE1080" s="412">
        <f>W1080*9%</f>
        <v>985.5</v>
      </c>
      <c r="AF1080" s="412">
        <f>W1080*5%</f>
        <v>547.5</v>
      </c>
      <c r="AG1080" s="412">
        <f>W1080*3%</f>
        <v>328.5</v>
      </c>
      <c r="AH1080" s="412">
        <f>W1080*1%</f>
        <v>109.5</v>
      </c>
      <c r="AI1080" s="412">
        <f>W1080*2%</f>
        <v>219</v>
      </c>
      <c r="AJ1080" s="412">
        <f>W1080*1%</f>
        <v>109.5</v>
      </c>
      <c r="AK1080" s="412">
        <f>W1080*4%</f>
        <v>438</v>
      </c>
      <c r="AL1080" s="412">
        <f>W1080*1%</f>
        <v>109.5</v>
      </c>
      <c r="AM1080" s="413">
        <f>SUM(AD1080:AI1080)</f>
        <v>4927.5</v>
      </c>
      <c r="AN1080" s="158">
        <f t="shared" si="961"/>
        <v>4000</v>
      </c>
      <c r="AO1080" s="159">
        <v>0.2</v>
      </c>
      <c r="AP1080" s="160">
        <f>AM1080*AN1080*$AP$5</f>
        <v>82521828</v>
      </c>
      <c r="AQ1080" s="161">
        <f>AP1080*$AQ$5</f>
        <v>22922.731833818401</v>
      </c>
      <c r="AR1080" s="162">
        <f>AQ1080*$AR$5</f>
        <v>4584.5463667636805</v>
      </c>
      <c r="AS1080" s="163"/>
      <c r="AT1080" s="233"/>
      <c r="AU1080" s="187"/>
      <c r="AV1080" s="414">
        <f>AR1080/$AV$5</f>
        <v>0.65418755233500003</v>
      </c>
      <c r="AW1080" s="415"/>
      <c r="AX1080" s="146">
        <f>SUM(AU1080:AV1080)</f>
        <v>0.65418755233500003</v>
      </c>
      <c r="AY1080" s="168"/>
    </row>
    <row r="1081" spans="1:51" s="139" customFormat="1" ht="11.25" hidden="1" x14ac:dyDescent="0.25">
      <c r="A1081" s="1"/>
      <c r="B1081" s="140">
        <v>5</v>
      </c>
      <c r="C1081" s="63" t="s">
        <v>386</v>
      </c>
      <c r="D1081" s="142"/>
      <c r="E1081" s="143"/>
      <c r="F1081" s="143"/>
      <c r="G1081" s="143"/>
      <c r="H1081" s="143"/>
      <c r="I1081" s="143"/>
      <c r="J1081" s="143"/>
      <c r="K1081" s="143"/>
      <c r="L1081" s="143"/>
      <c r="M1081" s="143"/>
      <c r="N1081" s="222">
        <v>388088</v>
      </c>
      <c r="O1081" s="222">
        <v>436625</v>
      </c>
      <c r="P1081" s="145"/>
      <c r="Q1081" s="223">
        <f>MAX(D1081:P1081)</f>
        <v>436625</v>
      </c>
      <c r="R1081" s="147">
        <f>Q1081*$R$10</f>
        <v>48028.75</v>
      </c>
      <c r="S1081" s="147">
        <f>R1081/$S$5</f>
        <v>131.58561643835617</v>
      </c>
      <c r="T1081" s="148">
        <f>S1081*$T$5*$T$10</f>
        <v>28817.25</v>
      </c>
      <c r="U1081" s="420"/>
      <c r="V1081" s="407"/>
      <c r="W1081" s="236"/>
      <c r="X1081" s="236"/>
      <c r="Y1081" s="408"/>
      <c r="Z1081" s="409"/>
      <c r="AA1081" s="409"/>
      <c r="AB1081" s="410"/>
      <c r="AC1081" s="155"/>
      <c r="AD1081" s="156"/>
      <c r="AE1081" s="156"/>
      <c r="AF1081" s="156"/>
      <c r="AG1081" s="156"/>
      <c r="AH1081" s="156"/>
      <c r="AI1081" s="156"/>
      <c r="AJ1081" s="156"/>
      <c r="AK1081" s="156"/>
      <c r="AL1081" s="156"/>
      <c r="AM1081" s="157"/>
      <c r="AN1081" s="158">
        <f t="shared" si="961"/>
        <v>4000</v>
      </c>
      <c r="AO1081" s="159"/>
      <c r="AP1081" s="160"/>
      <c r="AQ1081" s="161"/>
      <c r="AR1081" s="162"/>
      <c r="AS1081" s="163"/>
      <c r="AT1081" s="164"/>
      <c r="AU1081" s="165"/>
      <c r="AV1081" s="166"/>
      <c r="AW1081" s="167"/>
      <c r="AX1081" s="146"/>
      <c r="AY1081" s="168"/>
    </row>
    <row r="1082" spans="1:51" s="190" customFormat="1" ht="16.7" hidden="1" customHeight="1" x14ac:dyDescent="0.25">
      <c r="A1082" s="173"/>
      <c r="B1082" s="120"/>
      <c r="C1082" s="121" t="s">
        <v>387</v>
      </c>
      <c r="D1082" s="240">
        <f t="shared" ref="D1082:AX1082" si="962">SUM(D1074:D1081)</f>
        <v>0</v>
      </c>
      <c r="E1082" s="240">
        <f t="shared" si="962"/>
        <v>0</v>
      </c>
      <c r="F1082" s="240">
        <f t="shared" si="962"/>
        <v>0</v>
      </c>
      <c r="G1082" s="240">
        <f t="shared" si="962"/>
        <v>0</v>
      </c>
      <c r="H1082" s="240">
        <f t="shared" si="962"/>
        <v>0</v>
      </c>
      <c r="I1082" s="240">
        <f t="shared" si="962"/>
        <v>0</v>
      </c>
      <c r="J1082" s="240">
        <f t="shared" si="962"/>
        <v>0</v>
      </c>
      <c r="K1082" s="240">
        <f t="shared" si="962"/>
        <v>0</v>
      </c>
      <c r="L1082" s="240">
        <f t="shared" si="962"/>
        <v>0</v>
      </c>
      <c r="M1082" s="240">
        <f t="shared" si="962"/>
        <v>0</v>
      </c>
      <c r="N1082" s="240">
        <f t="shared" si="962"/>
        <v>3452390</v>
      </c>
      <c r="O1082" s="240">
        <f t="shared" si="962"/>
        <v>3798218</v>
      </c>
      <c r="P1082" s="240">
        <f t="shared" si="962"/>
        <v>0</v>
      </c>
      <c r="Q1082" s="240">
        <f t="shared" si="962"/>
        <v>3798218</v>
      </c>
      <c r="R1082" s="240">
        <f t="shared" si="962"/>
        <v>560774.07400000002</v>
      </c>
      <c r="S1082" s="240">
        <f t="shared" si="962"/>
        <v>1536.3673260273972</v>
      </c>
      <c r="T1082" s="240">
        <f t="shared" si="962"/>
        <v>417964.39320000005</v>
      </c>
      <c r="U1082" s="424">
        <f t="shared" si="962"/>
        <v>0</v>
      </c>
      <c r="V1082" s="424">
        <f t="shared" si="962"/>
        <v>10.199999999999999</v>
      </c>
      <c r="W1082" s="424">
        <f t="shared" si="962"/>
        <v>202657</v>
      </c>
      <c r="X1082" s="424">
        <f t="shared" si="962"/>
        <v>0</v>
      </c>
      <c r="Y1082" s="424">
        <f t="shared" si="962"/>
        <v>0</v>
      </c>
      <c r="Z1082" s="424">
        <f t="shared" si="962"/>
        <v>0</v>
      </c>
      <c r="AA1082" s="424">
        <f t="shared" si="962"/>
        <v>0</v>
      </c>
      <c r="AB1082" s="424">
        <f t="shared" si="962"/>
        <v>0</v>
      </c>
      <c r="AC1082" s="424">
        <f t="shared" si="962"/>
        <v>105381.64</v>
      </c>
      <c r="AD1082" s="424">
        <f t="shared" si="962"/>
        <v>50664.25</v>
      </c>
      <c r="AE1082" s="424">
        <f t="shared" si="962"/>
        <v>18239.13</v>
      </c>
      <c r="AF1082" s="424">
        <f t="shared" si="962"/>
        <v>10132.85</v>
      </c>
      <c r="AG1082" s="424">
        <f t="shared" si="962"/>
        <v>6079.71</v>
      </c>
      <c r="AH1082" s="424">
        <f t="shared" si="962"/>
        <v>2026.57</v>
      </c>
      <c r="AI1082" s="424">
        <f t="shared" si="962"/>
        <v>4053.14</v>
      </c>
      <c r="AJ1082" s="424">
        <f t="shared" si="962"/>
        <v>2026.57</v>
      </c>
      <c r="AK1082" s="424">
        <f t="shared" si="962"/>
        <v>8106.28</v>
      </c>
      <c r="AL1082" s="424">
        <f t="shared" si="962"/>
        <v>2026.57</v>
      </c>
      <c r="AM1082" s="424">
        <f t="shared" si="962"/>
        <v>91195.65</v>
      </c>
      <c r="AN1082" s="424"/>
      <c r="AO1082" s="424"/>
      <c r="AP1082" s="424">
        <f t="shared" si="962"/>
        <v>1527271789.6800001</v>
      </c>
      <c r="AQ1082" s="424">
        <f t="shared" si="962"/>
        <v>424242.19773937314</v>
      </c>
      <c r="AR1082" s="424">
        <f t="shared" si="962"/>
        <v>84848.439547874616</v>
      </c>
      <c r="AS1082" s="424">
        <f t="shared" si="962"/>
        <v>0</v>
      </c>
      <c r="AT1082" s="424">
        <f t="shared" si="962"/>
        <v>0</v>
      </c>
      <c r="AU1082" s="424">
        <f t="shared" si="962"/>
        <v>1</v>
      </c>
      <c r="AV1082" s="424">
        <f t="shared" si="962"/>
        <v>12.107368656945578</v>
      </c>
      <c r="AW1082" s="424">
        <f t="shared" si="962"/>
        <v>10.90312587225</v>
      </c>
      <c r="AX1082" s="424">
        <f t="shared" si="962"/>
        <v>13.107368656945578</v>
      </c>
      <c r="AY1082" s="189"/>
    </row>
    <row r="1083" spans="1:51" hidden="1" x14ac:dyDescent="0.25"/>
    <row r="1084" spans="1:51" s="139" customFormat="1" ht="15" hidden="1" customHeight="1" x14ac:dyDescent="0.25">
      <c r="A1084" s="1"/>
      <c r="B1084" s="120"/>
      <c r="C1084" s="121" t="s">
        <v>388</v>
      </c>
      <c r="D1084" s="122"/>
      <c r="E1084" s="123"/>
      <c r="F1084" s="123"/>
      <c r="G1084" s="123"/>
      <c r="H1084" s="123"/>
      <c r="I1084" s="123"/>
      <c r="J1084" s="123"/>
      <c r="K1084" s="123"/>
      <c r="L1084" s="123"/>
      <c r="M1084" s="123"/>
      <c r="N1084" s="123"/>
      <c r="O1084" s="123"/>
      <c r="P1084" s="213"/>
      <c r="Q1084" s="76"/>
      <c r="R1084" s="108"/>
      <c r="S1084" s="108"/>
      <c r="T1084" s="94"/>
      <c r="U1084" s="120"/>
      <c r="V1084" s="67"/>
      <c r="W1084" s="123"/>
      <c r="X1084" s="123"/>
      <c r="Y1084" s="125"/>
      <c r="Z1084" s="126"/>
      <c r="AA1084" s="126"/>
      <c r="AB1084" s="127"/>
      <c r="AC1084" s="62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125"/>
      <c r="AN1084" s="75"/>
      <c r="AO1084" s="216"/>
      <c r="AP1084" s="75"/>
      <c r="AQ1084" s="51"/>
      <c r="AR1084" s="217"/>
      <c r="AS1084" s="218"/>
      <c r="AT1084" s="219"/>
      <c r="AU1084" s="220"/>
      <c r="AV1084" s="135"/>
      <c r="AW1084" s="136"/>
      <c r="AX1084" s="137"/>
      <c r="AY1084" s="138"/>
    </row>
    <row r="1085" spans="1:51" s="139" customFormat="1" ht="11.25" hidden="1" x14ac:dyDescent="0.25">
      <c r="A1085" s="1"/>
      <c r="B1085" s="140">
        <v>1</v>
      </c>
      <c r="C1085" s="345" t="s">
        <v>389</v>
      </c>
      <c r="D1085" s="142"/>
      <c r="E1085" s="143"/>
      <c r="F1085" s="143"/>
      <c r="G1085" s="143"/>
      <c r="H1085" s="143"/>
      <c r="I1085" s="222"/>
      <c r="J1085" s="222"/>
      <c r="K1085" s="222"/>
      <c r="L1085" s="222"/>
      <c r="M1085" s="222"/>
      <c r="N1085" s="222"/>
      <c r="O1085" s="222">
        <v>584483</v>
      </c>
      <c r="P1085" s="145"/>
      <c r="Q1085" s="223">
        <f>O1085</f>
        <v>584483</v>
      </c>
      <c r="R1085" s="147">
        <f>Q1085*$R$9</f>
        <v>85334.517999999996</v>
      </c>
      <c r="S1085" s="147">
        <f>R1085/$S$5</f>
        <v>233.79319999999998</v>
      </c>
      <c r="T1085" s="148">
        <f>S1085*$T$5*$T$9</f>
        <v>59734.162599999996</v>
      </c>
      <c r="U1085" s="420"/>
      <c r="V1085" s="407"/>
      <c r="W1085" s="236"/>
      <c r="X1085" s="236"/>
      <c r="Y1085" s="408"/>
      <c r="Z1085" s="409"/>
      <c r="AA1085" s="409"/>
      <c r="AB1085" s="410"/>
      <c r="AC1085" s="155"/>
      <c r="AD1085" s="156"/>
      <c r="AE1085" s="156"/>
      <c r="AF1085" s="156"/>
      <c r="AG1085" s="156"/>
      <c r="AH1085" s="156"/>
      <c r="AI1085" s="156"/>
      <c r="AJ1085" s="156"/>
      <c r="AK1085" s="156"/>
      <c r="AL1085" s="156"/>
      <c r="AM1085" s="157"/>
      <c r="AN1085" s="158">
        <f t="shared" ref="AN1085:AN1140" si="963">$AN$641</f>
        <v>4000</v>
      </c>
      <c r="AO1085" s="159"/>
      <c r="AP1085" s="160"/>
      <c r="AQ1085" s="161"/>
      <c r="AR1085" s="162"/>
      <c r="AS1085" s="163"/>
      <c r="AT1085" s="164"/>
      <c r="AU1085" s="165"/>
      <c r="AV1085" s="166"/>
      <c r="AW1085" s="167"/>
      <c r="AX1085" s="146"/>
      <c r="AY1085" s="168"/>
    </row>
    <row r="1086" spans="1:51" s="139" customFormat="1" ht="11.25" hidden="1" x14ac:dyDescent="0.25">
      <c r="A1086" s="1"/>
      <c r="B1086" s="140">
        <v>2</v>
      </c>
      <c r="C1086" s="335" t="s">
        <v>390</v>
      </c>
      <c r="D1086" s="142"/>
      <c r="E1086" s="143"/>
      <c r="F1086" s="143"/>
      <c r="G1086" s="143"/>
      <c r="H1086" s="143"/>
      <c r="I1086" s="222"/>
      <c r="J1086" s="222"/>
      <c r="K1086" s="222"/>
      <c r="L1086" s="222"/>
      <c r="M1086" s="222"/>
      <c r="N1086" s="222"/>
      <c r="O1086" s="222">
        <v>1009091</v>
      </c>
      <c r="P1086" s="145"/>
      <c r="Q1086" s="304">
        <f t="shared" ref="Q1086:Q1139" si="964">O1086</f>
        <v>1009091</v>
      </c>
      <c r="R1086" s="147">
        <f>Q1086*$R$8</f>
        <v>165490.924</v>
      </c>
      <c r="S1086" s="147">
        <f>R1086/$S$5</f>
        <v>453.39979178082194</v>
      </c>
      <c r="T1086" s="148">
        <f>S1086*$T$5*$T$8</f>
        <v>132392.73920000001</v>
      </c>
      <c r="U1086" s="420"/>
      <c r="V1086" s="407"/>
      <c r="W1086" s="236"/>
      <c r="X1086" s="236"/>
      <c r="Y1086" s="408"/>
      <c r="Z1086" s="409"/>
      <c r="AA1086" s="409"/>
      <c r="AB1086" s="410"/>
      <c r="AC1086" s="155"/>
      <c r="AD1086" s="156"/>
      <c r="AE1086" s="156"/>
      <c r="AF1086" s="156"/>
      <c r="AG1086" s="156"/>
      <c r="AH1086" s="156"/>
      <c r="AI1086" s="156"/>
      <c r="AJ1086" s="156"/>
      <c r="AK1086" s="156"/>
      <c r="AL1086" s="156"/>
      <c r="AM1086" s="157"/>
      <c r="AN1086" s="158">
        <f t="shared" si="963"/>
        <v>4000</v>
      </c>
      <c r="AO1086" s="159"/>
      <c r="AP1086" s="160"/>
      <c r="AQ1086" s="161"/>
      <c r="AR1086" s="162"/>
      <c r="AS1086" s="163"/>
      <c r="AT1086" s="164"/>
      <c r="AU1086" s="165"/>
      <c r="AV1086" s="166"/>
      <c r="AW1086" s="167"/>
      <c r="AX1086" s="146"/>
      <c r="AY1086" s="168"/>
    </row>
    <row r="1087" spans="1:51" s="139" customFormat="1" ht="11.25" hidden="1" x14ac:dyDescent="0.25">
      <c r="A1087" s="1"/>
      <c r="B1087" s="140"/>
      <c r="C1087" s="335"/>
      <c r="D1087" s="142"/>
      <c r="E1087" s="143"/>
      <c r="F1087" s="143"/>
      <c r="G1087" s="143"/>
      <c r="H1087" s="143"/>
      <c r="I1087" s="222"/>
      <c r="J1087" s="222"/>
      <c r="K1087" s="222"/>
      <c r="L1087" s="222"/>
      <c r="M1087" s="222"/>
      <c r="N1087" s="222"/>
      <c r="O1087" s="222"/>
      <c r="P1087" s="145"/>
      <c r="Q1087" s="304"/>
      <c r="R1087" s="147"/>
      <c r="S1087" s="147"/>
      <c r="T1087" s="148"/>
      <c r="U1087" s="420" t="s">
        <v>742</v>
      </c>
      <c r="V1087" s="407"/>
      <c r="W1087" s="236">
        <f>(312*0.25)*365</f>
        <v>28470</v>
      </c>
      <c r="X1087" s="236"/>
      <c r="Y1087" s="408"/>
      <c r="Z1087" s="409"/>
      <c r="AA1087" s="409"/>
      <c r="AB1087" s="410"/>
      <c r="AC1087" s="411">
        <f>W1087*52%</f>
        <v>14804.4</v>
      </c>
      <c r="AD1087" s="412">
        <f>W1087*25%</f>
        <v>7117.5</v>
      </c>
      <c r="AE1087" s="412">
        <f>W1087*9%</f>
        <v>2562.2999999999997</v>
      </c>
      <c r="AF1087" s="412">
        <f>W1087*5%</f>
        <v>1423.5</v>
      </c>
      <c r="AG1087" s="412">
        <f>W1087*3%</f>
        <v>854.1</v>
      </c>
      <c r="AH1087" s="412">
        <f>W1087*1%</f>
        <v>284.7</v>
      </c>
      <c r="AI1087" s="412">
        <f>W1087*2%</f>
        <v>569.4</v>
      </c>
      <c r="AJ1087" s="412">
        <f>W1087*1%</f>
        <v>284.7</v>
      </c>
      <c r="AK1087" s="412">
        <f>W1087*4%</f>
        <v>1138.8</v>
      </c>
      <c r="AL1087" s="412">
        <f>W1087*1%</f>
        <v>284.7</v>
      </c>
      <c r="AM1087" s="413">
        <f>SUM(AD1087:AI1087)</f>
        <v>12811.5</v>
      </c>
      <c r="AN1087" s="158">
        <f t="shared" si="963"/>
        <v>4000</v>
      </c>
      <c r="AO1087" s="159">
        <v>0.2</v>
      </c>
      <c r="AP1087" s="160">
        <f>AM1087*AN1087*$AP$5</f>
        <v>214556752.79999998</v>
      </c>
      <c r="AQ1087" s="161">
        <f>AP1087*$AQ$5</f>
        <v>59599.102767927834</v>
      </c>
      <c r="AR1087" s="162">
        <f>AQ1087*$AR$5</f>
        <v>11919.820553585567</v>
      </c>
      <c r="AS1087" s="163"/>
      <c r="AT1087" s="233"/>
      <c r="AU1087" s="187"/>
      <c r="AV1087" s="414">
        <f>AR1087/$AV$5</f>
        <v>1.7008876360709999</v>
      </c>
      <c r="AW1087" s="415"/>
      <c r="AX1087" s="146">
        <f>SUM(AU1087:AV1087)</f>
        <v>1.7008876360709999</v>
      </c>
      <c r="AY1087" s="168"/>
    </row>
    <row r="1088" spans="1:51" s="139" customFormat="1" ht="11.25" hidden="1" x14ac:dyDescent="0.25">
      <c r="A1088" s="1"/>
      <c r="B1088" s="140">
        <v>3</v>
      </c>
      <c r="C1088" s="335" t="s">
        <v>391</v>
      </c>
      <c r="D1088" s="142"/>
      <c r="E1088" s="143"/>
      <c r="F1088" s="143"/>
      <c r="G1088" s="143"/>
      <c r="H1088" s="143"/>
      <c r="I1088" s="222"/>
      <c r="J1088" s="222"/>
      <c r="K1088" s="222"/>
      <c r="L1088" s="222"/>
      <c r="M1088" s="222"/>
      <c r="N1088" s="222"/>
      <c r="O1088" s="222">
        <v>811692</v>
      </c>
      <c r="P1088" s="145"/>
      <c r="Q1088" s="304">
        <f t="shared" si="964"/>
        <v>811692</v>
      </c>
      <c r="R1088" s="147">
        <f>Q1088*$R$9</f>
        <v>118507.03199999999</v>
      </c>
      <c r="S1088" s="147">
        <f>R1088/$S$5</f>
        <v>324.67679999999996</v>
      </c>
      <c r="T1088" s="148">
        <f>S1088*$T$5*$T$9</f>
        <v>82954.922399999981</v>
      </c>
      <c r="U1088" s="420"/>
      <c r="V1088" s="407"/>
      <c r="W1088" s="236"/>
      <c r="X1088" s="236"/>
      <c r="Y1088" s="408"/>
      <c r="Z1088" s="409"/>
      <c r="AA1088" s="409"/>
      <c r="AB1088" s="410"/>
      <c r="AC1088" s="155"/>
      <c r="AD1088" s="156"/>
      <c r="AE1088" s="156"/>
      <c r="AF1088" s="156"/>
      <c r="AG1088" s="156"/>
      <c r="AH1088" s="156"/>
      <c r="AI1088" s="156"/>
      <c r="AJ1088" s="156"/>
      <c r="AK1088" s="156"/>
      <c r="AL1088" s="156"/>
      <c r="AM1088" s="157"/>
      <c r="AN1088" s="158">
        <f t="shared" si="963"/>
        <v>4000</v>
      </c>
      <c r="AO1088" s="159"/>
      <c r="AP1088" s="160"/>
      <c r="AQ1088" s="161"/>
      <c r="AR1088" s="162"/>
      <c r="AS1088" s="163"/>
      <c r="AT1088" s="164"/>
      <c r="AU1088" s="165"/>
      <c r="AV1088" s="166"/>
      <c r="AW1088" s="167"/>
      <c r="AX1088" s="146"/>
      <c r="AY1088" s="168"/>
    </row>
    <row r="1089" spans="1:51" s="139" customFormat="1" ht="11.25" hidden="1" x14ac:dyDescent="0.25">
      <c r="A1089" s="1"/>
      <c r="B1089" s="140">
        <v>4</v>
      </c>
      <c r="C1089" s="335" t="s">
        <v>392</v>
      </c>
      <c r="D1089" s="142"/>
      <c r="E1089" s="143"/>
      <c r="F1089" s="143"/>
      <c r="G1089" s="143"/>
      <c r="H1089" s="143"/>
      <c r="I1089" s="222"/>
      <c r="J1089" s="222"/>
      <c r="K1089" s="222"/>
      <c r="L1089" s="222"/>
      <c r="M1089" s="222"/>
      <c r="N1089" s="222"/>
      <c r="O1089" s="222">
        <v>1143646</v>
      </c>
      <c r="P1089" s="145"/>
      <c r="Q1089" s="304">
        <f t="shared" si="964"/>
        <v>1143646</v>
      </c>
      <c r="R1089" s="147">
        <f>Q1089*$R$8</f>
        <v>187557.94400000002</v>
      </c>
      <c r="S1089" s="147">
        <f>R1089/$S$5</f>
        <v>513.8573808219179</v>
      </c>
      <c r="T1089" s="148">
        <f>S1089*$T$5*$T$8</f>
        <v>150046.35520000005</v>
      </c>
      <c r="U1089" s="420"/>
      <c r="V1089" s="407"/>
      <c r="W1089" s="236"/>
      <c r="X1089" s="236"/>
      <c r="Y1089" s="408"/>
      <c r="Z1089" s="409"/>
      <c r="AA1089" s="409"/>
      <c r="AB1089" s="410"/>
      <c r="AC1089" s="155"/>
      <c r="AD1089" s="156"/>
      <c r="AE1089" s="156"/>
      <c r="AF1089" s="156"/>
      <c r="AG1089" s="156"/>
      <c r="AH1089" s="156"/>
      <c r="AI1089" s="156"/>
      <c r="AJ1089" s="156"/>
      <c r="AK1089" s="156"/>
      <c r="AL1089" s="156"/>
      <c r="AM1089" s="157"/>
      <c r="AN1089" s="158">
        <f t="shared" si="963"/>
        <v>4000</v>
      </c>
      <c r="AO1089" s="159"/>
      <c r="AP1089" s="160"/>
      <c r="AQ1089" s="161"/>
      <c r="AR1089" s="162"/>
      <c r="AS1089" s="163"/>
      <c r="AT1089" s="164"/>
      <c r="AU1089" s="165"/>
      <c r="AV1089" s="166"/>
      <c r="AW1089" s="167"/>
      <c r="AX1089" s="146"/>
      <c r="AY1089" s="168"/>
    </row>
    <row r="1090" spans="1:51" s="139" customFormat="1" ht="11.25" hidden="1" x14ac:dyDescent="0.25">
      <c r="A1090" s="1"/>
      <c r="B1090" s="140"/>
      <c r="C1090" s="335"/>
      <c r="D1090" s="142"/>
      <c r="E1090" s="143"/>
      <c r="F1090" s="143"/>
      <c r="G1090" s="143"/>
      <c r="H1090" s="143"/>
      <c r="I1090" s="222"/>
      <c r="J1090" s="222"/>
      <c r="K1090" s="222"/>
      <c r="L1090" s="222"/>
      <c r="M1090" s="222"/>
      <c r="N1090" s="222"/>
      <c r="O1090" s="222"/>
      <c r="P1090" s="145"/>
      <c r="Q1090" s="304"/>
      <c r="R1090" s="147"/>
      <c r="S1090" s="147"/>
      <c r="T1090" s="148"/>
      <c r="U1090" s="420" t="s">
        <v>743</v>
      </c>
      <c r="V1090" s="407">
        <v>5</v>
      </c>
      <c r="W1090" s="236">
        <f>(50*0.25)*365</f>
        <v>4562.5</v>
      </c>
      <c r="X1090" s="236"/>
      <c r="Y1090" s="408"/>
      <c r="Z1090" s="409"/>
      <c r="AA1090" s="409"/>
      <c r="AB1090" s="410"/>
      <c r="AC1090" s="411">
        <f>W1090*52%</f>
        <v>2372.5</v>
      </c>
      <c r="AD1090" s="412">
        <f>W1090*25%</f>
        <v>1140.625</v>
      </c>
      <c r="AE1090" s="412">
        <f>W1090*9%</f>
        <v>410.625</v>
      </c>
      <c r="AF1090" s="412">
        <f>W1090*5%</f>
        <v>228.125</v>
      </c>
      <c r="AG1090" s="412">
        <f>W1090*3%</f>
        <v>136.875</v>
      </c>
      <c r="AH1090" s="412">
        <f>W1090*1%</f>
        <v>45.625</v>
      </c>
      <c r="AI1090" s="412">
        <f>W1090*2%</f>
        <v>91.25</v>
      </c>
      <c r="AJ1090" s="412">
        <f>W1090*1%</f>
        <v>45.625</v>
      </c>
      <c r="AK1090" s="412">
        <f>W1090*4%</f>
        <v>182.5</v>
      </c>
      <c r="AL1090" s="412">
        <f>W1090*1%</f>
        <v>45.625</v>
      </c>
      <c r="AM1090" s="413">
        <f>SUM(AD1090:AI1090)</f>
        <v>2053.125</v>
      </c>
      <c r="AN1090" s="158">
        <f t="shared" si="963"/>
        <v>4000</v>
      </c>
      <c r="AO1090" s="159">
        <v>0.2</v>
      </c>
      <c r="AP1090" s="160">
        <f>AM1090*AN1090*$AP$5</f>
        <v>34384095</v>
      </c>
      <c r="AQ1090" s="161">
        <f>AP1090*$AQ$5</f>
        <v>9551.1382640909997</v>
      </c>
      <c r="AR1090" s="162">
        <f>AQ1090*$AR$5</f>
        <v>1910.2276528182001</v>
      </c>
      <c r="AS1090" s="163"/>
      <c r="AT1090" s="233"/>
      <c r="AU1090" s="187"/>
      <c r="AV1090" s="414">
        <f>AR1090/$AV$5</f>
        <v>0.27257814680625003</v>
      </c>
      <c r="AW1090" s="415"/>
      <c r="AX1090" s="146">
        <f>SUM(AU1090:AV1090)</f>
        <v>0.27257814680625003</v>
      </c>
      <c r="AY1090" s="168"/>
    </row>
    <row r="1091" spans="1:51" s="139" customFormat="1" ht="11.25" hidden="1" x14ac:dyDescent="0.25">
      <c r="A1091" s="1"/>
      <c r="B1091" s="140">
        <v>5</v>
      </c>
      <c r="C1091" s="343" t="s">
        <v>393</v>
      </c>
      <c r="D1091" s="142"/>
      <c r="E1091" s="143"/>
      <c r="F1091" s="143"/>
      <c r="G1091" s="143"/>
      <c r="H1091" s="143"/>
      <c r="I1091" s="222"/>
      <c r="J1091" s="222"/>
      <c r="K1091" s="222"/>
      <c r="L1091" s="222"/>
      <c r="M1091" s="222"/>
      <c r="N1091" s="222"/>
      <c r="O1091" s="222">
        <v>1262427</v>
      </c>
      <c r="P1091" s="145"/>
      <c r="Q1091" s="304">
        <f t="shared" si="964"/>
        <v>1262427</v>
      </c>
      <c r="R1091" s="147">
        <f>Q1091*$R$8</f>
        <v>207038.02800000002</v>
      </c>
      <c r="S1091" s="147">
        <f>R1091/$S$5</f>
        <v>567.22747397260275</v>
      </c>
      <c r="T1091" s="148">
        <f>S1091*$T$5*$T$8</f>
        <v>165630.42240000001</v>
      </c>
      <c r="U1091" s="420"/>
      <c r="V1091" s="407"/>
      <c r="W1091" s="236"/>
      <c r="X1091" s="236"/>
      <c r="Y1091" s="408"/>
      <c r="Z1091" s="409"/>
      <c r="AA1091" s="409"/>
      <c r="AB1091" s="410"/>
      <c r="AC1091" s="155"/>
      <c r="AD1091" s="156"/>
      <c r="AE1091" s="156"/>
      <c r="AF1091" s="156"/>
      <c r="AG1091" s="156"/>
      <c r="AH1091" s="156"/>
      <c r="AI1091" s="156"/>
      <c r="AJ1091" s="156"/>
      <c r="AK1091" s="156"/>
      <c r="AL1091" s="156"/>
      <c r="AM1091" s="157"/>
      <c r="AN1091" s="158">
        <f t="shared" si="963"/>
        <v>4000</v>
      </c>
      <c r="AO1091" s="159"/>
      <c r="AP1091" s="160"/>
      <c r="AQ1091" s="161"/>
      <c r="AR1091" s="162"/>
      <c r="AS1091" s="163"/>
      <c r="AT1091" s="164"/>
      <c r="AU1091" s="165"/>
      <c r="AV1091" s="166"/>
      <c r="AW1091" s="167"/>
      <c r="AX1091" s="146"/>
      <c r="AY1091" s="168"/>
    </row>
    <row r="1092" spans="1:51" s="139" customFormat="1" ht="11.25" hidden="1" x14ac:dyDescent="0.25">
      <c r="A1092" s="1"/>
      <c r="B1092" s="140">
        <v>6</v>
      </c>
      <c r="C1092" s="343" t="s">
        <v>394</v>
      </c>
      <c r="D1092" s="142"/>
      <c r="E1092" s="143"/>
      <c r="F1092" s="143"/>
      <c r="G1092" s="143"/>
      <c r="H1092" s="143"/>
      <c r="I1092" s="222"/>
      <c r="J1092" s="222"/>
      <c r="K1092" s="222"/>
      <c r="L1092" s="222"/>
      <c r="M1092" s="222"/>
      <c r="N1092" s="222"/>
      <c r="O1092" s="222">
        <v>1477190</v>
      </c>
      <c r="P1092" s="145"/>
      <c r="Q1092" s="304">
        <f t="shared" si="964"/>
        <v>1477190</v>
      </c>
      <c r="R1092" s="147">
        <f>Q1092*$R$8</f>
        <v>242259.16</v>
      </c>
      <c r="S1092" s="147">
        <f>R1092/$S$5</f>
        <v>663.72372602739722</v>
      </c>
      <c r="T1092" s="148">
        <f>S1092*$T$5*$T$8</f>
        <v>193807.32799999998</v>
      </c>
      <c r="U1092" s="420"/>
      <c r="V1092" s="407"/>
      <c r="W1092" s="236"/>
      <c r="X1092" s="236"/>
      <c r="Y1092" s="408"/>
      <c r="Z1092" s="409"/>
      <c r="AA1092" s="409"/>
      <c r="AB1092" s="410"/>
      <c r="AC1092" s="155"/>
      <c r="AD1092" s="156"/>
      <c r="AE1092" s="156"/>
      <c r="AF1092" s="156"/>
      <c r="AG1092" s="156"/>
      <c r="AH1092" s="156"/>
      <c r="AI1092" s="156"/>
      <c r="AJ1092" s="156"/>
      <c r="AK1092" s="156"/>
      <c r="AL1092" s="156"/>
      <c r="AM1092" s="157"/>
      <c r="AN1092" s="158">
        <f t="shared" si="963"/>
        <v>4000</v>
      </c>
      <c r="AO1092" s="159"/>
      <c r="AP1092" s="160"/>
      <c r="AQ1092" s="161"/>
      <c r="AR1092" s="162"/>
      <c r="AS1092" s="163"/>
      <c r="AT1092" s="164"/>
      <c r="AU1092" s="165"/>
      <c r="AV1092" s="166"/>
      <c r="AW1092" s="167"/>
      <c r="AX1092" s="146"/>
      <c r="AY1092" s="168"/>
    </row>
    <row r="1093" spans="1:51" s="139" customFormat="1" ht="11.25" hidden="1" x14ac:dyDescent="0.25">
      <c r="A1093" s="1"/>
      <c r="B1093" s="140">
        <v>7</v>
      </c>
      <c r="C1093" s="343" t="s">
        <v>395</v>
      </c>
      <c r="D1093" s="142"/>
      <c r="E1093" s="143"/>
      <c r="F1093" s="143"/>
      <c r="G1093" s="143"/>
      <c r="H1093" s="143"/>
      <c r="I1093" s="222"/>
      <c r="J1093" s="222"/>
      <c r="K1093" s="222"/>
      <c r="L1093" s="222"/>
      <c r="M1093" s="222"/>
      <c r="N1093" s="222"/>
      <c r="O1093" s="222">
        <v>2837203</v>
      </c>
      <c r="P1093" s="145"/>
      <c r="Q1093" s="304">
        <f t="shared" si="964"/>
        <v>2837203</v>
      </c>
      <c r="R1093" s="147">
        <f>Q1093*$R$7</f>
        <v>672417.11099999992</v>
      </c>
      <c r="S1093" s="147">
        <f>R1093/$S$5</f>
        <v>1842.2386602739723</v>
      </c>
      <c r="T1093" s="148">
        <f>S1093*$T$5*$T$7</f>
        <v>605175.39989999996</v>
      </c>
      <c r="U1093" s="420"/>
      <c r="V1093" s="407"/>
      <c r="W1093" s="236"/>
      <c r="X1093" s="236"/>
      <c r="Y1093" s="408"/>
      <c r="Z1093" s="409"/>
      <c r="AA1093" s="409"/>
      <c r="AB1093" s="410"/>
      <c r="AC1093" s="155"/>
      <c r="AD1093" s="156"/>
      <c r="AE1093" s="156"/>
      <c r="AF1093" s="156"/>
      <c r="AG1093" s="156"/>
      <c r="AH1093" s="156"/>
      <c r="AI1093" s="156"/>
      <c r="AJ1093" s="156"/>
      <c r="AK1093" s="156"/>
      <c r="AL1093" s="156"/>
      <c r="AM1093" s="157"/>
      <c r="AN1093" s="158">
        <f t="shared" si="963"/>
        <v>4000</v>
      </c>
      <c r="AO1093" s="159"/>
      <c r="AP1093" s="160"/>
      <c r="AQ1093" s="161"/>
      <c r="AR1093" s="162"/>
      <c r="AS1093" s="163"/>
      <c r="AT1093" s="164"/>
      <c r="AU1093" s="165"/>
      <c r="AV1093" s="166"/>
      <c r="AW1093" s="167"/>
      <c r="AX1093" s="146"/>
      <c r="AY1093" s="168"/>
    </row>
    <row r="1094" spans="1:51" s="139" customFormat="1" ht="11.25" hidden="1" x14ac:dyDescent="0.25">
      <c r="A1094" s="1"/>
      <c r="B1094" s="140"/>
      <c r="C1094" s="342"/>
      <c r="D1094" s="142"/>
      <c r="E1094" s="143"/>
      <c r="F1094" s="143"/>
      <c r="G1094" s="143"/>
      <c r="H1094" s="143"/>
      <c r="I1094" s="222"/>
      <c r="J1094" s="222"/>
      <c r="K1094" s="222"/>
      <c r="L1094" s="222"/>
      <c r="M1094" s="222"/>
      <c r="N1094" s="222"/>
      <c r="O1094" s="222"/>
      <c r="P1094" s="145"/>
      <c r="Q1094" s="223"/>
      <c r="R1094" s="167"/>
      <c r="S1094" s="429"/>
      <c r="T1094" s="146"/>
      <c r="U1094" s="420" t="s">
        <v>744</v>
      </c>
      <c r="V1094" s="407">
        <v>2.5</v>
      </c>
      <c r="W1094" s="236"/>
      <c r="X1094" s="236"/>
      <c r="Y1094" s="408"/>
      <c r="Z1094" s="409"/>
      <c r="AA1094" s="409"/>
      <c r="AB1094" s="410"/>
      <c r="AC1094" s="155"/>
      <c r="AD1094" s="156"/>
      <c r="AE1094" s="156"/>
      <c r="AF1094" s="156"/>
      <c r="AG1094" s="156"/>
      <c r="AH1094" s="156"/>
      <c r="AI1094" s="156"/>
      <c r="AJ1094" s="156"/>
      <c r="AK1094" s="156"/>
      <c r="AL1094" s="156"/>
      <c r="AM1094" s="157"/>
      <c r="AN1094" s="158">
        <f t="shared" si="963"/>
        <v>4000</v>
      </c>
      <c r="AO1094" s="159"/>
      <c r="AP1094" s="160"/>
      <c r="AQ1094" s="161"/>
      <c r="AR1094" s="162"/>
      <c r="AS1094" s="163"/>
      <c r="AT1094" s="164"/>
      <c r="AU1094" s="165"/>
      <c r="AV1094" s="166"/>
      <c r="AW1094" s="167"/>
      <c r="AX1094" s="146"/>
      <c r="AY1094" s="168"/>
    </row>
    <row r="1095" spans="1:51" s="139" customFormat="1" ht="11.25" hidden="1" x14ac:dyDescent="0.25">
      <c r="A1095" s="1"/>
      <c r="B1095" s="140">
        <v>8</v>
      </c>
      <c r="C1095" s="343" t="s">
        <v>396</v>
      </c>
      <c r="D1095" s="142"/>
      <c r="E1095" s="143"/>
      <c r="F1095" s="143"/>
      <c r="G1095" s="143"/>
      <c r="H1095" s="143"/>
      <c r="I1095" s="222"/>
      <c r="J1095" s="222"/>
      <c r="K1095" s="222"/>
      <c r="L1095" s="222"/>
      <c r="M1095" s="222"/>
      <c r="N1095" s="222"/>
      <c r="O1095" s="222">
        <v>1082298</v>
      </c>
      <c r="P1095" s="145"/>
      <c r="Q1095" s="304">
        <f t="shared" si="964"/>
        <v>1082298</v>
      </c>
      <c r="R1095" s="147">
        <f>Q1095*$R$8</f>
        <v>177496.872</v>
      </c>
      <c r="S1095" s="147">
        <f>R1095/$S$5</f>
        <v>486.2928</v>
      </c>
      <c r="T1095" s="148">
        <f>S1095*$T$5*$T$8</f>
        <v>141997.4976</v>
      </c>
      <c r="U1095" s="420"/>
      <c r="V1095" s="407"/>
      <c r="W1095" s="236"/>
      <c r="X1095" s="236"/>
      <c r="Y1095" s="408"/>
      <c r="Z1095" s="409"/>
      <c r="AA1095" s="409"/>
      <c r="AB1095" s="410"/>
      <c r="AC1095" s="155"/>
      <c r="AD1095" s="156"/>
      <c r="AE1095" s="156"/>
      <c r="AF1095" s="156"/>
      <c r="AG1095" s="156"/>
      <c r="AH1095" s="156"/>
      <c r="AI1095" s="156"/>
      <c r="AJ1095" s="156"/>
      <c r="AK1095" s="156"/>
      <c r="AL1095" s="156"/>
      <c r="AM1095" s="157"/>
      <c r="AN1095" s="158">
        <f t="shared" si="963"/>
        <v>4000</v>
      </c>
      <c r="AO1095" s="159"/>
      <c r="AP1095" s="160"/>
      <c r="AQ1095" s="161"/>
      <c r="AR1095" s="162"/>
      <c r="AS1095" s="163"/>
      <c r="AT1095" s="164"/>
      <c r="AU1095" s="165"/>
      <c r="AV1095" s="166"/>
      <c r="AW1095" s="167"/>
      <c r="AX1095" s="146"/>
      <c r="AY1095" s="168"/>
    </row>
    <row r="1096" spans="1:51" s="139" customFormat="1" ht="11.25" hidden="1" x14ac:dyDescent="0.25">
      <c r="A1096" s="1"/>
      <c r="B1096" s="140"/>
      <c r="C1096" s="343"/>
      <c r="D1096" s="142"/>
      <c r="E1096" s="143"/>
      <c r="F1096" s="143"/>
      <c r="G1096" s="143"/>
      <c r="H1096" s="143"/>
      <c r="I1096" s="222"/>
      <c r="J1096" s="222"/>
      <c r="K1096" s="222"/>
      <c r="L1096" s="222"/>
      <c r="M1096" s="222"/>
      <c r="N1096" s="222"/>
      <c r="O1096" s="222"/>
      <c r="P1096" s="145"/>
      <c r="Q1096" s="304"/>
      <c r="R1096" s="147"/>
      <c r="S1096" s="147"/>
      <c r="T1096" s="148"/>
      <c r="U1096" s="420" t="s">
        <v>745</v>
      </c>
      <c r="V1096" s="407">
        <v>2.8</v>
      </c>
      <c r="W1096" s="236">
        <f>(262*0.25)*365</f>
        <v>23907.5</v>
      </c>
      <c r="X1096" s="236"/>
      <c r="Y1096" s="408"/>
      <c r="Z1096" s="409"/>
      <c r="AA1096" s="409"/>
      <c r="AB1096" s="410"/>
      <c r="AC1096" s="411">
        <f>W1096*52%</f>
        <v>12431.9</v>
      </c>
      <c r="AD1096" s="412">
        <f>W1096*25%</f>
        <v>5976.875</v>
      </c>
      <c r="AE1096" s="412">
        <f>W1096*9%</f>
        <v>2151.6749999999997</v>
      </c>
      <c r="AF1096" s="412">
        <f>W1096*5%</f>
        <v>1195.375</v>
      </c>
      <c r="AG1096" s="412">
        <f>W1096*3%</f>
        <v>717.22500000000002</v>
      </c>
      <c r="AH1096" s="412">
        <f>W1096*1%</f>
        <v>239.07500000000002</v>
      </c>
      <c r="AI1096" s="412">
        <f>W1096*2%</f>
        <v>478.15000000000003</v>
      </c>
      <c r="AJ1096" s="412">
        <f>W1096*1%</f>
        <v>239.07500000000002</v>
      </c>
      <c r="AK1096" s="412">
        <f>W1096*4%</f>
        <v>956.30000000000007</v>
      </c>
      <c r="AL1096" s="412">
        <f>W1096*1%</f>
        <v>239.07500000000002</v>
      </c>
      <c r="AM1096" s="413">
        <f>SUM(AD1096:AI1096)</f>
        <v>10758.375</v>
      </c>
      <c r="AN1096" s="158">
        <f t="shared" si="963"/>
        <v>4000</v>
      </c>
      <c r="AO1096" s="159">
        <v>0.2</v>
      </c>
      <c r="AP1096" s="160">
        <f>AM1096*AN1096*$AP$5</f>
        <v>180172657.79999998</v>
      </c>
      <c r="AQ1096" s="161">
        <f>AP1096*$AQ$5</f>
        <v>50047.964503836833</v>
      </c>
      <c r="AR1096" s="162">
        <f>AQ1096*$AR$5</f>
        <v>10009.592900767368</v>
      </c>
      <c r="AS1096" s="163"/>
      <c r="AT1096" s="233"/>
      <c r="AU1096" s="187"/>
      <c r="AV1096" s="414">
        <f>AR1096/$AV$5</f>
        <v>1.4283094892647499</v>
      </c>
      <c r="AW1096" s="415"/>
      <c r="AX1096" s="146">
        <f>SUM(AU1096:AV1096)</f>
        <v>1.4283094892647499</v>
      </c>
      <c r="AY1096" s="168"/>
    </row>
    <row r="1097" spans="1:51" s="139" customFormat="1" ht="11.25" hidden="1" x14ac:dyDescent="0.25">
      <c r="A1097" s="1"/>
      <c r="B1097" s="140">
        <v>9</v>
      </c>
      <c r="C1097" s="343" t="s">
        <v>397</v>
      </c>
      <c r="D1097" s="142"/>
      <c r="E1097" s="143"/>
      <c r="F1097" s="143"/>
      <c r="G1097" s="143"/>
      <c r="H1097" s="143"/>
      <c r="I1097" s="222"/>
      <c r="J1097" s="222"/>
      <c r="K1097" s="222"/>
      <c r="L1097" s="222"/>
      <c r="M1097" s="222"/>
      <c r="N1097" s="222"/>
      <c r="O1097" s="222">
        <v>2268151</v>
      </c>
      <c r="P1097" s="145"/>
      <c r="Q1097" s="304">
        <f t="shared" si="964"/>
        <v>2268151</v>
      </c>
      <c r="R1097" s="147">
        <f>Q1097*$R$7</f>
        <v>537551.78700000001</v>
      </c>
      <c r="S1097" s="147">
        <f>R1097/$S$5</f>
        <v>1472.7446219178082</v>
      </c>
      <c r="T1097" s="148">
        <f>S1097*$T$5*$T$7</f>
        <v>483796.60830000002</v>
      </c>
      <c r="U1097" s="420"/>
      <c r="V1097" s="407"/>
      <c r="W1097" s="236"/>
      <c r="X1097" s="236"/>
      <c r="Y1097" s="408"/>
      <c r="Z1097" s="409"/>
      <c r="AA1097" s="409"/>
      <c r="AB1097" s="410"/>
      <c r="AC1097" s="155"/>
      <c r="AD1097" s="156"/>
      <c r="AE1097" s="156"/>
      <c r="AF1097" s="156"/>
      <c r="AG1097" s="156"/>
      <c r="AH1097" s="156"/>
      <c r="AI1097" s="156"/>
      <c r="AJ1097" s="156"/>
      <c r="AK1097" s="156"/>
      <c r="AL1097" s="156"/>
      <c r="AM1097" s="157"/>
      <c r="AN1097" s="158">
        <f t="shared" si="963"/>
        <v>4000</v>
      </c>
      <c r="AO1097" s="159"/>
      <c r="AP1097" s="160"/>
      <c r="AQ1097" s="161"/>
      <c r="AR1097" s="162"/>
      <c r="AS1097" s="163"/>
      <c r="AT1097" s="233"/>
      <c r="AU1097" s="187"/>
      <c r="AV1097" s="166"/>
      <c r="AW1097" s="167"/>
      <c r="AX1097" s="146"/>
      <c r="AY1097" s="168"/>
    </row>
    <row r="1098" spans="1:51" s="139" customFormat="1" ht="11.25" hidden="1" x14ac:dyDescent="0.25">
      <c r="A1098" s="1"/>
      <c r="B1098" s="140"/>
      <c r="C1098" s="343"/>
      <c r="D1098" s="142"/>
      <c r="E1098" s="143"/>
      <c r="F1098" s="143"/>
      <c r="G1098" s="143"/>
      <c r="H1098" s="143"/>
      <c r="I1098" s="222"/>
      <c r="J1098" s="222"/>
      <c r="K1098" s="222"/>
      <c r="L1098" s="222"/>
      <c r="M1098" s="222"/>
      <c r="N1098" s="222"/>
      <c r="O1098" s="222"/>
      <c r="P1098" s="145"/>
      <c r="Q1098" s="304"/>
      <c r="R1098" s="167"/>
      <c r="S1098" s="147"/>
      <c r="T1098" s="147"/>
      <c r="U1098" s="420" t="s">
        <v>746</v>
      </c>
      <c r="V1098" s="407">
        <v>6</v>
      </c>
      <c r="W1098" s="236">
        <f>(450*0.25)*365</f>
        <v>41062.5</v>
      </c>
      <c r="X1098" s="236"/>
      <c r="Y1098" s="408"/>
      <c r="Z1098" s="409"/>
      <c r="AA1098" s="409"/>
      <c r="AB1098" s="410"/>
      <c r="AC1098" s="411">
        <f>W1098*52%</f>
        <v>21352.5</v>
      </c>
      <c r="AD1098" s="412">
        <f>W1098*25%</f>
        <v>10265.625</v>
      </c>
      <c r="AE1098" s="412">
        <f>W1098*9%</f>
        <v>3695.625</v>
      </c>
      <c r="AF1098" s="412">
        <f>W1098*5%</f>
        <v>2053.125</v>
      </c>
      <c r="AG1098" s="412">
        <f>W1098*3%</f>
        <v>1231.875</v>
      </c>
      <c r="AH1098" s="412">
        <f>W1098*1%</f>
        <v>410.625</v>
      </c>
      <c r="AI1098" s="412">
        <f>W1098*2%</f>
        <v>821.25</v>
      </c>
      <c r="AJ1098" s="412">
        <f>W1098*1%</f>
        <v>410.625</v>
      </c>
      <c r="AK1098" s="412">
        <f>W1098*4%</f>
        <v>1642.5</v>
      </c>
      <c r="AL1098" s="412">
        <f>W1098*1%</f>
        <v>410.625</v>
      </c>
      <c r="AM1098" s="413">
        <f>SUM(AD1098:AI1098)</f>
        <v>18478.125</v>
      </c>
      <c r="AN1098" s="158">
        <f t="shared" si="963"/>
        <v>4000</v>
      </c>
      <c r="AO1098" s="159">
        <v>0.2</v>
      </c>
      <c r="AP1098" s="160">
        <f>AM1098*AN1098*$AP$5</f>
        <v>309456855</v>
      </c>
      <c r="AQ1098" s="161">
        <f>AP1098*$AQ$5</f>
        <v>85960.244376818999</v>
      </c>
      <c r="AR1098" s="162">
        <f>AQ1098*$AR$5</f>
        <v>17192.048875363802</v>
      </c>
      <c r="AS1098" s="163"/>
      <c r="AT1098" s="233"/>
      <c r="AU1098" s="187"/>
      <c r="AV1098" s="414">
        <f>AR1098/$AV$5</f>
        <v>2.4532033212562503</v>
      </c>
      <c r="AW1098" s="415"/>
      <c r="AX1098" s="146">
        <f>SUM(AU1098:AV1098)</f>
        <v>2.4532033212562503</v>
      </c>
      <c r="AY1098" s="168"/>
    </row>
    <row r="1099" spans="1:51" s="139" customFormat="1" ht="11.25" hidden="1" x14ac:dyDescent="0.25">
      <c r="A1099" s="1"/>
      <c r="B1099" s="140">
        <v>10</v>
      </c>
      <c r="C1099" s="343" t="s">
        <v>398</v>
      </c>
      <c r="D1099" s="142"/>
      <c r="E1099" s="143"/>
      <c r="F1099" s="143"/>
      <c r="G1099" s="143"/>
      <c r="H1099" s="143"/>
      <c r="I1099" s="222"/>
      <c r="J1099" s="222"/>
      <c r="K1099" s="222"/>
      <c r="L1099" s="222"/>
      <c r="M1099" s="222"/>
      <c r="N1099" s="222"/>
      <c r="O1099" s="222">
        <v>1614366</v>
      </c>
      <c r="P1099" s="145"/>
      <c r="Q1099" s="304">
        <f t="shared" si="964"/>
        <v>1614366</v>
      </c>
      <c r="R1099" s="231"/>
      <c r="S1099" s="429">
        <f>Q1099*$S$4*$S$5</f>
        <v>0</v>
      </c>
      <c r="T1099" s="146">
        <f>Q1099*$T$4*$T$5</f>
        <v>0</v>
      </c>
      <c r="U1099" s="420"/>
      <c r="V1099" s="407"/>
      <c r="W1099" s="236"/>
      <c r="X1099" s="236"/>
      <c r="Y1099" s="408"/>
      <c r="Z1099" s="409"/>
      <c r="AA1099" s="409"/>
      <c r="AB1099" s="410"/>
      <c r="AC1099" s="155"/>
      <c r="AD1099" s="156"/>
      <c r="AE1099" s="156"/>
      <c r="AF1099" s="156"/>
      <c r="AG1099" s="156"/>
      <c r="AH1099" s="156"/>
      <c r="AI1099" s="156"/>
      <c r="AJ1099" s="156"/>
      <c r="AK1099" s="156"/>
      <c r="AL1099" s="156"/>
      <c r="AM1099" s="157"/>
      <c r="AN1099" s="158">
        <f t="shared" si="963"/>
        <v>4000</v>
      </c>
      <c r="AO1099" s="159"/>
      <c r="AP1099" s="160"/>
      <c r="AQ1099" s="161"/>
      <c r="AR1099" s="162"/>
      <c r="AS1099" s="163"/>
      <c r="AT1099" s="164"/>
      <c r="AU1099" s="165"/>
      <c r="AV1099" s="166"/>
      <c r="AW1099" s="167"/>
      <c r="AX1099" s="146"/>
      <c r="AY1099" s="168"/>
    </row>
    <row r="1100" spans="1:51" s="139" customFormat="1" ht="11.25" hidden="1" x14ac:dyDescent="0.25">
      <c r="A1100" s="1"/>
      <c r="B1100" s="140">
        <v>11</v>
      </c>
      <c r="C1100" s="342" t="s">
        <v>399</v>
      </c>
      <c r="D1100" s="142"/>
      <c r="E1100" s="143"/>
      <c r="F1100" s="143"/>
      <c r="G1100" s="143"/>
      <c r="H1100" s="143"/>
      <c r="I1100" s="222"/>
      <c r="J1100" s="222"/>
      <c r="K1100" s="222"/>
      <c r="L1100" s="222"/>
      <c r="M1100" s="222"/>
      <c r="N1100" s="222"/>
      <c r="O1100" s="222">
        <v>754857</v>
      </c>
      <c r="P1100" s="145"/>
      <c r="Q1100" s="223">
        <f t="shared" si="964"/>
        <v>754857</v>
      </c>
      <c r="R1100" s="147">
        <f>Q1100*$R$9</f>
        <v>110209.12199999999</v>
      </c>
      <c r="S1100" s="147">
        <f>R1100/$S$5</f>
        <v>301.94279999999998</v>
      </c>
      <c r="T1100" s="148">
        <f>S1100*$T$5*$T$9</f>
        <v>77146.385399999985</v>
      </c>
      <c r="U1100" s="420"/>
      <c r="V1100" s="407"/>
      <c r="W1100" s="236"/>
      <c r="X1100" s="236"/>
      <c r="Y1100" s="408"/>
      <c r="Z1100" s="409"/>
      <c r="AA1100" s="409"/>
      <c r="AB1100" s="410"/>
      <c r="AC1100" s="155"/>
      <c r="AD1100" s="156"/>
      <c r="AE1100" s="156"/>
      <c r="AF1100" s="156"/>
      <c r="AG1100" s="156"/>
      <c r="AH1100" s="156"/>
      <c r="AI1100" s="156"/>
      <c r="AJ1100" s="156"/>
      <c r="AK1100" s="156"/>
      <c r="AL1100" s="156"/>
      <c r="AM1100" s="157"/>
      <c r="AN1100" s="158">
        <f t="shared" si="963"/>
        <v>4000</v>
      </c>
      <c r="AO1100" s="159"/>
      <c r="AP1100" s="160"/>
      <c r="AQ1100" s="161"/>
      <c r="AR1100" s="162"/>
      <c r="AS1100" s="163"/>
      <c r="AT1100" s="164"/>
      <c r="AU1100" s="165"/>
      <c r="AV1100" s="166"/>
      <c r="AW1100" s="167"/>
      <c r="AX1100" s="146"/>
      <c r="AY1100" s="168"/>
    </row>
    <row r="1101" spans="1:51" s="139" customFormat="1" ht="11.25" hidden="1" x14ac:dyDescent="0.25">
      <c r="A1101" s="1"/>
      <c r="B1101" s="140">
        <v>12</v>
      </c>
      <c r="C1101" s="345" t="s">
        <v>400</v>
      </c>
      <c r="D1101" s="142"/>
      <c r="E1101" s="143"/>
      <c r="F1101" s="143"/>
      <c r="G1101" s="143"/>
      <c r="H1101" s="143"/>
      <c r="I1101" s="222"/>
      <c r="J1101" s="222"/>
      <c r="K1101" s="222"/>
      <c r="L1101" s="222"/>
      <c r="M1101" s="222"/>
      <c r="N1101" s="222"/>
      <c r="O1101" s="222">
        <v>653617</v>
      </c>
      <c r="P1101" s="145"/>
      <c r="Q1101" s="223">
        <f t="shared" si="964"/>
        <v>653617</v>
      </c>
      <c r="R1101" s="147">
        <f>Q1101*$R$9</f>
        <v>95428.081999999995</v>
      </c>
      <c r="S1101" s="147">
        <f>R1101/$S$5</f>
        <v>261.4468</v>
      </c>
      <c r="T1101" s="148">
        <f>S1101*$T$5*$T$9</f>
        <v>66799.657399999996</v>
      </c>
      <c r="U1101" s="420"/>
      <c r="V1101" s="407"/>
      <c r="W1101" s="236"/>
      <c r="X1101" s="236"/>
      <c r="Y1101" s="408"/>
      <c r="Z1101" s="409"/>
      <c r="AA1101" s="409"/>
      <c r="AB1101" s="410"/>
      <c r="AC1101" s="155"/>
      <c r="AD1101" s="156"/>
      <c r="AE1101" s="156"/>
      <c r="AF1101" s="156"/>
      <c r="AG1101" s="156"/>
      <c r="AH1101" s="156"/>
      <c r="AI1101" s="156"/>
      <c r="AJ1101" s="156"/>
      <c r="AK1101" s="156"/>
      <c r="AL1101" s="156"/>
      <c r="AM1101" s="157"/>
      <c r="AN1101" s="158">
        <f t="shared" si="963"/>
        <v>4000</v>
      </c>
      <c r="AO1101" s="159"/>
      <c r="AP1101" s="160"/>
      <c r="AQ1101" s="161"/>
      <c r="AR1101" s="162"/>
      <c r="AS1101" s="163"/>
      <c r="AT1101" s="164"/>
      <c r="AU1101" s="165"/>
      <c r="AV1101" s="166"/>
      <c r="AW1101" s="167"/>
      <c r="AX1101" s="146"/>
      <c r="AY1101" s="168"/>
    </row>
    <row r="1102" spans="1:51" s="139" customFormat="1" ht="11.25" hidden="1" x14ac:dyDescent="0.25">
      <c r="A1102" s="1"/>
      <c r="B1102" s="140">
        <v>13</v>
      </c>
      <c r="C1102" s="335" t="s">
        <v>401</v>
      </c>
      <c r="D1102" s="142"/>
      <c r="E1102" s="143"/>
      <c r="F1102" s="143"/>
      <c r="G1102" s="143"/>
      <c r="H1102" s="143"/>
      <c r="I1102" s="222"/>
      <c r="J1102" s="222"/>
      <c r="K1102" s="222"/>
      <c r="L1102" s="222"/>
      <c r="M1102" s="222"/>
      <c r="N1102" s="222"/>
      <c r="O1102" s="222">
        <v>1184117</v>
      </c>
      <c r="P1102" s="145"/>
      <c r="Q1102" s="304">
        <f t="shared" si="964"/>
        <v>1184117</v>
      </c>
      <c r="R1102" s="147">
        <f>Q1102*$R$8</f>
        <v>194195.18799999999</v>
      </c>
      <c r="S1102" s="147">
        <f>R1102/$S$5</f>
        <v>532.04161095890413</v>
      </c>
      <c r="T1102" s="148">
        <f>S1102*$T$5*$T$8</f>
        <v>155356.15040000001</v>
      </c>
      <c r="U1102" s="420"/>
      <c r="V1102" s="407"/>
      <c r="W1102" s="236"/>
      <c r="X1102" s="236"/>
      <c r="Y1102" s="408"/>
      <c r="Z1102" s="409"/>
      <c r="AA1102" s="409"/>
      <c r="AB1102" s="410"/>
      <c r="AC1102" s="155"/>
      <c r="AD1102" s="156"/>
      <c r="AE1102" s="156"/>
      <c r="AF1102" s="156"/>
      <c r="AG1102" s="156"/>
      <c r="AH1102" s="156"/>
      <c r="AI1102" s="156"/>
      <c r="AJ1102" s="156"/>
      <c r="AK1102" s="156"/>
      <c r="AL1102" s="156"/>
      <c r="AM1102" s="157"/>
      <c r="AN1102" s="158">
        <f t="shared" si="963"/>
        <v>4000</v>
      </c>
      <c r="AO1102" s="159"/>
      <c r="AP1102" s="160"/>
      <c r="AQ1102" s="161"/>
      <c r="AR1102" s="162"/>
      <c r="AS1102" s="163"/>
      <c r="AT1102" s="164"/>
      <c r="AU1102" s="165"/>
      <c r="AV1102" s="166"/>
      <c r="AW1102" s="167"/>
      <c r="AX1102" s="146"/>
      <c r="AY1102" s="168"/>
    </row>
    <row r="1103" spans="1:51" s="139" customFormat="1" ht="11.25" hidden="1" x14ac:dyDescent="0.25">
      <c r="A1103" s="1"/>
      <c r="B1103" s="140"/>
      <c r="C1103" s="335"/>
      <c r="D1103" s="142"/>
      <c r="E1103" s="143"/>
      <c r="F1103" s="143"/>
      <c r="G1103" s="143"/>
      <c r="H1103" s="143"/>
      <c r="I1103" s="222"/>
      <c r="J1103" s="222"/>
      <c r="K1103" s="222"/>
      <c r="L1103" s="222"/>
      <c r="M1103" s="222"/>
      <c r="N1103" s="222"/>
      <c r="O1103" s="222"/>
      <c r="P1103" s="145"/>
      <c r="Q1103" s="304"/>
      <c r="R1103" s="147"/>
      <c r="S1103" s="147"/>
      <c r="T1103" s="148"/>
      <c r="U1103" s="420" t="s">
        <v>747</v>
      </c>
      <c r="V1103" s="407">
        <v>4</v>
      </c>
      <c r="W1103" s="236">
        <f>(354*0.25)*365</f>
        <v>32302.5</v>
      </c>
      <c r="X1103" s="236"/>
      <c r="Y1103" s="408"/>
      <c r="Z1103" s="409"/>
      <c r="AA1103" s="409"/>
      <c r="AB1103" s="410"/>
      <c r="AC1103" s="411">
        <f>W1103*52%</f>
        <v>16797.3</v>
      </c>
      <c r="AD1103" s="412">
        <f>W1103*25%</f>
        <v>8075.625</v>
      </c>
      <c r="AE1103" s="412">
        <f>W1103*9%</f>
        <v>2907.2249999999999</v>
      </c>
      <c r="AF1103" s="412">
        <f>W1103*5%</f>
        <v>1615.125</v>
      </c>
      <c r="AG1103" s="412">
        <f>W1103*3%</f>
        <v>969.07499999999993</v>
      </c>
      <c r="AH1103" s="412">
        <f>W1103*1%</f>
        <v>323.02500000000003</v>
      </c>
      <c r="AI1103" s="412">
        <f>W1103*2%</f>
        <v>646.05000000000007</v>
      </c>
      <c r="AJ1103" s="412">
        <f>W1103*1%</f>
        <v>323.02500000000003</v>
      </c>
      <c r="AK1103" s="412">
        <f>W1103*4%</f>
        <v>1292.1000000000001</v>
      </c>
      <c r="AL1103" s="412">
        <f>W1103*1%</f>
        <v>323.02500000000003</v>
      </c>
      <c r="AM1103" s="413">
        <f>SUM(AD1103:AI1103)</f>
        <v>14536.125</v>
      </c>
      <c r="AN1103" s="158">
        <f t="shared" si="963"/>
        <v>4000</v>
      </c>
      <c r="AO1103" s="159">
        <v>0.2</v>
      </c>
      <c r="AP1103" s="160">
        <f>AM1103*AN1103*$AP$5</f>
        <v>243439392.59999999</v>
      </c>
      <c r="AQ1103" s="161">
        <f>AP1103*$AQ$5</f>
        <v>67622.058909764281</v>
      </c>
      <c r="AR1103" s="162">
        <f>AQ1103*$AR$5</f>
        <v>13524.411781952856</v>
      </c>
      <c r="AS1103" s="163"/>
      <c r="AT1103" s="233"/>
      <c r="AU1103" s="187"/>
      <c r="AV1103" s="414">
        <f>AR1103/$AV$5</f>
        <v>1.9298532793882501</v>
      </c>
      <c r="AW1103" s="415"/>
      <c r="AX1103" s="146">
        <f>SUM(AU1103:AV1103)</f>
        <v>1.9298532793882501</v>
      </c>
      <c r="AY1103" s="168"/>
    </row>
    <row r="1104" spans="1:51" s="139" customFormat="1" ht="11.25" hidden="1" x14ac:dyDescent="0.25">
      <c r="A1104" s="1"/>
      <c r="B1104" s="140">
        <v>14</v>
      </c>
      <c r="C1104" s="335" t="s">
        <v>402</v>
      </c>
      <c r="D1104" s="142"/>
      <c r="E1104" s="143"/>
      <c r="F1104" s="143"/>
      <c r="G1104" s="143"/>
      <c r="H1104" s="143"/>
      <c r="I1104" s="222"/>
      <c r="J1104" s="222"/>
      <c r="K1104" s="222"/>
      <c r="L1104" s="222"/>
      <c r="M1104" s="222"/>
      <c r="N1104" s="222"/>
      <c r="O1104" s="222">
        <v>1469516</v>
      </c>
      <c r="P1104" s="145"/>
      <c r="Q1104" s="304">
        <f t="shared" si="964"/>
        <v>1469516</v>
      </c>
      <c r="R1104" s="147">
        <f>Q1104*$R$8</f>
        <v>241000.62400000001</v>
      </c>
      <c r="S1104" s="147">
        <f>R1104/$S$5</f>
        <v>660.2756821917809</v>
      </c>
      <c r="T1104" s="148">
        <f>S1104*$T$5*$T$8</f>
        <v>192800.49920000005</v>
      </c>
      <c r="U1104" s="420"/>
      <c r="V1104" s="407"/>
      <c r="W1104" s="236"/>
      <c r="X1104" s="236"/>
      <c r="Y1104" s="408"/>
      <c r="Z1104" s="409"/>
      <c r="AA1104" s="409"/>
      <c r="AB1104" s="410"/>
      <c r="AC1104" s="155"/>
      <c r="AD1104" s="156"/>
      <c r="AE1104" s="156"/>
      <c r="AF1104" s="156"/>
      <c r="AG1104" s="156"/>
      <c r="AH1104" s="156"/>
      <c r="AI1104" s="156"/>
      <c r="AJ1104" s="156"/>
      <c r="AK1104" s="156"/>
      <c r="AL1104" s="156"/>
      <c r="AM1104" s="157"/>
      <c r="AN1104" s="158">
        <f t="shared" si="963"/>
        <v>4000</v>
      </c>
      <c r="AO1104" s="159"/>
      <c r="AP1104" s="160"/>
      <c r="AQ1104" s="161"/>
      <c r="AR1104" s="162"/>
      <c r="AS1104" s="163"/>
      <c r="AT1104" s="164"/>
      <c r="AU1104" s="165"/>
      <c r="AV1104" s="166"/>
      <c r="AW1104" s="167"/>
      <c r="AX1104" s="146"/>
      <c r="AY1104" s="168"/>
    </row>
    <row r="1105" spans="1:51" s="139" customFormat="1" ht="11.25" hidden="1" x14ac:dyDescent="0.25">
      <c r="A1105" s="1"/>
      <c r="B1105" s="140"/>
      <c r="C1105" s="335"/>
      <c r="D1105" s="142"/>
      <c r="E1105" s="143"/>
      <c r="F1105" s="143"/>
      <c r="G1105" s="143"/>
      <c r="H1105" s="143"/>
      <c r="I1105" s="222"/>
      <c r="J1105" s="222"/>
      <c r="K1105" s="222"/>
      <c r="L1105" s="222"/>
      <c r="M1105" s="222"/>
      <c r="N1105" s="222"/>
      <c r="O1105" s="222"/>
      <c r="P1105" s="145"/>
      <c r="Q1105" s="304"/>
      <c r="R1105" s="147"/>
      <c r="S1105" s="147"/>
      <c r="T1105" s="148"/>
      <c r="U1105" s="420" t="s">
        <v>748</v>
      </c>
      <c r="V1105" s="407">
        <v>4.5</v>
      </c>
      <c r="W1105" s="236">
        <f>(192*0.25)*365</f>
        <v>17520</v>
      </c>
      <c r="X1105" s="236"/>
      <c r="Y1105" s="408"/>
      <c r="Z1105" s="409"/>
      <c r="AA1105" s="409"/>
      <c r="AB1105" s="410"/>
      <c r="AC1105" s="411">
        <f>W1105*52%</f>
        <v>9110.4</v>
      </c>
      <c r="AD1105" s="412">
        <f>W1105*25%</f>
        <v>4380</v>
      </c>
      <c r="AE1105" s="412">
        <f>W1105*9%</f>
        <v>1576.8</v>
      </c>
      <c r="AF1105" s="412">
        <f>W1105*5%</f>
        <v>876</v>
      </c>
      <c r="AG1105" s="412">
        <f>W1105*3%</f>
        <v>525.6</v>
      </c>
      <c r="AH1105" s="412">
        <f>W1105*1%</f>
        <v>175.20000000000002</v>
      </c>
      <c r="AI1105" s="412">
        <f>W1105*2%</f>
        <v>350.40000000000003</v>
      </c>
      <c r="AJ1105" s="412">
        <f>W1105*1%</f>
        <v>175.20000000000002</v>
      </c>
      <c r="AK1105" s="412">
        <f>W1105*4%</f>
        <v>700.80000000000007</v>
      </c>
      <c r="AL1105" s="412">
        <f>W1105*1%</f>
        <v>175.20000000000002</v>
      </c>
      <c r="AM1105" s="413">
        <f>SUM(AD1105:AI1105)</f>
        <v>7884</v>
      </c>
      <c r="AN1105" s="158">
        <f t="shared" si="963"/>
        <v>4000</v>
      </c>
      <c r="AO1105" s="159">
        <v>0.2</v>
      </c>
      <c r="AP1105" s="160">
        <f>AM1105*AN1105*$AP$5</f>
        <v>132034924.8</v>
      </c>
      <c r="AQ1105" s="161">
        <f>AP1105*$AQ$5</f>
        <v>36676.370934109436</v>
      </c>
      <c r="AR1105" s="162">
        <f>AQ1105*$AR$5</f>
        <v>7335.2741868218873</v>
      </c>
      <c r="AS1105" s="163"/>
      <c r="AT1105" s="233"/>
      <c r="AU1105" s="187"/>
      <c r="AV1105" s="414">
        <f>AR1105/$AV$5</f>
        <v>1.0467000837359999</v>
      </c>
      <c r="AW1105" s="415"/>
      <c r="AX1105" s="146">
        <f>SUM(AU1105:AV1105)</f>
        <v>1.0467000837359999</v>
      </c>
      <c r="AY1105" s="168"/>
    </row>
    <row r="1106" spans="1:51" s="139" customFormat="1" ht="11.25" hidden="1" x14ac:dyDescent="0.25">
      <c r="A1106" s="1"/>
      <c r="B1106" s="140">
        <v>15</v>
      </c>
      <c r="C1106" s="343" t="s">
        <v>403</v>
      </c>
      <c r="D1106" s="142"/>
      <c r="E1106" s="143"/>
      <c r="F1106" s="143"/>
      <c r="G1106" s="143"/>
      <c r="H1106" s="143"/>
      <c r="I1106" s="222"/>
      <c r="J1106" s="222"/>
      <c r="K1106" s="222"/>
      <c r="L1106" s="222"/>
      <c r="M1106" s="222"/>
      <c r="N1106" s="222"/>
      <c r="O1106" s="222">
        <v>1991776</v>
      </c>
      <c r="P1106" s="145"/>
      <c r="Q1106" s="304">
        <f t="shared" si="964"/>
        <v>1991776</v>
      </c>
      <c r="R1106" s="147">
        <f>Q1106*$R$7</f>
        <v>472050.91199999995</v>
      </c>
      <c r="S1106" s="147">
        <f>R1106/$S$5</f>
        <v>1293.2901698630135</v>
      </c>
      <c r="T1106" s="148">
        <f>S1106*$T$5*$T$7</f>
        <v>424845.82079999993</v>
      </c>
      <c r="U1106" s="420"/>
      <c r="V1106" s="407"/>
      <c r="W1106" s="236"/>
      <c r="X1106" s="236"/>
      <c r="Y1106" s="408"/>
      <c r="Z1106" s="409"/>
      <c r="AA1106" s="409"/>
      <c r="AB1106" s="410"/>
      <c r="AC1106" s="155"/>
      <c r="AD1106" s="156"/>
      <c r="AE1106" s="156"/>
      <c r="AF1106" s="156"/>
      <c r="AG1106" s="156"/>
      <c r="AH1106" s="156"/>
      <c r="AI1106" s="156"/>
      <c r="AJ1106" s="156"/>
      <c r="AK1106" s="156"/>
      <c r="AL1106" s="156"/>
      <c r="AM1106" s="157"/>
      <c r="AN1106" s="158">
        <f t="shared" si="963"/>
        <v>4000</v>
      </c>
      <c r="AO1106" s="159"/>
      <c r="AP1106" s="160"/>
      <c r="AQ1106" s="161"/>
      <c r="AR1106" s="162"/>
      <c r="AS1106" s="163"/>
      <c r="AT1106" s="164"/>
      <c r="AU1106" s="165"/>
      <c r="AV1106" s="166"/>
      <c r="AW1106" s="167"/>
      <c r="AX1106" s="146"/>
      <c r="AY1106" s="168"/>
    </row>
    <row r="1107" spans="1:51" s="139" customFormat="1" ht="11.25" hidden="1" x14ac:dyDescent="0.25">
      <c r="A1107" s="1"/>
      <c r="B1107" s="140"/>
      <c r="C1107" s="343"/>
      <c r="D1107" s="142"/>
      <c r="E1107" s="143"/>
      <c r="F1107" s="143"/>
      <c r="G1107" s="143"/>
      <c r="H1107" s="143"/>
      <c r="I1107" s="222"/>
      <c r="J1107" s="222"/>
      <c r="K1107" s="222"/>
      <c r="L1107" s="222"/>
      <c r="M1107" s="222"/>
      <c r="N1107" s="222"/>
      <c r="O1107" s="222"/>
      <c r="P1107" s="145"/>
      <c r="Q1107" s="304"/>
      <c r="R1107" s="231"/>
      <c r="S1107" s="429"/>
      <c r="T1107" s="146"/>
      <c r="U1107" s="420" t="s">
        <v>749</v>
      </c>
      <c r="V1107" s="407"/>
      <c r="W1107" s="236">
        <f>218*365</f>
        <v>79570</v>
      </c>
      <c r="X1107" s="236"/>
      <c r="Y1107" s="408"/>
      <c r="Z1107" s="409"/>
      <c r="AA1107" s="409"/>
      <c r="AB1107" s="410"/>
      <c r="AC1107" s="411">
        <f>W1107*52%</f>
        <v>41376.400000000001</v>
      </c>
      <c r="AD1107" s="412">
        <f>W1107*25%</f>
        <v>19892.5</v>
      </c>
      <c r="AE1107" s="412">
        <f>W1107*9%</f>
        <v>7161.3</v>
      </c>
      <c r="AF1107" s="412">
        <f>W1107*5%</f>
        <v>3978.5</v>
      </c>
      <c r="AG1107" s="412">
        <f>W1107*3%</f>
        <v>2387.1</v>
      </c>
      <c r="AH1107" s="412">
        <f>W1107*1%</f>
        <v>795.7</v>
      </c>
      <c r="AI1107" s="412">
        <f>W1107*2%</f>
        <v>1591.4</v>
      </c>
      <c r="AJ1107" s="412">
        <f>W1107*1%</f>
        <v>795.7</v>
      </c>
      <c r="AK1107" s="412">
        <f>W1107*4%</f>
        <v>3182.8</v>
      </c>
      <c r="AL1107" s="412">
        <f>W1107*1%</f>
        <v>795.7</v>
      </c>
      <c r="AM1107" s="413">
        <f>SUM(AD1107:AI1107)</f>
        <v>35806.5</v>
      </c>
      <c r="AN1107" s="158">
        <f t="shared" si="963"/>
        <v>4000</v>
      </c>
      <c r="AO1107" s="159">
        <v>0.2</v>
      </c>
      <c r="AP1107" s="160">
        <f>AM1107*AN1107*$AP$5</f>
        <v>599658616.79999995</v>
      </c>
      <c r="AQ1107" s="161">
        <f>AP1107*$AQ$5</f>
        <v>166571.85132574703</v>
      </c>
      <c r="AR1107" s="162">
        <f>AQ1107*$AR$5</f>
        <v>33314.37026514941</v>
      </c>
      <c r="AS1107" s="163"/>
      <c r="AT1107" s="233"/>
      <c r="AU1107" s="187">
        <v>0.5</v>
      </c>
      <c r="AV1107" s="414">
        <f>AR1107/$AV$5</f>
        <v>4.7537628803010001</v>
      </c>
      <c r="AW1107" s="415"/>
      <c r="AX1107" s="146">
        <f>SUM(AU1107:AV1107)</f>
        <v>5.2537628803010001</v>
      </c>
      <c r="AY1107" s="168"/>
    </row>
    <row r="1108" spans="1:51" s="139" customFormat="1" ht="11.25" hidden="1" x14ac:dyDescent="0.25">
      <c r="A1108" s="1"/>
      <c r="B1108" s="140">
        <v>16</v>
      </c>
      <c r="C1108" s="343" t="s">
        <v>404</v>
      </c>
      <c r="D1108" s="142"/>
      <c r="E1108" s="143"/>
      <c r="F1108" s="143"/>
      <c r="G1108" s="143"/>
      <c r="H1108" s="143"/>
      <c r="I1108" s="222"/>
      <c r="J1108" s="222"/>
      <c r="K1108" s="222"/>
      <c r="L1108" s="222"/>
      <c r="M1108" s="222"/>
      <c r="N1108" s="222"/>
      <c r="O1108" s="222">
        <v>1088632</v>
      </c>
      <c r="P1108" s="145"/>
      <c r="Q1108" s="304">
        <f t="shared" si="964"/>
        <v>1088632</v>
      </c>
      <c r="R1108" s="147">
        <f>Q1108*$R$8</f>
        <v>178535.64800000002</v>
      </c>
      <c r="S1108" s="147">
        <f>R1108/$S$5</f>
        <v>489.13876164383566</v>
      </c>
      <c r="T1108" s="148">
        <f>S1108*$T$5*$T$8</f>
        <v>142828.51840000003</v>
      </c>
      <c r="U1108" s="420"/>
      <c r="V1108" s="407"/>
      <c r="W1108" s="236"/>
      <c r="X1108" s="236"/>
      <c r="Y1108" s="408"/>
      <c r="Z1108" s="409"/>
      <c r="AA1108" s="409"/>
      <c r="AB1108" s="410"/>
      <c r="AC1108" s="155"/>
      <c r="AD1108" s="156"/>
      <c r="AE1108" s="156"/>
      <c r="AF1108" s="156"/>
      <c r="AG1108" s="156"/>
      <c r="AH1108" s="156"/>
      <c r="AI1108" s="156"/>
      <c r="AJ1108" s="156"/>
      <c r="AK1108" s="156"/>
      <c r="AL1108" s="156"/>
      <c r="AM1108" s="157"/>
      <c r="AN1108" s="158">
        <f t="shared" si="963"/>
        <v>4000</v>
      </c>
      <c r="AO1108" s="159"/>
      <c r="AP1108" s="160"/>
      <c r="AQ1108" s="161"/>
      <c r="AR1108" s="162"/>
      <c r="AS1108" s="163"/>
      <c r="AT1108" s="164"/>
      <c r="AU1108" s="165"/>
      <c r="AV1108" s="166"/>
      <c r="AW1108" s="167"/>
      <c r="AX1108" s="146"/>
      <c r="AY1108" s="168"/>
    </row>
    <row r="1109" spans="1:51" s="139" customFormat="1" ht="11.25" hidden="1" x14ac:dyDescent="0.25">
      <c r="A1109" s="1"/>
      <c r="B1109" s="140"/>
      <c r="C1109" s="343"/>
      <c r="D1109" s="142"/>
      <c r="E1109" s="143"/>
      <c r="F1109" s="143"/>
      <c r="G1109" s="143"/>
      <c r="H1109" s="143"/>
      <c r="I1109" s="222"/>
      <c r="J1109" s="222"/>
      <c r="K1109" s="222"/>
      <c r="L1109" s="222"/>
      <c r="M1109" s="222"/>
      <c r="N1109" s="222"/>
      <c r="O1109" s="222"/>
      <c r="P1109" s="145"/>
      <c r="Q1109" s="304"/>
      <c r="R1109" s="147"/>
      <c r="S1109" s="147"/>
      <c r="T1109" s="148"/>
      <c r="U1109" s="420" t="s">
        <v>750</v>
      </c>
      <c r="V1109" s="407">
        <v>5</v>
      </c>
      <c r="W1109" s="236">
        <f>(257*0.25)*365</f>
        <v>23451.25</v>
      </c>
      <c r="X1109" s="236"/>
      <c r="Y1109" s="408"/>
      <c r="Z1109" s="409"/>
      <c r="AA1109" s="409"/>
      <c r="AB1109" s="410"/>
      <c r="AC1109" s="411">
        <f>W1109*52%</f>
        <v>12194.65</v>
      </c>
      <c r="AD1109" s="412">
        <f>W1109*25%</f>
        <v>5862.8125</v>
      </c>
      <c r="AE1109" s="412">
        <f>W1109*9%</f>
        <v>2110.6124999999997</v>
      </c>
      <c r="AF1109" s="412">
        <f>W1109*5%</f>
        <v>1172.5625</v>
      </c>
      <c r="AG1109" s="412">
        <f>W1109*3%</f>
        <v>703.53750000000002</v>
      </c>
      <c r="AH1109" s="412">
        <f>W1109*1%</f>
        <v>234.51250000000002</v>
      </c>
      <c r="AI1109" s="412">
        <f>W1109*2%</f>
        <v>469.02500000000003</v>
      </c>
      <c r="AJ1109" s="412">
        <f>W1109*1%</f>
        <v>234.51250000000002</v>
      </c>
      <c r="AK1109" s="412">
        <f>W1109*4%</f>
        <v>938.05000000000007</v>
      </c>
      <c r="AL1109" s="412">
        <f>W1109*1%</f>
        <v>234.51250000000002</v>
      </c>
      <c r="AM1109" s="413">
        <f>SUM(AD1109:AI1109)</f>
        <v>10553.0625</v>
      </c>
      <c r="AN1109" s="158">
        <f t="shared" si="963"/>
        <v>4000</v>
      </c>
      <c r="AO1109" s="159">
        <v>0.2</v>
      </c>
      <c r="AP1109" s="160">
        <f>AM1109*AN1109*$AP$5</f>
        <v>176734248.29999998</v>
      </c>
      <c r="AQ1109" s="161">
        <f>AP1109*$AQ$5</f>
        <v>49092.850677427734</v>
      </c>
      <c r="AR1109" s="162">
        <f>AQ1109*$AR$5</f>
        <v>9818.5701354855464</v>
      </c>
      <c r="AS1109" s="163"/>
      <c r="AT1109" s="233"/>
      <c r="AU1109" s="187"/>
      <c r="AV1109" s="414">
        <f>AR1109/$AV$5</f>
        <v>1.4010516745841248</v>
      </c>
      <c r="AW1109" s="415"/>
      <c r="AX1109" s="146">
        <f>SUM(AU1109:AV1109)</f>
        <v>1.4010516745841248</v>
      </c>
      <c r="AY1109" s="168"/>
    </row>
    <row r="1110" spans="1:51" s="139" customFormat="1" ht="11.25" hidden="1" x14ac:dyDescent="0.25">
      <c r="A1110" s="1"/>
      <c r="B1110" s="140">
        <v>17</v>
      </c>
      <c r="C1110" s="343" t="s">
        <v>405</v>
      </c>
      <c r="D1110" s="142"/>
      <c r="E1110" s="143"/>
      <c r="F1110" s="143"/>
      <c r="G1110" s="143"/>
      <c r="H1110" s="143"/>
      <c r="I1110" s="222"/>
      <c r="J1110" s="222"/>
      <c r="K1110" s="222"/>
      <c r="L1110" s="222"/>
      <c r="M1110" s="222"/>
      <c r="N1110" s="222"/>
      <c r="O1110" s="222">
        <v>1388276</v>
      </c>
      <c r="P1110" s="145"/>
      <c r="Q1110" s="304">
        <f t="shared" si="964"/>
        <v>1388276</v>
      </c>
      <c r="R1110" s="147">
        <f>Q1110*$R$8</f>
        <v>227677.264</v>
      </c>
      <c r="S1110" s="147">
        <f>R1110/$S$5</f>
        <v>623.77332602739727</v>
      </c>
      <c r="T1110" s="148">
        <f>S1110*$T$5*$T$8</f>
        <v>182141.8112</v>
      </c>
      <c r="U1110" s="420"/>
      <c r="V1110" s="407"/>
      <c r="W1110" s="236"/>
      <c r="X1110" s="236"/>
      <c r="Y1110" s="408"/>
      <c r="Z1110" s="409"/>
      <c r="AA1110" s="409"/>
      <c r="AB1110" s="410"/>
      <c r="AC1110" s="155"/>
      <c r="AD1110" s="156"/>
      <c r="AE1110" s="156"/>
      <c r="AF1110" s="156"/>
      <c r="AG1110" s="156"/>
      <c r="AH1110" s="156"/>
      <c r="AI1110" s="156"/>
      <c r="AJ1110" s="156"/>
      <c r="AK1110" s="156"/>
      <c r="AL1110" s="156"/>
      <c r="AM1110" s="157"/>
      <c r="AN1110" s="158">
        <f t="shared" si="963"/>
        <v>4000</v>
      </c>
      <c r="AO1110" s="159"/>
      <c r="AP1110" s="160"/>
      <c r="AQ1110" s="161"/>
      <c r="AR1110" s="162"/>
      <c r="AS1110" s="163"/>
      <c r="AT1110" s="233"/>
      <c r="AU1110" s="187"/>
      <c r="AV1110" s="166"/>
      <c r="AW1110" s="167"/>
      <c r="AX1110" s="146"/>
      <c r="AY1110" s="168"/>
    </row>
    <row r="1111" spans="1:51" s="139" customFormat="1" ht="11.25" hidden="1" x14ac:dyDescent="0.25">
      <c r="A1111" s="1"/>
      <c r="B1111" s="140"/>
      <c r="C1111" s="343"/>
      <c r="D1111" s="142"/>
      <c r="E1111" s="143"/>
      <c r="F1111" s="143"/>
      <c r="G1111" s="143"/>
      <c r="H1111" s="143"/>
      <c r="I1111" s="222"/>
      <c r="J1111" s="222"/>
      <c r="K1111" s="222"/>
      <c r="L1111" s="222"/>
      <c r="M1111" s="222"/>
      <c r="N1111" s="222"/>
      <c r="O1111" s="222"/>
      <c r="P1111" s="145"/>
      <c r="Q1111" s="304"/>
      <c r="R1111" s="147"/>
      <c r="S1111" s="147"/>
      <c r="T1111" s="148"/>
      <c r="U1111" s="420" t="s">
        <v>751</v>
      </c>
      <c r="V1111" s="407">
        <v>5</v>
      </c>
      <c r="W1111" s="236">
        <f>(318*0.25)*365</f>
        <v>29017.5</v>
      </c>
      <c r="X1111" s="236"/>
      <c r="Y1111" s="408"/>
      <c r="Z1111" s="409"/>
      <c r="AA1111" s="409"/>
      <c r="AB1111" s="410"/>
      <c r="AC1111" s="411">
        <f>W1111*52%</f>
        <v>15089.1</v>
      </c>
      <c r="AD1111" s="412">
        <f>W1111*25%</f>
        <v>7254.375</v>
      </c>
      <c r="AE1111" s="412">
        <f>W1111*9%</f>
        <v>2611.5749999999998</v>
      </c>
      <c r="AF1111" s="412">
        <f>W1111*5%</f>
        <v>1450.875</v>
      </c>
      <c r="AG1111" s="412">
        <f>W1111*3%</f>
        <v>870.52499999999998</v>
      </c>
      <c r="AH1111" s="412">
        <f>W1111*1%</f>
        <v>290.17500000000001</v>
      </c>
      <c r="AI1111" s="412">
        <f>W1111*2%</f>
        <v>580.35</v>
      </c>
      <c r="AJ1111" s="412">
        <f>W1111*1%</f>
        <v>290.17500000000001</v>
      </c>
      <c r="AK1111" s="412">
        <f>W1111*4%</f>
        <v>1160.7</v>
      </c>
      <c r="AL1111" s="412">
        <f>W1111*1%</f>
        <v>290.17500000000001</v>
      </c>
      <c r="AM1111" s="413">
        <f>SUM(AD1111:AI1111)</f>
        <v>13057.875</v>
      </c>
      <c r="AN1111" s="158">
        <f t="shared" si="963"/>
        <v>4000</v>
      </c>
      <c r="AO1111" s="159">
        <v>0.2</v>
      </c>
      <c r="AP1111" s="160">
        <f>AM1111*AN1111*$AP$5</f>
        <v>218682844.19999999</v>
      </c>
      <c r="AQ1111" s="161">
        <f>AP1111*$AQ$5</f>
        <v>60745.239359618754</v>
      </c>
      <c r="AR1111" s="162">
        <f>AQ1111*$AR$5</f>
        <v>12149.047871923751</v>
      </c>
      <c r="AS1111" s="163"/>
      <c r="AT1111" s="233"/>
      <c r="AU1111" s="187"/>
      <c r="AV1111" s="414">
        <f>AR1111/$AV$5</f>
        <v>1.7335970136877499</v>
      </c>
      <c r="AW1111" s="415"/>
      <c r="AX1111" s="146">
        <f>SUM(AU1111:AV1111)</f>
        <v>1.7335970136877499</v>
      </c>
      <c r="AY1111" s="168"/>
    </row>
    <row r="1112" spans="1:51" s="139" customFormat="1" ht="11.25" hidden="1" x14ac:dyDescent="0.25">
      <c r="A1112" s="1"/>
      <c r="B1112" s="140">
        <v>18</v>
      </c>
      <c r="C1112" s="343" t="s">
        <v>406</v>
      </c>
      <c r="D1112" s="142"/>
      <c r="E1112" s="143"/>
      <c r="F1112" s="143"/>
      <c r="G1112" s="143"/>
      <c r="H1112" s="143"/>
      <c r="I1112" s="222"/>
      <c r="J1112" s="222"/>
      <c r="K1112" s="222"/>
      <c r="L1112" s="222"/>
      <c r="M1112" s="222"/>
      <c r="N1112" s="222"/>
      <c r="O1112" s="222">
        <v>1197935</v>
      </c>
      <c r="P1112" s="145"/>
      <c r="Q1112" s="304">
        <f t="shared" si="964"/>
        <v>1197935</v>
      </c>
      <c r="R1112" s="147">
        <f>Q1112*$R$8</f>
        <v>196461.34</v>
      </c>
      <c r="S1112" s="147">
        <f>R1112/$S$5</f>
        <v>538.25024657534243</v>
      </c>
      <c r="T1112" s="148">
        <f>S1112*$T$5*$T$8</f>
        <v>157169.07200000001</v>
      </c>
      <c r="U1112" s="420"/>
      <c r="V1112" s="407"/>
      <c r="W1112" s="236"/>
      <c r="X1112" s="236"/>
      <c r="Y1112" s="408"/>
      <c r="Z1112" s="409"/>
      <c r="AA1112" s="409"/>
      <c r="AB1112" s="410"/>
      <c r="AC1112" s="155"/>
      <c r="AD1112" s="156"/>
      <c r="AE1112" s="156"/>
      <c r="AF1112" s="156"/>
      <c r="AG1112" s="156"/>
      <c r="AH1112" s="156"/>
      <c r="AI1112" s="156"/>
      <c r="AJ1112" s="156"/>
      <c r="AK1112" s="156"/>
      <c r="AL1112" s="156"/>
      <c r="AM1112" s="157"/>
      <c r="AN1112" s="158">
        <f t="shared" si="963"/>
        <v>4000</v>
      </c>
      <c r="AO1112" s="159"/>
      <c r="AP1112" s="160"/>
      <c r="AQ1112" s="161"/>
      <c r="AR1112" s="162"/>
      <c r="AS1112" s="163"/>
      <c r="AT1112" s="233"/>
      <c r="AU1112" s="187"/>
      <c r="AV1112" s="166"/>
      <c r="AW1112" s="167"/>
      <c r="AX1112" s="146"/>
      <c r="AY1112" s="168"/>
    </row>
    <row r="1113" spans="1:51" s="139" customFormat="1" ht="11.25" hidden="1" x14ac:dyDescent="0.25">
      <c r="A1113" s="1"/>
      <c r="B1113" s="140"/>
      <c r="C1113" s="343"/>
      <c r="D1113" s="142"/>
      <c r="E1113" s="143"/>
      <c r="F1113" s="143"/>
      <c r="G1113" s="143"/>
      <c r="H1113" s="143"/>
      <c r="I1113" s="222"/>
      <c r="J1113" s="222"/>
      <c r="K1113" s="222"/>
      <c r="L1113" s="222"/>
      <c r="M1113" s="222"/>
      <c r="N1113" s="222"/>
      <c r="O1113" s="222"/>
      <c r="P1113" s="145"/>
      <c r="Q1113" s="304"/>
      <c r="R1113" s="147"/>
      <c r="S1113" s="147"/>
      <c r="T1113" s="148"/>
      <c r="U1113" s="420" t="s">
        <v>752</v>
      </c>
      <c r="V1113" s="407">
        <v>5</v>
      </c>
      <c r="W1113" s="236"/>
      <c r="X1113" s="236"/>
      <c r="Y1113" s="408"/>
      <c r="Z1113" s="409"/>
      <c r="AA1113" s="409"/>
      <c r="AB1113" s="410"/>
      <c r="AC1113" s="155"/>
      <c r="AD1113" s="156"/>
      <c r="AE1113" s="156"/>
      <c r="AF1113" s="156"/>
      <c r="AG1113" s="156"/>
      <c r="AH1113" s="156"/>
      <c r="AI1113" s="156"/>
      <c r="AJ1113" s="156"/>
      <c r="AK1113" s="156"/>
      <c r="AL1113" s="156"/>
      <c r="AM1113" s="157"/>
      <c r="AN1113" s="158"/>
      <c r="AO1113" s="159"/>
      <c r="AP1113" s="160"/>
      <c r="AQ1113" s="161"/>
      <c r="AR1113" s="162"/>
      <c r="AS1113" s="163"/>
      <c r="AT1113" s="233"/>
      <c r="AU1113" s="187"/>
      <c r="AV1113" s="166"/>
      <c r="AW1113" s="167"/>
      <c r="AX1113" s="146"/>
      <c r="AY1113" s="168"/>
    </row>
    <row r="1114" spans="1:51" s="139" customFormat="1" ht="11.25" hidden="1" x14ac:dyDescent="0.25">
      <c r="A1114" s="1"/>
      <c r="B1114" s="140"/>
      <c r="C1114" s="343"/>
      <c r="D1114" s="142"/>
      <c r="E1114" s="143"/>
      <c r="F1114" s="143"/>
      <c r="G1114" s="143"/>
      <c r="H1114" s="143"/>
      <c r="I1114" s="222"/>
      <c r="J1114" s="222"/>
      <c r="K1114" s="222"/>
      <c r="L1114" s="222"/>
      <c r="M1114" s="222"/>
      <c r="N1114" s="222"/>
      <c r="O1114" s="222"/>
      <c r="P1114" s="145"/>
      <c r="Q1114" s="304"/>
      <c r="R1114" s="147"/>
      <c r="S1114" s="147"/>
      <c r="T1114" s="148"/>
      <c r="U1114" s="420" t="s">
        <v>753</v>
      </c>
      <c r="V1114" s="407">
        <v>2</v>
      </c>
      <c r="W1114" s="236"/>
      <c r="X1114" s="236"/>
      <c r="Y1114" s="408"/>
      <c r="Z1114" s="409"/>
      <c r="AA1114" s="409"/>
      <c r="AB1114" s="410"/>
      <c r="AC1114" s="155"/>
      <c r="AD1114" s="156"/>
      <c r="AE1114" s="156"/>
      <c r="AF1114" s="156"/>
      <c r="AG1114" s="156"/>
      <c r="AH1114" s="156"/>
      <c r="AI1114" s="156"/>
      <c r="AJ1114" s="156"/>
      <c r="AK1114" s="156"/>
      <c r="AL1114" s="156"/>
      <c r="AM1114" s="157"/>
      <c r="AN1114" s="158"/>
      <c r="AO1114" s="159"/>
      <c r="AP1114" s="160"/>
      <c r="AQ1114" s="161"/>
      <c r="AR1114" s="162"/>
      <c r="AS1114" s="163"/>
      <c r="AT1114" s="233"/>
      <c r="AU1114" s="187"/>
      <c r="AV1114" s="166"/>
      <c r="AW1114" s="167"/>
      <c r="AX1114" s="146"/>
      <c r="AY1114" s="168"/>
    </row>
    <row r="1115" spans="1:51" s="139" customFormat="1" ht="11.25" hidden="1" x14ac:dyDescent="0.25">
      <c r="A1115" s="1"/>
      <c r="B1115" s="140"/>
      <c r="C1115" s="343"/>
      <c r="D1115" s="142"/>
      <c r="E1115" s="143"/>
      <c r="F1115" s="143"/>
      <c r="G1115" s="143"/>
      <c r="H1115" s="143"/>
      <c r="I1115" s="222"/>
      <c r="J1115" s="222"/>
      <c r="K1115" s="222"/>
      <c r="L1115" s="222"/>
      <c r="M1115" s="222"/>
      <c r="N1115" s="222"/>
      <c r="O1115" s="222"/>
      <c r="P1115" s="145"/>
      <c r="Q1115" s="304"/>
      <c r="R1115" s="147"/>
      <c r="S1115" s="147"/>
      <c r="T1115" s="148"/>
      <c r="U1115" s="420" t="s">
        <v>754</v>
      </c>
      <c r="V1115" s="407">
        <v>1.5</v>
      </c>
      <c r="W1115" s="236"/>
      <c r="X1115" s="236"/>
      <c r="Y1115" s="408"/>
      <c r="Z1115" s="409"/>
      <c r="AA1115" s="409"/>
      <c r="AB1115" s="410"/>
      <c r="AC1115" s="155"/>
      <c r="AD1115" s="156"/>
      <c r="AE1115" s="156"/>
      <c r="AF1115" s="156"/>
      <c r="AG1115" s="156"/>
      <c r="AH1115" s="156"/>
      <c r="AI1115" s="156"/>
      <c r="AJ1115" s="156"/>
      <c r="AK1115" s="156"/>
      <c r="AL1115" s="156"/>
      <c r="AM1115" s="157"/>
      <c r="AN1115" s="158"/>
      <c r="AO1115" s="159"/>
      <c r="AP1115" s="160"/>
      <c r="AQ1115" s="161"/>
      <c r="AR1115" s="162"/>
      <c r="AS1115" s="163"/>
      <c r="AT1115" s="233"/>
      <c r="AU1115" s="187"/>
      <c r="AV1115" s="166"/>
      <c r="AW1115" s="167"/>
      <c r="AX1115" s="146"/>
      <c r="AY1115" s="168"/>
    </row>
    <row r="1116" spans="1:51" s="139" customFormat="1" ht="11.25" hidden="1" x14ac:dyDescent="0.25">
      <c r="A1116" s="1"/>
      <c r="B1116" s="140">
        <v>19</v>
      </c>
      <c r="C1116" s="342" t="s">
        <v>407</v>
      </c>
      <c r="D1116" s="142"/>
      <c r="E1116" s="143"/>
      <c r="F1116" s="143"/>
      <c r="G1116" s="143"/>
      <c r="H1116" s="143"/>
      <c r="I1116" s="222"/>
      <c r="J1116" s="222"/>
      <c r="K1116" s="222"/>
      <c r="L1116" s="222"/>
      <c r="M1116" s="222"/>
      <c r="N1116" s="222"/>
      <c r="O1116" s="222">
        <v>772859</v>
      </c>
      <c r="P1116" s="145"/>
      <c r="Q1116" s="223">
        <f t="shared" si="964"/>
        <v>772859</v>
      </c>
      <c r="R1116" s="147">
        <f>Q1116*$R$9</f>
        <v>112837.41399999999</v>
      </c>
      <c r="S1116" s="147">
        <f>R1116/$S$5</f>
        <v>309.14359999999999</v>
      </c>
      <c r="T1116" s="148">
        <f>S1116*$T$5*$T$9</f>
        <v>78986.189799999993</v>
      </c>
      <c r="U1116" s="420"/>
      <c r="V1116" s="407"/>
      <c r="W1116" s="236"/>
      <c r="X1116" s="236"/>
      <c r="Y1116" s="408"/>
      <c r="Z1116" s="409"/>
      <c r="AA1116" s="409"/>
      <c r="AB1116" s="410"/>
      <c r="AC1116" s="155"/>
      <c r="AD1116" s="156"/>
      <c r="AE1116" s="156"/>
      <c r="AF1116" s="156"/>
      <c r="AG1116" s="156"/>
      <c r="AH1116" s="156"/>
      <c r="AI1116" s="156"/>
      <c r="AJ1116" s="156"/>
      <c r="AK1116" s="156"/>
      <c r="AL1116" s="156"/>
      <c r="AM1116" s="157"/>
      <c r="AN1116" s="158">
        <f t="shared" si="963"/>
        <v>4000</v>
      </c>
      <c r="AO1116" s="159"/>
      <c r="AP1116" s="160"/>
      <c r="AQ1116" s="161"/>
      <c r="AR1116" s="162"/>
      <c r="AS1116" s="163"/>
      <c r="AT1116" s="164"/>
      <c r="AU1116" s="165"/>
      <c r="AV1116" s="166"/>
      <c r="AW1116" s="167"/>
      <c r="AX1116" s="146"/>
      <c r="AY1116" s="168"/>
    </row>
    <row r="1117" spans="1:51" s="139" customFormat="1" ht="11.25" hidden="1" x14ac:dyDescent="0.25">
      <c r="A1117" s="1"/>
      <c r="B1117" s="140">
        <v>20</v>
      </c>
      <c r="C1117" s="342" t="s">
        <v>408</v>
      </c>
      <c r="D1117" s="142"/>
      <c r="E1117" s="143"/>
      <c r="F1117" s="143"/>
      <c r="G1117" s="143"/>
      <c r="H1117" s="143"/>
      <c r="I1117" s="222"/>
      <c r="J1117" s="222"/>
      <c r="K1117" s="222"/>
      <c r="L1117" s="222"/>
      <c r="M1117" s="222"/>
      <c r="N1117" s="222"/>
      <c r="O1117" s="222">
        <v>700896</v>
      </c>
      <c r="P1117" s="145"/>
      <c r="Q1117" s="223">
        <f t="shared" si="964"/>
        <v>700896</v>
      </c>
      <c r="R1117" s="147">
        <f>Q1117*$R$9</f>
        <v>102330.81599999999</v>
      </c>
      <c r="S1117" s="147">
        <f>R1117/$S$5</f>
        <v>280.35839999999996</v>
      </c>
      <c r="T1117" s="148">
        <f>S1117*$T$5*$T$9</f>
        <v>71631.571199999991</v>
      </c>
      <c r="U1117" s="420"/>
      <c r="V1117" s="407"/>
      <c r="W1117" s="236"/>
      <c r="X1117" s="236"/>
      <c r="Y1117" s="408"/>
      <c r="Z1117" s="409"/>
      <c r="AA1117" s="409"/>
      <c r="AB1117" s="410"/>
      <c r="AC1117" s="155"/>
      <c r="AD1117" s="156"/>
      <c r="AE1117" s="156"/>
      <c r="AF1117" s="156"/>
      <c r="AG1117" s="156"/>
      <c r="AH1117" s="156"/>
      <c r="AI1117" s="156"/>
      <c r="AJ1117" s="156"/>
      <c r="AK1117" s="156"/>
      <c r="AL1117" s="156"/>
      <c r="AM1117" s="157"/>
      <c r="AN1117" s="158">
        <f t="shared" si="963"/>
        <v>4000</v>
      </c>
      <c r="AO1117" s="159"/>
      <c r="AP1117" s="160"/>
      <c r="AQ1117" s="161"/>
      <c r="AR1117" s="162"/>
      <c r="AS1117" s="163"/>
      <c r="AT1117" s="164"/>
      <c r="AU1117" s="165"/>
      <c r="AV1117" s="166"/>
      <c r="AW1117" s="167"/>
      <c r="AX1117" s="146"/>
      <c r="AY1117" s="168"/>
    </row>
    <row r="1118" spans="1:51" s="139" customFormat="1" ht="11.25" hidden="1" x14ac:dyDescent="0.25">
      <c r="A1118" s="1"/>
      <c r="B1118" s="140">
        <v>21</v>
      </c>
      <c r="C1118" s="343" t="s">
        <v>409</v>
      </c>
      <c r="D1118" s="142"/>
      <c r="E1118" s="143"/>
      <c r="F1118" s="143"/>
      <c r="G1118" s="143"/>
      <c r="H1118" s="143"/>
      <c r="I1118" s="222"/>
      <c r="J1118" s="222"/>
      <c r="K1118" s="222"/>
      <c r="L1118" s="222"/>
      <c r="M1118" s="222"/>
      <c r="N1118" s="222"/>
      <c r="O1118" s="222">
        <v>912240</v>
      </c>
      <c r="P1118" s="145"/>
      <c r="Q1118" s="304">
        <f t="shared" si="964"/>
        <v>912240</v>
      </c>
      <c r="R1118" s="147">
        <f>Q1118*$R$9</f>
        <v>133187.03999999998</v>
      </c>
      <c r="S1118" s="147">
        <f>R1118/$S$5</f>
        <v>364.89599999999996</v>
      </c>
      <c r="T1118" s="148">
        <f>S1118*$T$5*$T$9</f>
        <v>93230.927999999985</v>
      </c>
      <c r="U1118" s="420"/>
      <c r="V1118" s="407"/>
      <c r="W1118" s="236"/>
      <c r="X1118" s="236"/>
      <c r="Y1118" s="408"/>
      <c r="Z1118" s="409"/>
      <c r="AA1118" s="409"/>
      <c r="AB1118" s="410"/>
      <c r="AC1118" s="155"/>
      <c r="AD1118" s="156"/>
      <c r="AE1118" s="156"/>
      <c r="AF1118" s="156"/>
      <c r="AG1118" s="156"/>
      <c r="AH1118" s="156"/>
      <c r="AI1118" s="156"/>
      <c r="AJ1118" s="156"/>
      <c r="AK1118" s="156"/>
      <c r="AL1118" s="156"/>
      <c r="AM1118" s="157"/>
      <c r="AN1118" s="158">
        <f t="shared" si="963"/>
        <v>4000</v>
      </c>
      <c r="AO1118" s="159"/>
      <c r="AP1118" s="160"/>
      <c r="AQ1118" s="161"/>
      <c r="AR1118" s="162"/>
      <c r="AS1118" s="163"/>
      <c r="AT1118" s="164"/>
      <c r="AU1118" s="165"/>
      <c r="AV1118" s="166"/>
      <c r="AW1118" s="167"/>
      <c r="AX1118" s="146"/>
      <c r="AY1118" s="168"/>
    </row>
    <row r="1119" spans="1:51" s="139" customFormat="1" ht="11.25" hidden="1" x14ac:dyDescent="0.25">
      <c r="A1119" s="1"/>
      <c r="B1119" s="140">
        <v>22</v>
      </c>
      <c r="C1119" s="343" t="s">
        <v>410</v>
      </c>
      <c r="D1119" s="142"/>
      <c r="E1119" s="143"/>
      <c r="F1119" s="143"/>
      <c r="G1119" s="143"/>
      <c r="H1119" s="143"/>
      <c r="I1119" s="222"/>
      <c r="J1119" s="222"/>
      <c r="K1119" s="222"/>
      <c r="L1119" s="222"/>
      <c r="M1119" s="222"/>
      <c r="N1119" s="222"/>
      <c r="O1119" s="222">
        <v>1415853</v>
      </c>
      <c r="P1119" s="145"/>
      <c r="Q1119" s="304">
        <f t="shared" si="964"/>
        <v>1415853</v>
      </c>
      <c r="R1119" s="147">
        <f>Q1119*$R$8</f>
        <v>232199.89200000002</v>
      </c>
      <c r="S1119" s="147">
        <f>R1119/$S$5</f>
        <v>636.16408767123289</v>
      </c>
      <c r="T1119" s="148">
        <f>S1119*$T$5*$T$8</f>
        <v>185759.9136</v>
      </c>
      <c r="U1119" s="420"/>
      <c r="V1119" s="407"/>
      <c r="W1119" s="236"/>
      <c r="X1119" s="236"/>
      <c r="Y1119" s="408"/>
      <c r="Z1119" s="409"/>
      <c r="AA1119" s="409"/>
      <c r="AB1119" s="410"/>
      <c r="AC1119" s="155"/>
      <c r="AD1119" s="156"/>
      <c r="AE1119" s="156"/>
      <c r="AF1119" s="156"/>
      <c r="AG1119" s="156"/>
      <c r="AH1119" s="156"/>
      <c r="AI1119" s="156"/>
      <c r="AJ1119" s="156"/>
      <c r="AK1119" s="156"/>
      <c r="AL1119" s="156"/>
      <c r="AM1119" s="157"/>
      <c r="AN1119" s="158">
        <f t="shared" si="963"/>
        <v>4000</v>
      </c>
      <c r="AO1119" s="159"/>
      <c r="AP1119" s="160"/>
      <c r="AQ1119" s="161"/>
      <c r="AR1119" s="162"/>
      <c r="AS1119" s="163"/>
      <c r="AT1119" s="164"/>
      <c r="AU1119" s="165"/>
      <c r="AV1119" s="166"/>
      <c r="AW1119" s="167"/>
      <c r="AX1119" s="146"/>
      <c r="AY1119" s="168"/>
    </row>
    <row r="1120" spans="1:51" s="139" customFormat="1" ht="11.25" hidden="1" x14ac:dyDescent="0.25">
      <c r="A1120" s="1"/>
      <c r="B1120" s="140">
        <v>23</v>
      </c>
      <c r="C1120" s="343" t="s">
        <v>411</v>
      </c>
      <c r="D1120" s="142"/>
      <c r="E1120" s="143"/>
      <c r="F1120" s="143"/>
      <c r="G1120" s="143"/>
      <c r="H1120" s="143"/>
      <c r="I1120" s="222"/>
      <c r="J1120" s="222"/>
      <c r="K1120" s="222"/>
      <c r="L1120" s="222"/>
      <c r="M1120" s="222"/>
      <c r="N1120" s="222"/>
      <c r="O1120" s="222">
        <v>1239144</v>
      </c>
      <c r="P1120" s="145"/>
      <c r="Q1120" s="304">
        <f t="shared" si="964"/>
        <v>1239144</v>
      </c>
      <c r="R1120" s="147">
        <f>Q1120*$R$8</f>
        <v>203219.61600000001</v>
      </c>
      <c r="S1120" s="147">
        <f>R1120/$S$5</f>
        <v>556.7660712328767</v>
      </c>
      <c r="T1120" s="148">
        <f>S1120*$T$5*$T$8</f>
        <v>162575.69280000002</v>
      </c>
      <c r="U1120" s="420"/>
      <c r="V1120" s="407"/>
      <c r="W1120" s="236"/>
      <c r="X1120" s="236"/>
      <c r="Y1120" s="408"/>
      <c r="Z1120" s="409"/>
      <c r="AA1120" s="409"/>
      <c r="AB1120" s="410"/>
      <c r="AC1120" s="155"/>
      <c r="AD1120" s="156"/>
      <c r="AE1120" s="156"/>
      <c r="AF1120" s="156"/>
      <c r="AG1120" s="156"/>
      <c r="AH1120" s="156"/>
      <c r="AI1120" s="156"/>
      <c r="AJ1120" s="156"/>
      <c r="AK1120" s="156"/>
      <c r="AL1120" s="156"/>
      <c r="AM1120" s="157"/>
      <c r="AN1120" s="158">
        <f t="shared" si="963"/>
        <v>4000</v>
      </c>
      <c r="AO1120" s="159"/>
      <c r="AP1120" s="160"/>
      <c r="AQ1120" s="161"/>
      <c r="AR1120" s="162"/>
      <c r="AS1120" s="163"/>
      <c r="AT1120" s="164"/>
      <c r="AU1120" s="165"/>
      <c r="AV1120" s="166"/>
      <c r="AW1120" s="167"/>
      <c r="AX1120" s="146"/>
      <c r="AY1120" s="168"/>
    </row>
    <row r="1121" spans="1:51" s="139" customFormat="1" ht="11.25" hidden="1" x14ac:dyDescent="0.25">
      <c r="A1121" s="1"/>
      <c r="B1121" s="140"/>
      <c r="C1121" s="343"/>
      <c r="D1121" s="142"/>
      <c r="E1121" s="143"/>
      <c r="F1121" s="143"/>
      <c r="G1121" s="143"/>
      <c r="H1121" s="143"/>
      <c r="I1121" s="222"/>
      <c r="J1121" s="222"/>
      <c r="K1121" s="222"/>
      <c r="L1121" s="222"/>
      <c r="M1121" s="222"/>
      <c r="N1121" s="222"/>
      <c r="O1121" s="222"/>
      <c r="P1121" s="145"/>
      <c r="Q1121" s="304"/>
      <c r="R1121" s="147"/>
      <c r="S1121" s="147"/>
      <c r="T1121" s="148"/>
      <c r="U1121" s="420" t="s">
        <v>755</v>
      </c>
      <c r="V1121" s="407">
        <v>2.5</v>
      </c>
      <c r="W1121" s="236">
        <f>(208*0.25)*365</f>
        <v>18980</v>
      </c>
      <c r="X1121" s="236"/>
      <c r="Y1121" s="408"/>
      <c r="Z1121" s="409"/>
      <c r="AA1121" s="409"/>
      <c r="AB1121" s="410"/>
      <c r="AC1121" s="411">
        <f>W1121*52%</f>
        <v>9869.6</v>
      </c>
      <c r="AD1121" s="412">
        <f>W1121*25%</f>
        <v>4745</v>
      </c>
      <c r="AE1121" s="412">
        <f>W1121*9%</f>
        <v>1708.2</v>
      </c>
      <c r="AF1121" s="412">
        <f>W1121*5%</f>
        <v>949</v>
      </c>
      <c r="AG1121" s="412">
        <f>W1121*3%</f>
        <v>569.4</v>
      </c>
      <c r="AH1121" s="412">
        <f>W1121*1%</f>
        <v>189.8</v>
      </c>
      <c r="AI1121" s="412">
        <f>W1121*2%</f>
        <v>379.6</v>
      </c>
      <c r="AJ1121" s="412">
        <f>W1121*1%</f>
        <v>189.8</v>
      </c>
      <c r="AK1121" s="412">
        <f>W1121*4%</f>
        <v>759.2</v>
      </c>
      <c r="AL1121" s="412">
        <f>W1121*1%</f>
        <v>189.8</v>
      </c>
      <c r="AM1121" s="413">
        <f>SUM(AD1121:AI1121)</f>
        <v>8541</v>
      </c>
      <c r="AN1121" s="158">
        <f t="shared" si="963"/>
        <v>4000</v>
      </c>
      <c r="AO1121" s="159">
        <v>0.2</v>
      </c>
      <c r="AP1121" s="160">
        <f>AM1121*AN1121*$AP$5</f>
        <v>143037835.19999999</v>
      </c>
      <c r="AQ1121" s="161">
        <f>AP1121*$AQ$5</f>
        <v>39732.735178618554</v>
      </c>
      <c r="AR1121" s="162">
        <f>AQ1121*$AR$5</f>
        <v>7946.5470357237109</v>
      </c>
      <c r="AS1121" s="163"/>
      <c r="AT1121" s="233"/>
      <c r="AU1121" s="187"/>
      <c r="AV1121" s="414">
        <f>AR1121/$AV$5</f>
        <v>1.1339250907139999</v>
      </c>
      <c r="AW1121" s="415"/>
      <c r="AX1121" s="146">
        <f>SUM(AU1121:AV1121)</f>
        <v>1.1339250907139999</v>
      </c>
      <c r="AY1121" s="168"/>
    </row>
    <row r="1122" spans="1:51" s="139" customFormat="1" ht="11.25" hidden="1" x14ac:dyDescent="0.25">
      <c r="A1122" s="1"/>
      <c r="B1122" s="140">
        <v>24</v>
      </c>
      <c r="C1122" s="343" t="s">
        <v>412</v>
      </c>
      <c r="D1122" s="142"/>
      <c r="E1122" s="143"/>
      <c r="F1122" s="143"/>
      <c r="G1122" s="143"/>
      <c r="H1122" s="143"/>
      <c r="I1122" s="222"/>
      <c r="J1122" s="222"/>
      <c r="K1122" s="222"/>
      <c r="L1122" s="222"/>
      <c r="M1122" s="222"/>
      <c r="N1122" s="222"/>
      <c r="O1122" s="222">
        <v>1506878</v>
      </c>
      <c r="P1122" s="145"/>
      <c r="Q1122" s="304">
        <f t="shared" si="964"/>
        <v>1506878</v>
      </c>
      <c r="R1122" s="147">
        <f>Q1122*$R$7</f>
        <v>357130.08600000001</v>
      </c>
      <c r="S1122" s="147">
        <f>R1122/$S$5</f>
        <v>978.43859178082198</v>
      </c>
      <c r="T1122" s="148">
        <f>S1122*$T$5*$T$7</f>
        <v>321417.07740000001</v>
      </c>
      <c r="U1122" s="420"/>
      <c r="V1122" s="407"/>
      <c r="W1122" s="236"/>
      <c r="X1122" s="236"/>
      <c r="Y1122" s="408"/>
      <c r="Z1122" s="409"/>
      <c r="AA1122" s="409"/>
      <c r="AB1122" s="410"/>
      <c r="AC1122" s="155"/>
      <c r="AD1122" s="156"/>
      <c r="AE1122" s="156"/>
      <c r="AF1122" s="156"/>
      <c r="AG1122" s="156"/>
      <c r="AH1122" s="156"/>
      <c r="AI1122" s="156"/>
      <c r="AJ1122" s="156"/>
      <c r="AK1122" s="156"/>
      <c r="AL1122" s="156"/>
      <c r="AM1122" s="157"/>
      <c r="AN1122" s="158">
        <f t="shared" si="963"/>
        <v>4000</v>
      </c>
      <c r="AO1122" s="159"/>
      <c r="AP1122" s="160"/>
      <c r="AQ1122" s="161"/>
      <c r="AR1122" s="162"/>
      <c r="AS1122" s="163"/>
      <c r="AT1122" s="164"/>
      <c r="AU1122" s="165"/>
      <c r="AV1122" s="166"/>
      <c r="AW1122" s="167"/>
      <c r="AX1122" s="146"/>
      <c r="AY1122" s="168"/>
    </row>
    <row r="1123" spans="1:51" s="139" customFormat="1" ht="11.25" hidden="1" x14ac:dyDescent="0.25">
      <c r="A1123" s="1"/>
      <c r="B1123" s="140">
        <v>25</v>
      </c>
      <c r="C1123" s="343" t="s">
        <v>413</v>
      </c>
      <c r="D1123" s="142"/>
      <c r="E1123" s="143"/>
      <c r="F1123" s="143"/>
      <c r="G1123" s="143"/>
      <c r="H1123" s="143"/>
      <c r="I1123" s="222"/>
      <c r="J1123" s="222"/>
      <c r="K1123" s="222"/>
      <c r="L1123" s="222"/>
      <c r="M1123" s="222"/>
      <c r="N1123" s="222"/>
      <c r="O1123" s="222">
        <v>1249333</v>
      </c>
      <c r="P1123" s="145"/>
      <c r="Q1123" s="304">
        <f t="shared" si="964"/>
        <v>1249333</v>
      </c>
      <c r="R1123" s="147">
        <f>Q1123*$R$8</f>
        <v>204890.61200000002</v>
      </c>
      <c r="S1123" s="147">
        <f>R1123/$S$5</f>
        <v>561.34414246575352</v>
      </c>
      <c r="T1123" s="148">
        <f>S1123*$T$5*$T$8</f>
        <v>163912.48960000003</v>
      </c>
      <c r="U1123" s="420"/>
      <c r="V1123" s="407"/>
      <c r="W1123" s="236"/>
      <c r="X1123" s="236"/>
      <c r="Y1123" s="408"/>
      <c r="Z1123" s="409"/>
      <c r="AA1123" s="409"/>
      <c r="AB1123" s="410"/>
      <c r="AC1123" s="155"/>
      <c r="AD1123" s="156"/>
      <c r="AE1123" s="156"/>
      <c r="AF1123" s="156"/>
      <c r="AG1123" s="156"/>
      <c r="AH1123" s="156"/>
      <c r="AI1123" s="156"/>
      <c r="AJ1123" s="156"/>
      <c r="AK1123" s="156"/>
      <c r="AL1123" s="156"/>
      <c r="AM1123" s="157"/>
      <c r="AN1123" s="158">
        <f t="shared" si="963"/>
        <v>4000</v>
      </c>
      <c r="AO1123" s="159"/>
      <c r="AP1123" s="160"/>
      <c r="AQ1123" s="161"/>
      <c r="AR1123" s="162"/>
      <c r="AS1123" s="163"/>
      <c r="AT1123" s="164"/>
      <c r="AU1123" s="165"/>
      <c r="AV1123" s="166"/>
      <c r="AW1123" s="167"/>
      <c r="AX1123" s="146"/>
      <c r="AY1123" s="168"/>
    </row>
    <row r="1124" spans="1:51" s="139" customFormat="1" ht="11.25" hidden="1" x14ac:dyDescent="0.25">
      <c r="A1124" s="1"/>
      <c r="B1124" s="140"/>
      <c r="C1124" s="342"/>
      <c r="D1124" s="142"/>
      <c r="E1124" s="143"/>
      <c r="F1124" s="143"/>
      <c r="G1124" s="143"/>
      <c r="H1124" s="143"/>
      <c r="I1124" s="222"/>
      <c r="J1124" s="222"/>
      <c r="K1124" s="222"/>
      <c r="L1124" s="222"/>
      <c r="M1124" s="222"/>
      <c r="N1124" s="222"/>
      <c r="O1124" s="222"/>
      <c r="P1124" s="145"/>
      <c r="Q1124" s="223"/>
      <c r="R1124" s="167"/>
      <c r="S1124" s="429"/>
      <c r="T1124" s="146"/>
      <c r="U1124" s="420" t="s">
        <v>756</v>
      </c>
      <c r="V1124" s="407">
        <v>6</v>
      </c>
      <c r="W1124" s="236">
        <f>167*365</f>
        <v>60955</v>
      </c>
      <c r="X1124" s="236"/>
      <c r="Y1124" s="408"/>
      <c r="Z1124" s="409"/>
      <c r="AA1124" s="409"/>
      <c r="AB1124" s="410"/>
      <c r="AC1124" s="411">
        <f>W1124*52%</f>
        <v>31696.600000000002</v>
      </c>
      <c r="AD1124" s="412">
        <f>W1124*25%</f>
        <v>15238.75</v>
      </c>
      <c r="AE1124" s="412">
        <f>W1124*9%</f>
        <v>5485.95</v>
      </c>
      <c r="AF1124" s="412">
        <f>W1124*5%</f>
        <v>3047.75</v>
      </c>
      <c r="AG1124" s="412">
        <f>W1124*3%</f>
        <v>1828.6499999999999</v>
      </c>
      <c r="AH1124" s="412">
        <f>W1124*1%</f>
        <v>609.55000000000007</v>
      </c>
      <c r="AI1124" s="412">
        <f>W1124*2%</f>
        <v>1219.1000000000001</v>
      </c>
      <c r="AJ1124" s="412">
        <f>W1124*1%</f>
        <v>609.55000000000007</v>
      </c>
      <c r="AK1124" s="412">
        <f>W1124*4%</f>
        <v>2438.2000000000003</v>
      </c>
      <c r="AL1124" s="412">
        <f>W1124*1%</f>
        <v>609.55000000000007</v>
      </c>
      <c r="AM1124" s="413">
        <f>SUM(AD1124:AI1124)</f>
        <v>27429.75</v>
      </c>
      <c r="AN1124" s="158">
        <f t="shared" si="963"/>
        <v>4000</v>
      </c>
      <c r="AO1124" s="159">
        <v>0.2</v>
      </c>
      <c r="AP1124" s="160">
        <f>AM1124*AN1124*$AP$5</f>
        <v>459371509.19999999</v>
      </c>
      <c r="AQ1124" s="161">
        <f>AP1124*$AQ$5</f>
        <v>127603.20720825576</v>
      </c>
      <c r="AR1124" s="162">
        <f>AQ1124*$AR$5</f>
        <v>25520.641441651154</v>
      </c>
      <c r="AS1124" s="163"/>
      <c r="AT1124" s="233"/>
      <c r="AU1124" s="187"/>
      <c r="AV1124" s="414">
        <f>AR1124/$AV$5</f>
        <v>3.6416440413315003</v>
      </c>
      <c r="AW1124" s="415"/>
      <c r="AX1124" s="146">
        <f>SUM(AU1124:AV1124)</f>
        <v>3.6416440413315003</v>
      </c>
      <c r="AY1124" s="168"/>
    </row>
    <row r="1125" spans="1:51" s="139" customFormat="1" ht="11.25" hidden="1" x14ac:dyDescent="0.25">
      <c r="A1125" s="1"/>
      <c r="B1125" s="140">
        <v>26</v>
      </c>
      <c r="C1125" s="342" t="s">
        <v>414</v>
      </c>
      <c r="D1125" s="142"/>
      <c r="E1125" s="143"/>
      <c r="F1125" s="143"/>
      <c r="G1125" s="143"/>
      <c r="H1125" s="143"/>
      <c r="I1125" s="222"/>
      <c r="J1125" s="222"/>
      <c r="K1125" s="222"/>
      <c r="L1125" s="222"/>
      <c r="M1125" s="222"/>
      <c r="N1125" s="222"/>
      <c r="O1125" s="222">
        <v>301241</v>
      </c>
      <c r="P1125" s="145"/>
      <c r="Q1125" s="223">
        <f t="shared" si="964"/>
        <v>301241</v>
      </c>
      <c r="R1125" s="147">
        <f>Q1125*$R$10</f>
        <v>33136.51</v>
      </c>
      <c r="S1125" s="147">
        <f>R1125/$S$5</f>
        <v>90.784958904109601</v>
      </c>
      <c r="T1125" s="148">
        <f>S1125*$T$5*$T$10</f>
        <v>19881.905999999999</v>
      </c>
      <c r="U1125" s="420"/>
      <c r="V1125" s="407"/>
      <c r="W1125" s="236"/>
      <c r="X1125" s="236"/>
      <c r="Y1125" s="408"/>
      <c r="Z1125" s="409"/>
      <c r="AA1125" s="409"/>
      <c r="AB1125" s="410"/>
      <c r="AC1125" s="155"/>
      <c r="AD1125" s="156"/>
      <c r="AE1125" s="156"/>
      <c r="AF1125" s="156"/>
      <c r="AG1125" s="156"/>
      <c r="AH1125" s="156"/>
      <c r="AI1125" s="156"/>
      <c r="AJ1125" s="156"/>
      <c r="AK1125" s="156"/>
      <c r="AL1125" s="156"/>
      <c r="AM1125" s="157"/>
      <c r="AN1125" s="158">
        <f t="shared" si="963"/>
        <v>4000</v>
      </c>
      <c r="AO1125" s="159"/>
      <c r="AP1125" s="160"/>
      <c r="AQ1125" s="161"/>
      <c r="AR1125" s="162"/>
      <c r="AS1125" s="163"/>
      <c r="AT1125" s="164"/>
      <c r="AU1125" s="165"/>
      <c r="AV1125" s="166"/>
      <c r="AW1125" s="167"/>
      <c r="AX1125" s="146"/>
      <c r="AY1125" s="168"/>
    </row>
    <row r="1126" spans="1:51" s="139" customFormat="1" ht="11.25" hidden="1" x14ac:dyDescent="0.25">
      <c r="A1126" s="1"/>
      <c r="B1126" s="140"/>
      <c r="C1126" s="342"/>
      <c r="D1126" s="142"/>
      <c r="E1126" s="143"/>
      <c r="F1126" s="143"/>
      <c r="G1126" s="143"/>
      <c r="H1126" s="143"/>
      <c r="I1126" s="222"/>
      <c r="J1126" s="222"/>
      <c r="K1126" s="222"/>
      <c r="L1126" s="222"/>
      <c r="M1126" s="222"/>
      <c r="N1126" s="222"/>
      <c r="O1126" s="222"/>
      <c r="P1126" s="145"/>
      <c r="Q1126" s="223"/>
      <c r="R1126" s="147"/>
      <c r="S1126" s="147"/>
      <c r="T1126" s="148"/>
      <c r="U1126" s="420" t="s">
        <v>757</v>
      </c>
      <c r="V1126" s="407">
        <v>25</v>
      </c>
      <c r="W1126" s="236">
        <f>(576*0.25)*365</f>
        <v>52560</v>
      </c>
      <c r="X1126" s="236"/>
      <c r="Y1126" s="408"/>
      <c r="Z1126" s="409"/>
      <c r="AA1126" s="409"/>
      <c r="AB1126" s="410"/>
      <c r="AC1126" s="411">
        <f>W1126*52%</f>
        <v>27331.200000000001</v>
      </c>
      <c r="AD1126" s="412">
        <f>W1126*25%</f>
        <v>13140</v>
      </c>
      <c r="AE1126" s="412">
        <f>W1126*9%</f>
        <v>4730.3999999999996</v>
      </c>
      <c r="AF1126" s="412">
        <f>W1126*5%</f>
        <v>2628</v>
      </c>
      <c r="AG1126" s="412">
        <f>W1126*3%</f>
        <v>1576.8</v>
      </c>
      <c r="AH1126" s="412">
        <f>W1126*1%</f>
        <v>525.6</v>
      </c>
      <c r="AI1126" s="412">
        <f>W1126*2%</f>
        <v>1051.2</v>
      </c>
      <c r="AJ1126" s="412">
        <f>W1126*1%</f>
        <v>525.6</v>
      </c>
      <c r="AK1126" s="412">
        <f>W1126*4%</f>
        <v>2102.4</v>
      </c>
      <c r="AL1126" s="412">
        <f>W1126*1%</f>
        <v>525.6</v>
      </c>
      <c r="AM1126" s="413">
        <f>SUM(AD1126:AI1126)</f>
        <v>23652</v>
      </c>
      <c r="AN1126" s="158">
        <f t="shared" si="963"/>
        <v>4000</v>
      </c>
      <c r="AO1126" s="159">
        <v>0.2</v>
      </c>
      <c r="AP1126" s="160">
        <f>AM1126*AN1126*$AP$5</f>
        <v>396104774.39999998</v>
      </c>
      <c r="AQ1126" s="161">
        <f>AP1126*$AQ$5</f>
        <v>110029.11280232831</v>
      </c>
      <c r="AR1126" s="162">
        <f>AQ1126*$AR$5</f>
        <v>22005.822560465662</v>
      </c>
      <c r="AS1126" s="163"/>
      <c r="AT1126" s="233"/>
      <c r="AU1126" s="187"/>
      <c r="AV1126" s="414">
        <f>AR1126/$AV$5</f>
        <v>3.1401002512079996</v>
      </c>
      <c r="AW1126" s="415"/>
      <c r="AX1126" s="146">
        <f>SUM(AU1126:AV1126)</f>
        <v>3.1401002512079996</v>
      </c>
      <c r="AY1126" s="168"/>
    </row>
    <row r="1127" spans="1:51" s="139" customFormat="1" ht="11.25" hidden="1" x14ac:dyDescent="0.25">
      <c r="A1127" s="1"/>
      <c r="B1127" s="140">
        <v>27</v>
      </c>
      <c r="C1127" s="342" t="s">
        <v>415</v>
      </c>
      <c r="D1127" s="142"/>
      <c r="E1127" s="143"/>
      <c r="F1127" s="143"/>
      <c r="G1127" s="143"/>
      <c r="H1127" s="143"/>
      <c r="I1127" s="222"/>
      <c r="J1127" s="222"/>
      <c r="K1127" s="222"/>
      <c r="L1127" s="222"/>
      <c r="M1127" s="222"/>
      <c r="N1127" s="222"/>
      <c r="O1127" s="222">
        <v>145306</v>
      </c>
      <c r="P1127" s="145"/>
      <c r="Q1127" s="223">
        <f t="shared" si="964"/>
        <v>145306</v>
      </c>
      <c r="R1127" s="147">
        <f>Q1127*$R$10</f>
        <v>15983.66</v>
      </c>
      <c r="S1127" s="147">
        <f>R1127/$S$5</f>
        <v>43.790849315068492</v>
      </c>
      <c r="T1127" s="148">
        <f>S1127*$T$5*$T$10</f>
        <v>9590.1959999999999</v>
      </c>
      <c r="U1127" s="420"/>
      <c r="V1127" s="407"/>
      <c r="W1127" s="236"/>
      <c r="X1127" s="236"/>
      <c r="Y1127" s="408"/>
      <c r="Z1127" s="409"/>
      <c r="AA1127" s="409"/>
      <c r="AB1127" s="410"/>
      <c r="AC1127" s="155"/>
      <c r="AD1127" s="156"/>
      <c r="AE1127" s="156"/>
      <c r="AF1127" s="156"/>
      <c r="AG1127" s="156"/>
      <c r="AH1127" s="156"/>
      <c r="AI1127" s="156"/>
      <c r="AJ1127" s="156"/>
      <c r="AK1127" s="156"/>
      <c r="AL1127" s="156"/>
      <c r="AM1127" s="157"/>
      <c r="AN1127" s="158">
        <f t="shared" si="963"/>
        <v>4000</v>
      </c>
      <c r="AO1127" s="159"/>
      <c r="AP1127" s="160"/>
      <c r="AQ1127" s="161"/>
      <c r="AR1127" s="162"/>
      <c r="AS1127" s="163"/>
      <c r="AT1127" s="164"/>
      <c r="AU1127" s="165"/>
      <c r="AV1127" s="166"/>
      <c r="AW1127" s="167"/>
      <c r="AX1127" s="146"/>
      <c r="AY1127" s="168"/>
    </row>
    <row r="1128" spans="1:51" s="139" customFormat="1" ht="11.25" hidden="1" x14ac:dyDescent="0.25">
      <c r="A1128" s="1"/>
      <c r="B1128" s="140"/>
      <c r="C1128" s="342"/>
      <c r="D1128" s="142"/>
      <c r="E1128" s="143"/>
      <c r="F1128" s="143"/>
      <c r="G1128" s="143"/>
      <c r="H1128" s="143"/>
      <c r="I1128" s="222"/>
      <c r="J1128" s="222"/>
      <c r="K1128" s="222"/>
      <c r="L1128" s="222"/>
      <c r="M1128" s="222"/>
      <c r="N1128" s="222"/>
      <c r="O1128" s="222"/>
      <c r="P1128" s="145"/>
      <c r="Q1128" s="223"/>
      <c r="R1128" s="167"/>
      <c r="S1128" s="429"/>
      <c r="T1128" s="146"/>
      <c r="U1128" s="420" t="s">
        <v>758</v>
      </c>
      <c r="V1128" s="407">
        <v>1</v>
      </c>
      <c r="W1128" s="236">
        <f>(180*0.25)*365</f>
        <v>16425</v>
      </c>
      <c r="X1128" s="236"/>
      <c r="Y1128" s="408"/>
      <c r="Z1128" s="409"/>
      <c r="AA1128" s="409"/>
      <c r="AB1128" s="410"/>
      <c r="AC1128" s="411">
        <f>W1128*52%</f>
        <v>8541</v>
      </c>
      <c r="AD1128" s="412">
        <f>W1128*25%</f>
        <v>4106.25</v>
      </c>
      <c r="AE1128" s="412">
        <f>W1128*9%</f>
        <v>1478.25</v>
      </c>
      <c r="AF1128" s="412">
        <f>W1128*5%</f>
        <v>821.25</v>
      </c>
      <c r="AG1128" s="412">
        <f>W1128*3%</f>
        <v>492.75</v>
      </c>
      <c r="AH1128" s="412">
        <f>W1128*1%</f>
        <v>164.25</v>
      </c>
      <c r="AI1128" s="412">
        <f>W1128*2%</f>
        <v>328.5</v>
      </c>
      <c r="AJ1128" s="412">
        <f>W1128*1%</f>
        <v>164.25</v>
      </c>
      <c r="AK1128" s="412">
        <f>W1128*4%</f>
        <v>657</v>
      </c>
      <c r="AL1128" s="412">
        <f>W1128*1%</f>
        <v>164.25</v>
      </c>
      <c r="AM1128" s="413">
        <f>SUM(AD1128:AI1128)</f>
        <v>7391.25</v>
      </c>
      <c r="AN1128" s="158">
        <f t="shared" si="963"/>
        <v>4000</v>
      </c>
      <c r="AO1128" s="159">
        <v>0.2</v>
      </c>
      <c r="AP1128" s="160">
        <f>AM1128*AN1128*$AP$5</f>
        <v>123782742</v>
      </c>
      <c r="AQ1128" s="161">
        <f>AP1128*$AQ$5</f>
        <v>34384.097750727597</v>
      </c>
      <c r="AR1128" s="162">
        <f>AQ1128*$AR$5</f>
        <v>6876.8195501455193</v>
      </c>
      <c r="AS1128" s="163"/>
      <c r="AT1128" s="233"/>
      <c r="AU1128" s="187"/>
      <c r="AV1128" s="414">
        <f>AR1128/$AV$5</f>
        <v>0.98128132850249994</v>
      </c>
      <c r="AW1128" s="415"/>
      <c r="AX1128" s="146">
        <f>SUM(AU1128:AV1128)</f>
        <v>0.98128132850249994</v>
      </c>
      <c r="AY1128" s="168"/>
    </row>
    <row r="1129" spans="1:51" s="139" customFormat="1" ht="11.25" hidden="1" x14ac:dyDescent="0.25">
      <c r="A1129" s="1"/>
      <c r="B1129" s="140">
        <v>28</v>
      </c>
      <c r="C1129" s="343" t="s">
        <v>416</v>
      </c>
      <c r="D1129" s="142"/>
      <c r="E1129" s="143"/>
      <c r="F1129" s="143"/>
      <c r="G1129" s="143"/>
      <c r="H1129" s="143"/>
      <c r="I1129" s="222"/>
      <c r="J1129" s="222"/>
      <c r="K1129" s="222"/>
      <c r="L1129" s="222"/>
      <c r="M1129" s="222"/>
      <c r="N1129" s="222"/>
      <c r="O1129" s="222">
        <v>893883</v>
      </c>
      <c r="P1129" s="145"/>
      <c r="Q1129" s="304">
        <f t="shared" si="964"/>
        <v>893883</v>
      </c>
      <c r="R1129" s="147">
        <f>Q1129*$R$9</f>
        <v>130506.91799999999</v>
      </c>
      <c r="S1129" s="147">
        <f>R1129/$S$5</f>
        <v>357.55319999999995</v>
      </c>
      <c r="T1129" s="148">
        <f>S1129*$T$5*$T$9</f>
        <v>91354.842599999974</v>
      </c>
      <c r="U1129" s="420"/>
      <c r="V1129" s="407"/>
      <c r="W1129" s="236"/>
      <c r="X1129" s="236"/>
      <c r="Y1129" s="408"/>
      <c r="Z1129" s="409"/>
      <c r="AA1129" s="409"/>
      <c r="AB1129" s="410"/>
      <c r="AC1129" s="155"/>
      <c r="AD1129" s="156"/>
      <c r="AE1129" s="156"/>
      <c r="AF1129" s="156"/>
      <c r="AG1129" s="156"/>
      <c r="AH1129" s="156"/>
      <c r="AI1129" s="156"/>
      <c r="AJ1129" s="156"/>
      <c r="AK1129" s="156"/>
      <c r="AL1129" s="156"/>
      <c r="AM1129" s="157"/>
      <c r="AN1129" s="158">
        <f t="shared" si="963"/>
        <v>4000</v>
      </c>
      <c r="AO1129" s="159"/>
      <c r="AP1129" s="160"/>
      <c r="AQ1129" s="161"/>
      <c r="AR1129" s="162"/>
      <c r="AS1129" s="163"/>
      <c r="AT1129" s="164"/>
      <c r="AU1129" s="165"/>
      <c r="AV1129" s="166"/>
      <c r="AW1129" s="167"/>
      <c r="AX1129" s="146"/>
      <c r="AY1129" s="168"/>
    </row>
    <row r="1130" spans="1:51" s="139" customFormat="1" ht="11.25" hidden="1" x14ac:dyDescent="0.25">
      <c r="A1130" s="1"/>
      <c r="B1130" s="140"/>
      <c r="C1130" s="342"/>
      <c r="D1130" s="142"/>
      <c r="E1130" s="143"/>
      <c r="F1130" s="143"/>
      <c r="G1130" s="143"/>
      <c r="H1130" s="143"/>
      <c r="I1130" s="222"/>
      <c r="J1130" s="222"/>
      <c r="K1130" s="222"/>
      <c r="L1130" s="222"/>
      <c r="M1130" s="222"/>
      <c r="N1130" s="222"/>
      <c r="O1130" s="222"/>
      <c r="P1130" s="145"/>
      <c r="Q1130" s="223"/>
      <c r="R1130" s="167"/>
      <c r="S1130" s="429"/>
      <c r="T1130" s="146"/>
      <c r="U1130" s="420" t="s">
        <v>759</v>
      </c>
      <c r="V1130" s="407">
        <v>25</v>
      </c>
      <c r="W1130" s="236">
        <f>600*365</f>
        <v>219000</v>
      </c>
      <c r="X1130" s="236"/>
      <c r="Y1130" s="408"/>
      <c r="Z1130" s="409"/>
      <c r="AA1130" s="409"/>
      <c r="AB1130" s="410"/>
      <c r="AC1130" s="411">
        <f>W1130*52%</f>
        <v>113880</v>
      </c>
      <c r="AD1130" s="412">
        <f>W1130*25%</f>
        <v>54750</v>
      </c>
      <c r="AE1130" s="412">
        <f>W1130*9%</f>
        <v>19710</v>
      </c>
      <c r="AF1130" s="412">
        <f>W1130*5%</f>
        <v>10950</v>
      </c>
      <c r="AG1130" s="412">
        <f>W1130*3%</f>
        <v>6570</v>
      </c>
      <c r="AH1130" s="412">
        <f>W1130*1%</f>
        <v>2190</v>
      </c>
      <c r="AI1130" s="412">
        <f>W1130*2%</f>
        <v>4380</v>
      </c>
      <c r="AJ1130" s="412">
        <f>W1130*1%</f>
        <v>2190</v>
      </c>
      <c r="AK1130" s="412">
        <f>W1130*4%</f>
        <v>8760</v>
      </c>
      <c r="AL1130" s="412">
        <f>W1130*1%</f>
        <v>2190</v>
      </c>
      <c r="AM1130" s="413">
        <f>SUM(AD1130:AI1130)</f>
        <v>98550</v>
      </c>
      <c r="AN1130" s="158">
        <f t="shared" si="963"/>
        <v>4000</v>
      </c>
      <c r="AO1130" s="159">
        <v>0.2</v>
      </c>
      <c r="AP1130" s="160">
        <f>AM1130*AN1130*$AP$5</f>
        <v>1650436560</v>
      </c>
      <c r="AQ1130" s="161">
        <f>AP1130*$AQ$5</f>
        <v>458454.63667636801</v>
      </c>
      <c r="AR1130" s="162">
        <f>AQ1130*$AR$5</f>
        <v>91690.927335273605</v>
      </c>
      <c r="AS1130" s="163"/>
      <c r="AT1130" s="233"/>
      <c r="AU1130" s="187">
        <v>1</v>
      </c>
      <c r="AV1130" s="414">
        <f>AR1130/$AV$5</f>
        <v>13.083751046700002</v>
      </c>
      <c r="AW1130" s="415">
        <f>AV1130</f>
        <v>13.083751046700002</v>
      </c>
      <c r="AX1130" s="146">
        <f>SUM(AU1130:AV1130)</f>
        <v>14.083751046700002</v>
      </c>
      <c r="AY1130" s="168"/>
    </row>
    <row r="1131" spans="1:51" s="139" customFormat="1" ht="11.25" hidden="1" x14ac:dyDescent="0.25">
      <c r="A1131" s="1"/>
      <c r="B1131" s="140">
        <v>29</v>
      </c>
      <c r="C1131" s="342" t="s">
        <v>417</v>
      </c>
      <c r="D1131" s="235"/>
      <c r="E1131" s="236"/>
      <c r="F1131" s="236"/>
      <c r="G1131" s="236"/>
      <c r="H1131" s="236"/>
      <c r="I1131" s="236"/>
      <c r="J1131" s="236"/>
      <c r="K1131" s="236"/>
      <c r="L1131" s="236"/>
      <c r="M1131" s="236"/>
      <c r="N1131" s="236"/>
      <c r="O1131" s="236">
        <v>217990</v>
      </c>
      <c r="P1131" s="237"/>
      <c r="Q1131" s="223">
        <f t="shared" si="964"/>
        <v>217990</v>
      </c>
      <c r="R1131" s="147">
        <f>Q1131*$R$10</f>
        <v>23978.9</v>
      </c>
      <c r="S1131" s="147">
        <f>R1131/$S$5</f>
        <v>65.695616438356168</v>
      </c>
      <c r="T1131" s="148">
        <f>S1131*$T$5*$T$10</f>
        <v>14387.34</v>
      </c>
      <c r="U1131" s="420"/>
      <c r="V1131" s="407"/>
      <c r="W1131" s="236"/>
      <c r="X1131" s="236"/>
      <c r="Y1131" s="408"/>
      <c r="Z1131" s="409"/>
      <c r="AA1131" s="409"/>
      <c r="AB1131" s="410"/>
      <c r="AC1131" s="155"/>
      <c r="AD1131" s="156"/>
      <c r="AE1131" s="156"/>
      <c r="AF1131" s="156"/>
      <c r="AG1131" s="156"/>
      <c r="AH1131" s="156"/>
      <c r="AI1131" s="156"/>
      <c r="AJ1131" s="156"/>
      <c r="AK1131" s="156"/>
      <c r="AL1131" s="156"/>
      <c r="AM1131" s="157"/>
      <c r="AN1131" s="158">
        <f t="shared" si="963"/>
        <v>4000</v>
      </c>
      <c r="AO1131" s="159"/>
      <c r="AP1131" s="160"/>
      <c r="AQ1131" s="161"/>
      <c r="AR1131" s="162"/>
      <c r="AS1131" s="163"/>
      <c r="AT1131" s="164"/>
      <c r="AU1131" s="165"/>
      <c r="AV1131" s="166"/>
      <c r="AW1131" s="167"/>
      <c r="AX1131" s="146"/>
      <c r="AY1131" s="168"/>
    </row>
    <row r="1132" spans="1:51" s="139" customFormat="1" ht="11.25" hidden="1" x14ac:dyDescent="0.25">
      <c r="A1132" s="1"/>
      <c r="B1132" s="140">
        <v>30</v>
      </c>
      <c r="C1132" s="342" t="s">
        <v>418</v>
      </c>
      <c r="D1132" s="235"/>
      <c r="E1132" s="236"/>
      <c r="F1132" s="236"/>
      <c r="G1132" s="236"/>
      <c r="H1132" s="236"/>
      <c r="I1132" s="236"/>
      <c r="J1132" s="236"/>
      <c r="K1132" s="236"/>
      <c r="L1132" s="236"/>
      <c r="M1132" s="236"/>
      <c r="N1132" s="236"/>
      <c r="O1132" s="236">
        <v>201364</v>
      </c>
      <c r="P1132" s="237"/>
      <c r="Q1132" s="223">
        <f t="shared" si="964"/>
        <v>201364</v>
      </c>
      <c r="R1132" s="147">
        <f>Q1132*$R$10</f>
        <v>22150.04</v>
      </c>
      <c r="S1132" s="147">
        <f>R1132/$S$5</f>
        <v>60.685041095890412</v>
      </c>
      <c r="T1132" s="148">
        <f>S1132*$T$5*$T$10</f>
        <v>13290.023999999999</v>
      </c>
      <c r="U1132" s="420"/>
      <c r="V1132" s="407"/>
      <c r="W1132" s="236"/>
      <c r="X1132" s="236"/>
      <c r="Y1132" s="408"/>
      <c r="Z1132" s="409"/>
      <c r="AA1132" s="409"/>
      <c r="AB1132" s="410"/>
      <c r="AC1132" s="155"/>
      <c r="AD1132" s="156"/>
      <c r="AE1132" s="156"/>
      <c r="AF1132" s="156"/>
      <c r="AG1132" s="156"/>
      <c r="AH1132" s="156"/>
      <c r="AI1132" s="156"/>
      <c r="AJ1132" s="156"/>
      <c r="AK1132" s="156"/>
      <c r="AL1132" s="156"/>
      <c r="AM1132" s="157"/>
      <c r="AN1132" s="158">
        <f t="shared" si="963"/>
        <v>4000</v>
      </c>
      <c r="AO1132" s="159"/>
      <c r="AP1132" s="160"/>
      <c r="AQ1132" s="161"/>
      <c r="AR1132" s="162"/>
      <c r="AS1132" s="163"/>
      <c r="AT1132" s="164"/>
      <c r="AU1132" s="165"/>
      <c r="AV1132" s="166"/>
      <c r="AW1132" s="167"/>
      <c r="AX1132" s="146"/>
      <c r="AY1132" s="168"/>
    </row>
    <row r="1133" spans="1:51" s="139" customFormat="1" ht="11.25" hidden="1" x14ac:dyDescent="0.25">
      <c r="A1133" s="1"/>
      <c r="B1133" s="140">
        <v>31</v>
      </c>
      <c r="C1133" s="342" t="s">
        <v>419</v>
      </c>
      <c r="D1133" s="235"/>
      <c r="E1133" s="236"/>
      <c r="F1133" s="236"/>
      <c r="G1133" s="236"/>
      <c r="H1133" s="236"/>
      <c r="I1133" s="236"/>
      <c r="J1133" s="236"/>
      <c r="K1133" s="236"/>
      <c r="L1133" s="236"/>
      <c r="M1133" s="236"/>
      <c r="N1133" s="236"/>
      <c r="O1133" s="236">
        <v>133900</v>
      </c>
      <c r="P1133" s="237"/>
      <c r="Q1133" s="223">
        <f t="shared" si="964"/>
        <v>133900</v>
      </c>
      <c r="R1133" s="147">
        <f>Q1133*$R$10</f>
        <v>14729</v>
      </c>
      <c r="S1133" s="147">
        <f>R1133/$S$5</f>
        <v>40.353424657534248</v>
      </c>
      <c r="T1133" s="148">
        <f>S1133*$T$5*$T$10</f>
        <v>8837.4</v>
      </c>
      <c r="U1133" s="420"/>
      <c r="V1133" s="407"/>
      <c r="W1133" s="236"/>
      <c r="X1133" s="236"/>
      <c r="Y1133" s="408"/>
      <c r="Z1133" s="409"/>
      <c r="AA1133" s="409"/>
      <c r="AB1133" s="410"/>
      <c r="AC1133" s="155"/>
      <c r="AD1133" s="156"/>
      <c r="AE1133" s="156"/>
      <c r="AF1133" s="156"/>
      <c r="AG1133" s="156"/>
      <c r="AH1133" s="156"/>
      <c r="AI1133" s="156"/>
      <c r="AJ1133" s="156"/>
      <c r="AK1133" s="156"/>
      <c r="AL1133" s="156"/>
      <c r="AM1133" s="157"/>
      <c r="AN1133" s="158">
        <f t="shared" si="963"/>
        <v>4000</v>
      </c>
      <c r="AO1133" s="159"/>
      <c r="AP1133" s="160"/>
      <c r="AQ1133" s="161"/>
      <c r="AR1133" s="162"/>
      <c r="AS1133" s="163"/>
      <c r="AT1133" s="233"/>
      <c r="AU1133" s="187"/>
      <c r="AV1133" s="166"/>
      <c r="AW1133" s="167"/>
      <c r="AX1133" s="146"/>
      <c r="AY1133" s="168"/>
    </row>
    <row r="1134" spans="1:51" s="139" customFormat="1" ht="11.25" hidden="1" x14ac:dyDescent="0.25">
      <c r="A1134" s="1"/>
      <c r="B1134" s="140"/>
      <c r="C1134" s="342"/>
      <c r="D1134" s="235"/>
      <c r="E1134" s="236"/>
      <c r="F1134" s="236"/>
      <c r="G1134" s="236"/>
      <c r="H1134" s="236"/>
      <c r="I1134" s="236"/>
      <c r="J1134" s="236"/>
      <c r="K1134" s="236"/>
      <c r="L1134" s="236"/>
      <c r="M1134" s="236"/>
      <c r="N1134" s="236"/>
      <c r="O1134" s="236"/>
      <c r="P1134" s="237"/>
      <c r="Q1134" s="223"/>
      <c r="R1134" s="167"/>
      <c r="S1134" s="429"/>
      <c r="T1134" s="146"/>
      <c r="U1134" s="420" t="s">
        <v>760</v>
      </c>
      <c r="V1134" s="407"/>
      <c r="W1134" s="236"/>
      <c r="X1134" s="236"/>
      <c r="Y1134" s="408"/>
      <c r="Z1134" s="409"/>
      <c r="AA1134" s="409"/>
      <c r="AB1134" s="410"/>
      <c r="AC1134" s="155"/>
      <c r="AD1134" s="156"/>
      <c r="AE1134" s="156"/>
      <c r="AF1134" s="156"/>
      <c r="AG1134" s="156"/>
      <c r="AH1134" s="156"/>
      <c r="AI1134" s="156"/>
      <c r="AJ1134" s="156"/>
      <c r="AK1134" s="156"/>
      <c r="AL1134" s="156"/>
      <c r="AM1134" s="157"/>
      <c r="AN1134" s="158"/>
      <c r="AO1134" s="159"/>
      <c r="AP1134" s="160"/>
      <c r="AQ1134" s="161"/>
      <c r="AR1134" s="162"/>
      <c r="AS1134" s="163"/>
      <c r="AT1134" s="233"/>
      <c r="AU1134" s="187"/>
      <c r="AV1134" s="166"/>
      <c r="AW1134" s="167"/>
      <c r="AX1134" s="146"/>
      <c r="AY1134" s="168"/>
    </row>
    <row r="1135" spans="1:51" s="139" customFormat="1" ht="11.25" hidden="1" x14ac:dyDescent="0.25">
      <c r="A1135" s="1"/>
      <c r="B1135" s="140">
        <v>32</v>
      </c>
      <c r="C1135" s="342" t="s">
        <v>420</v>
      </c>
      <c r="D1135" s="235"/>
      <c r="E1135" s="236"/>
      <c r="F1135" s="236"/>
      <c r="G1135" s="236"/>
      <c r="H1135" s="236"/>
      <c r="I1135" s="236"/>
      <c r="J1135" s="236"/>
      <c r="K1135" s="236"/>
      <c r="L1135" s="236"/>
      <c r="M1135" s="236"/>
      <c r="N1135" s="236"/>
      <c r="O1135" s="236">
        <v>198981</v>
      </c>
      <c r="P1135" s="237"/>
      <c r="Q1135" s="223">
        <f t="shared" si="964"/>
        <v>198981</v>
      </c>
      <c r="R1135" s="147">
        <f>Q1135*$R$10</f>
        <v>21887.91</v>
      </c>
      <c r="S1135" s="147">
        <f>R1135/$S$5</f>
        <v>59.966876712328769</v>
      </c>
      <c r="T1135" s="148">
        <f>S1135*$T$5*$T$10</f>
        <v>13132.745999999999</v>
      </c>
      <c r="U1135" s="420"/>
      <c r="V1135" s="407"/>
      <c r="W1135" s="236"/>
      <c r="X1135" s="236"/>
      <c r="Y1135" s="408"/>
      <c r="Z1135" s="409"/>
      <c r="AA1135" s="409"/>
      <c r="AB1135" s="410"/>
      <c r="AC1135" s="155"/>
      <c r="AD1135" s="156"/>
      <c r="AE1135" s="156"/>
      <c r="AF1135" s="156"/>
      <c r="AG1135" s="156"/>
      <c r="AH1135" s="156"/>
      <c r="AI1135" s="156"/>
      <c r="AJ1135" s="156"/>
      <c r="AK1135" s="156"/>
      <c r="AL1135" s="156"/>
      <c r="AM1135" s="157"/>
      <c r="AN1135" s="158">
        <f t="shared" si="963"/>
        <v>4000</v>
      </c>
      <c r="AO1135" s="159"/>
      <c r="AP1135" s="160"/>
      <c r="AQ1135" s="161"/>
      <c r="AR1135" s="162"/>
      <c r="AS1135" s="163"/>
      <c r="AT1135" s="164"/>
      <c r="AU1135" s="165"/>
      <c r="AV1135" s="166"/>
      <c r="AW1135" s="167"/>
      <c r="AX1135" s="146"/>
      <c r="AY1135" s="168"/>
    </row>
    <row r="1136" spans="1:51" s="139" customFormat="1" ht="11.25" hidden="1" x14ac:dyDescent="0.25">
      <c r="A1136" s="1"/>
      <c r="B1136" s="140"/>
      <c r="C1136" s="342"/>
      <c r="D1136" s="235"/>
      <c r="E1136" s="236"/>
      <c r="F1136" s="236"/>
      <c r="G1136" s="236"/>
      <c r="H1136" s="236"/>
      <c r="I1136" s="236"/>
      <c r="J1136" s="236"/>
      <c r="K1136" s="236"/>
      <c r="L1136" s="236"/>
      <c r="M1136" s="236"/>
      <c r="N1136" s="236"/>
      <c r="O1136" s="236"/>
      <c r="P1136" s="237"/>
      <c r="Q1136" s="223"/>
      <c r="R1136" s="167"/>
      <c r="S1136" s="429"/>
      <c r="T1136" s="146"/>
      <c r="U1136" s="420" t="s">
        <v>761</v>
      </c>
      <c r="V1136" s="407">
        <v>6.8</v>
      </c>
      <c r="W1136" s="236">
        <f>100*365</f>
        <v>36500</v>
      </c>
      <c r="X1136" s="236"/>
      <c r="Y1136" s="408"/>
      <c r="Z1136" s="409"/>
      <c r="AA1136" s="409"/>
      <c r="AB1136" s="410"/>
      <c r="AC1136" s="411">
        <f>W1136*52%</f>
        <v>18980</v>
      </c>
      <c r="AD1136" s="412">
        <f>W1136*25%</f>
        <v>9125</v>
      </c>
      <c r="AE1136" s="412">
        <f>W1136*9%</f>
        <v>3285</v>
      </c>
      <c r="AF1136" s="412">
        <f>W1136*5%</f>
        <v>1825</v>
      </c>
      <c r="AG1136" s="412">
        <f>W1136*3%</f>
        <v>1095</v>
      </c>
      <c r="AH1136" s="412">
        <f>W1136*1%</f>
        <v>365</v>
      </c>
      <c r="AI1136" s="412">
        <f>W1136*2%</f>
        <v>730</v>
      </c>
      <c r="AJ1136" s="412">
        <f>W1136*1%</f>
        <v>365</v>
      </c>
      <c r="AK1136" s="412">
        <f>W1136*4%</f>
        <v>1460</v>
      </c>
      <c r="AL1136" s="412">
        <f>W1136*1%</f>
        <v>365</v>
      </c>
      <c r="AM1136" s="413">
        <f>SUM(AD1136:AI1136)</f>
        <v>16425</v>
      </c>
      <c r="AN1136" s="158">
        <f t="shared" si="963"/>
        <v>4000</v>
      </c>
      <c r="AO1136" s="159">
        <v>0.2</v>
      </c>
      <c r="AP1136" s="160">
        <f>AM1136*AN1136*$AP$5</f>
        <v>275072760</v>
      </c>
      <c r="AQ1136" s="161">
        <f>AP1136*$AQ$5</f>
        <v>76409.106112727997</v>
      </c>
      <c r="AR1136" s="162">
        <f>AQ1136*$AR$5</f>
        <v>15281.821222545601</v>
      </c>
      <c r="AS1136" s="163"/>
      <c r="AT1136" s="233"/>
      <c r="AU1136" s="187"/>
      <c r="AV1136" s="414">
        <f>AR1136/$AV$5</f>
        <v>2.1806251744500003</v>
      </c>
      <c r="AW1136" s="415"/>
      <c r="AX1136" s="146">
        <f>SUM(AU1136:AV1136)</f>
        <v>2.1806251744500003</v>
      </c>
      <c r="AY1136" s="168"/>
    </row>
    <row r="1137" spans="1:51" s="139" customFormat="1" ht="11.25" hidden="1" x14ac:dyDescent="0.25">
      <c r="A1137" s="1"/>
      <c r="B1137" s="140">
        <v>33</v>
      </c>
      <c r="C1137" s="343" t="s">
        <v>421</v>
      </c>
      <c r="D1137" s="235"/>
      <c r="E1137" s="236"/>
      <c r="F1137" s="236"/>
      <c r="G1137" s="236"/>
      <c r="H1137" s="236"/>
      <c r="I1137" s="236"/>
      <c r="J1137" s="236"/>
      <c r="K1137" s="236"/>
      <c r="L1137" s="236"/>
      <c r="M1137" s="236"/>
      <c r="N1137" s="236"/>
      <c r="O1137" s="236">
        <v>2992487</v>
      </c>
      <c r="P1137" s="237"/>
      <c r="Q1137" s="304">
        <f t="shared" si="964"/>
        <v>2992487</v>
      </c>
      <c r="R1137" s="147">
        <f>Q1137*$R$7</f>
        <v>709219.41899999999</v>
      </c>
      <c r="S1137" s="147">
        <f>R1137/$S$5</f>
        <v>1943.066901369863</v>
      </c>
      <c r="T1137" s="148">
        <f>S1137*$T$5*$T$7</f>
        <v>638297.47710000002</v>
      </c>
      <c r="U1137" s="420"/>
      <c r="V1137" s="407"/>
      <c r="W1137" s="236"/>
      <c r="X1137" s="236"/>
      <c r="Y1137" s="408"/>
      <c r="Z1137" s="409"/>
      <c r="AA1137" s="409"/>
      <c r="AB1137" s="410"/>
      <c r="AC1137" s="155"/>
      <c r="AD1137" s="156"/>
      <c r="AE1137" s="156"/>
      <c r="AF1137" s="156"/>
      <c r="AG1137" s="156"/>
      <c r="AH1137" s="156"/>
      <c r="AI1137" s="156"/>
      <c r="AJ1137" s="156"/>
      <c r="AK1137" s="156"/>
      <c r="AL1137" s="156"/>
      <c r="AM1137" s="157"/>
      <c r="AN1137" s="158">
        <f t="shared" si="963"/>
        <v>4000</v>
      </c>
      <c r="AO1137" s="159"/>
      <c r="AP1137" s="160"/>
      <c r="AQ1137" s="161"/>
      <c r="AR1137" s="162"/>
      <c r="AS1137" s="163"/>
      <c r="AT1137" s="164"/>
      <c r="AU1137" s="165"/>
      <c r="AV1137" s="166"/>
      <c r="AW1137" s="167"/>
      <c r="AX1137" s="146"/>
      <c r="AY1137" s="168"/>
    </row>
    <row r="1138" spans="1:51" s="139" customFormat="1" ht="11.25" hidden="1" x14ac:dyDescent="0.25">
      <c r="A1138" s="1"/>
      <c r="B1138" s="140"/>
      <c r="C1138" s="342"/>
      <c r="D1138" s="235"/>
      <c r="E1138" s="236"/>
      <c r="F1138" s="236"/>
      <c r="G1138" s="236"/>
      <c r="H1138" s="236"/>
      <c r="I1138" s="236"/>
      <c r="J1138" s="236"/>
      <c r="K1138" s="236"/>
      <c r="L1138" s="236"/>
      <c r="M1138" s="236"/>
      <c r="N1138" s="236"/>
      <c r="O1138" s="236"/>
      <c r="P1138" s="237"/>
      <c r="Q1138" s="223"/>
      <c r="R1138" s="167"/>
      <c r="S1138" s="429"/>
      <c r="T1138" s="146"/>
      <c r="U1138" s="420" t="s">
        <v>762</v>
      </c>
      <c r="V1138" s="407">
        <v>26.7</v>
      </c>
      <c r="W1138" s="236">
        <f>1300*365</f>
        <v>474500</v>
      </c>
      <c r="X1138" s="236"/>
      <c r="Y1138" s="408"/>
      <c r="Z1138" s="409"/>
      <c r="AA1138" s="409"/>
      <c r="AB1138" s="410"/>
      <c r="AC1138" s="411">
        <f>W1138*52%</f>
        <v>246740</v>
      </c>
      <c r="AD1138" s="412">
        <f>W1138*25%</f>
        <v>118625</v>
      </c>
      <c r="AE1138" s="412">
        <f>W1138*9%</f>
        <v>42705</v>
      </c>
      <c r="AF1138" s="412">
        <f>W1138*5%</f>
        <v>23725</v>
      </c>
      <c r="AG1138" s="412">
        <f>W1138*3%</f>
        <v>14235</v>
      </c>
      <c r="AH1138" s="412">
        <f>W1138*1%</f>
        <v>4745</v>
      </c>
      <c r="AI1138" s="412">
        <f>W1138*2%</f>
        <v>9490</v>
      </c>
      <c r="AJ1138" s="412">
        <f>W1138*1%</f>
        <v>4745</v>
      </c>
      <c r="AK1138" s="412">
        <f>W1138*4%</f>
        <v>18980</v>
      </c>
      <c r="AL1138" s="412">
        <f>W1138*1%</f>
        <v>4745</v>
      </c>
      <c r="AM1138" s="413">
        <f>SUM(AD1138:AI1138)</f>
        <v>213525</v>
      </c>
      <c r="AN1138" s="158">
        <f t="shared" si="963"/>
        <v>4000</v>
      </c>
      <c r="AO1138" s="159">
        <v>0.2</v>
      </c>
      <c r="AP1138" s="160">
        <f>AM1138*AN1138*$AP$5</f>
        <v>3575945880</v>
      </c>
      <c r="AQ1138" s="161">
        <f>AP1138*$AQ$5</f>
        <v>993318.37946546404</v>
      </c>
      <c r="AR1138" s="162">
        <f>AQ1138*$AR$5</f>
        <v>198663.67589309282</v>
      </c>
      <c r="AS1138" s="163"/>
      <c r="AT1138" s="233"/>
      <c r="AU1138" s="187">
        <v>2.5</v>
      </c>
      <c r="AV1138" s="414">
        <f>AR1138/$AV$5</f>
        <v>28.348127267850003</v>
      </c>
      <c r="AW1138" s="415">
        <f>AV1138</f>
        <v>28.348127267850003</v>
      </c>
      <c r="AX1138" s="157">
        <f>SUM(AU1138:AV1138)</f>
        <v>30.848127267850003</v>
      </c>
      <c r="AY1138" s="168"/>
    </row>
    <row r="1139" spans="1:51" s="139" customFormat="1" ht="11.25" hidden="1" x14ac:dyDescent="0.25">
      <c r="A1139" s="1"/>
      <c r="B1139" s="140">
        <v>34</v>
      </c>
      <c r="C1139" s="342" t="s">
        <v>422</v>
      </c>
      <c r="D1139" s="235"/>
      <c r="E1139" s="236"/>
      <c r="F1139" s="236"/>
      <c r="G1139" s="236"/>
      <c r="H1139" s="236"/>
      <c r="I1139" s="236"/>
      <c r="J1139" s="236"/>
      <c r="K1139" s="236"/>
      <c r="L1139" s="236"/>
      <c r="M1139" s="236"/>
      <c r="N1139" s="236"/>
      <c r="O1139" s="236">
        <v>206629</v>
      </c>
      <c r="P1139" s="237"/>
      <c r="Q1139" s="223">
        <f t="shared" si="964"/>
        <v>206629</v>
      </c>
      <c r="R1139" s="147">
        <f>Q1139*$R$10</f>
        <v>22729.19</v>
      </c>
      <c r="S1139" s="147">
        <f>R1139/$S$5</f>
        <v>62.271753424657533</v>
      </c>
      <c r="T1139" s="148">
        <f>S1139*$T$5*$T$10</f>
        <v>13637.513999999999</v>
      </c>
      <c r="U1139" s="420"/>
      <c r="V1139" s="407"/>
      <c r="W1139" s="236"/>
      <c r="X1139" s="236"/>
      <c r="Y1139" s="408"/>
      <c r="Z1139" s="409"/>
      <c r="AA1139" s="409"/>
      <c r="AB1139" s="410"/>
      <c r="AC1139" s="155"/>
      <c r="AD1139" s="156"/>
      <c r="AE1139" s="156"/>
      <c r="AF1139" s="156"/>
      <c r="AG1139" s="156"/>
      <c r="AH1139" s="156"/>
      <c r="AI1139" s="156"/>
      <c r="AJ1139" s="156"/>
      <c r="AK1139" s="156"/>
      <c r="AL1139" s="156"/>
      <c r="AM1139" s="157"/>
      <c r="AN1139" s="158">
        <f t="shared" si="963"/>
        <v>4000</v>
      </c>
      <c r="AO1139" s="159"/>
      <c r="AP1139" s="160"/>
      <c r="AQ1139" s="161"/>
      <c r="AR1139" s="162"/>
      <c r="AS1139" s="163"/>
      <c r="AT1139" s="164"/>
      <c r="AU1139" s="165"/>
      <c r="AV1139" s="166"/>
      <c r="AW1139" s="167"/>
      <c r="AX1139" s="167"/>
      <c r="AY1139" s="168"/>
    </row>
    <row r="1140" spans="1:51" s="139" customFormat="1" ht="11.25" hidden="1" x14ac:dyDescent="0.25">
      <c r="A1140" s="1"/>
      <c r="B1140" s="140"/>
      <c r="C1140" s="342"/>
      <c r="D1140" s="235"/>
      <c r="E1140" s="300"/>
      <c r="F1140" s="300"/>
      <c r="G1140" s="300"/>
      <c r="H1140" s="300"/>
      <c r="I1140" s="300"/>
      <c r="J1140" s="300"/>
      <c r="K1140" s="300"/>
      <c r="L1140" s="300"/>
      <c r="M1140" s="300"/>
      <c r="N1140" s="300"/>
      <c r="O1140" s="300"/>
      <c r="P1140" s="427"/>
      <c r="Q1140" s="166"/>
      <c r="R1140" s="167"/>
      <c r="S1140" s="167"/>
      <c r="T1140" s="428"/>
      <c r="U1140" s="420" t="s">
        <v>763</v>
      </c>
      <c r="V1140" s="407"/>
      <c r="W1140" s="300">
        <f>(423*0.25)*365</f>
        <v>38598.75</v>
      </c>
      <c r="X1140" s="300"/>
      <c r="Y1140" s="427"/>
      <c r="Z1140" s="431"/>
      <c r="AA1140" s="431"/>
      <c r="AB1140" s="432"/>
      <c r="AC1140" s="411">
        <f>W1140*52%</f>
        <v>20071.350000000002</v>
      </c>
      <c r="AD1140" s="412">
        <f>W1140*25%</f>
        <v>9649.6875</v>
      </c>
      <c r="AE1140" s="412">
        <f>W1140*9%</f>
        <v>3473.8874999999998</v>
      </c>
      <c r="AF1140" s="412">
        <f>W1140*5%</f>
        <v>1929.9375</v>
      </c>
      <c r="AG1140" s="412">
        <f>W1140*3%</f>
        <v>1157.9624999999999</v>
      </c>
      <c r="AH1140" s="412">
        <f>W1140*1%</f>
        <v>385.98750000000001</v>
      </c>
      <c r="AI1140" s="412">
        <f>W1140*2%</f>
        <v>771.97500000000002</v>
      </c>
      <c r="AJ1140" s="412">
        <f>W1140*1%</f>
        <v>385.98750000000001</v>
      </c>
      <c r="AK1140" s="412">
        <f>W1140*4%</f>
        <v>1543.95</v>
      </c>
      <c r="AL1140" s="412">
        <f>W1140*1%</f>
        <v>385.98750000000001</v>
      </c>
      <c r="AM1140" s="413">
        <f>SUM(AD1140:AI1140)</f>
        <v>17369.4375</v>
      </c>
      <c r="AN1140" s="158">
        <f t="shared" si="963"/>
        <v>4000</v>
      </c>
      <c r="AO1140" s="159">
        <v>0.2</v>
      </c>
      <c r="AP1140" s="160">
        <f>AM1140*AN1140*$AP$5</f>
        <v>290889443.69999999</v>
      </c>
      <c r="AQ1140" s="161">
        <f>AP1140*$AQ$5</f>
        <v>80802.629714209848</v>
      </c>
      <c r="AR1140" s="162">
        <f>AQ1140*$AR$5</f>
        <v>16160.52594284197</v>
      </c>
      <c r="AS1140" s="163"/>
      <c r="AT1140" s="233"/>
      <c r="AU1140" s="187"/>
      <c r="AV1140" s="414">
        <f>AR1140/$AV$5</f>
        <v>2.306011121980875</v>
      </c>
      <c r="AW1140" s="415"/>
      <c r="AX1140" s="146">
        <f>SUM(AU1140:AV1140)</f>
        <v>2.306011121980875</v>
      </c>
      <c r="AY1140" s="168"/>
    </row>
    <row r="1141" spans="1:51" s="190" customFormat="1" ht="16.7" hidden="1" customHeight="1" x14ac:dyDescent="0.25">
      <c r="A1141" s="173"/>
      <c r="B1141" s="120"/>
      <c r="C1141" s="121" t="s">
        <v>423</v>
      </c>
      <c r="D1141" s="240">
        <f t="shared" ref="D1141:S1141" si="965">SUM(D1085:D1140)</f>
        <v>0</v>
      </c>
      <c r="E1141" s="240">
        <f t="shared" si="965"/>
        <v>0</v>
      </c>
      <c r="F1141" s="240">
        <f t="shared" si="965"/>
        <v>0</v>
      </c>
      <c r="G1141" s="240">
        <f t="shared" si="965"/>
        <v>0</v>
      </c>
      <c r="H1141" s="240">
        <f t="shared" si="965"/>
        <v>0</v>
      </c>
      <c r="I1141" s="240">
        <f t="shared" si="965"/>
        <v>0</v>
      </c>
      <c r="J1141" s="240">
        <f t="shared" si="965"/>
        <v>0</v>
      </c>
      <c r="K1141" s="240">
        <f t="shared" si="965"/>
        <v>0</v>
      </c>
      <c r="L1141" s="240">
        <f t="shared" si="965"/>
        <v>0</v>
      </c>
      <c r="M1141" s="240">
        <f t="shared" si="965"/>
        <v>0</v>
      </c>
      <c r="N1141" s="240">
        <f t="shared" si="965"/>
        <v>0</v>
      </c>
      <c r="O1141" s="240">
        <f t="shared" si="965"/>
        <v>36908257</v>
      </c>
      <c r="P1141" s="240">
        <f t="shared" si="965"/>
        <v>0</v>
      </c>
      <c r="Q1141" s="240">
        <f t="shared" si="965"/>
        <v>36908257</v>
      </c>
      <c r="R1141" s="240">
        <f t="shared" si="965"/>
        <v>6449328.5789999999</v>
      </c>
      <c r="S1141" s="240">
        <f t="shared" si="965"/>
        <v>17669.393367123288</v>
      </c>
      <c r="T1141" s="240">
        <f>SUM(T1085:T1140)</f>
        <v>5314546.6585000018</v>
      </c>
      <c r="U1141" s="240">
        <f t="shared" ref="U1141:AX1141" si="966">SUM(U1085:U1140)</f>
        <v>0</v>
      </c>
      <c r="V1141" s="240">
        <f t="shared" si="966"/>
        <v>136.29999999999998</v>
      </c>
      <c r="W1141" s="240">
        <f t="shared" si="966"/>
        <v>1197382.5</v>
      </c>
      <c r="X1141" s="240">
        <f t="shared" si="966"/>
        <v>0</v>
      </c>
      <c r="Y1141" s="240">
        <f t="shared" si="966"/>
        <v>0</v>
      </c>
      <c r="Z1141" s="240">
        <f t="shared" si="966"/>
        <v>0</v>
      </c>
      <c r="AA1141" s="240">
        <f t="shared" si="966"/>
        <v>0</v>
      </c>
      <c r="AB1141" s="240">
        <f t="shared" si="966"/>
        <v>0</v>
      </c>
      <c r="AC1141" s="240">
        <f t="shared" si="966"/>
        <v>622638.9</v>
      </c>
      <c r="AD1141" s="240">
        <f t="shared" si="966"/>
        <v>299345.625</v>
      </c>
      <c r="AE1141" s="240">
        <f t="shared" si="966"/>
        <v>107764.425</v>
      </c>
      <c r="AF1141" s="240">
        <f t="shared" si="966"/>
        <v>59869.125</v>
      </c>
      <c r="AG1141" s="240">
        <f t="shared" si="966"/>
        <v>35921.474999999999</v>
      </c>
      <c r="AH1141" s="240">
        <f t="shared" si="966"/>
        <v>11973.825000000001</v>
      </c>
      <c r="AI1141" s="240">
        <f t="shared" si="966"/>
        <v>23947.65</v>
      </c>
      <c r="AJ1141" s="240">
        <f t="shared" si="966"/>
        <v>11973.825000000001</v>
      </c>
      <c r="AK1141" s="240">
        <f t="shared" si="966"/>
        <v>47895.3</v>
      </c>
      <c r="AL1141" s="240">
        <f t="shared" si="966"/>
        <v>11973.825000000001</v>
      </c>
      <c r="AM1141" s="240">
        <f t="shared" si="966"/>
        <v>538822.125</v>
      </c>
      <c r="AN1141" s="240"/>
      <c r="AO1141" s="240"/>
      <c r="AP1141" s="240">
        <f t="shared" si="966"/>
        <v>9023761891.8000011</v>
      </c>
      <c r="AQ1141" s="240">
        <f t="shared" si="966"/>
        <v>2506600.7260280424</v>
      </c>
      <c r="AR1141" s="240">
        <f t="shared" si="966"/>
        <v>501320.14520560839</v>
      </c>
      <c r="AS1141" s="240">
        <f t="shared" si="966"/>
        <v>0</v>
      </c>
      <c r="AT1141" s="240">
        <f t="shared" si="966"/>
        <v>0</v>
      </c>
      <c r="AU1141" s="240">
        <f t="shared" si="966"/>
        <v>4</v>
      </c>
      <c r="AV1141" s="240">
        <f t="shared" si="966"/>
        <v>71.535408847832258</v>
      </c>
      <c r="AW1141" s="240">
        <f t="shared" si="966"/>
        <v>41.431878314550005</v>
      </c>
      <c r="AX1141" s="240">
        <f t="shared" si="966"/>
        <v>75.535408847832258</v>
      </c>
      <c r="AY1141" s="189"/>
    </row>
    <row r="1142" spans="1:51" hidden="1" x14ac:dyDescent="0.25"/>
    <row r="1143" spans="1:51" s="139" customFormat="1" ht="15" hidden="1" customHeight="1" x14ac:dyDescent="0.25">
      <c r="A1143" s="1"/>
      <c r="B1143" s="120"/>
      <c r="C1143" s="121" t="s">
        <v>424</v>
      </c>
      <c r="D1143" s="122"/>
      <c r="E1143" s="123"/>
      <c r="F1143" s="123"/>
      <c r="G1143" s="123"/>
      <c r="H1143" s="123"/>
      <c r="I1143" s="123"/>
      <c r="J1143" s="123"/>
      <c r="K1143" s="123"/>
      <c r="L1143" s="123"/>
      <c r="M1143" s="123"/>
      <c r="N1143" s="123"/>
      <c r="O1143" s="123"/>
      <c r="P1143" s="213"/>
      <c r="Q1143" s="76"/>
      <c r="R1143" s="108"/>
      <c r="S1143" s="108"/>
      <c r="T1143" s="94"/>
      <c r="U1143" s="120"/>
      <c r="V1143" s="67"/>
      <c r="W1143" s="123"/>
      <c r="X1143" s="123"/>
      <c r="Y1143" s="125"/>
      <c r="Z1143" s="126"/>
      <c r="AA1143" s="126"/>
      <c r="AB1143" s="127"/>
      <c r="AC1143" s="62"/>
      <c r="AD1143" s="215"/>
      <c r="AE1143" s="215"/>
      <c r="AF1143" s="215"/>
      <c r="AG1143" s="215"/>
      <c r="AH1143" s="215"/>
      <c r="AI1143" s="215"/>
      <c r="AJ1143" s="215"/>
      <c r="AK1143" s="215"/>
      <c r="AL1143" s="215"/>
      <c r="AM1143" s="125"/>
      <c r="AN1143" s="75"/>
      <c r="AO1143" s="216"/>
      <c r="AP1143" s="75"/>
      <c r="AQ1143" s="51"/>
      <c r="AR1143" s="217"/>
      <c r="AS1143" s="218"/>
      <c r="AT1143" s="219"/>
      <c r="AU1143" s="220"/>
      <c r="AV1143" s="135"/>
      <c r="AW1143" s="136"/>
      <c r="AX1143" s="137"/>
      <c r="AY1143" s="138"/>
    </row>
    <row r="1144" spans="1:51" s="139" customFormat="1" ht="11.25" hidden="1" x14ac:dyDescent="0.25">
      <c r="A1144" s="1"/>
      <c r="B1144" s="140">
        <v>35</v>
      </c>
      <c r="C1144" s="335" t="s">
        <v>425</v>
      </c>
      <c r="D1144" s="142"/>
      <c r="E1144" s="143"/>
      <c r="F1144" s="143"/>
      <c r="G1144" s="143"/>
      <c r="H1144" s="143"/>
      <c r="I1144" s="222"/>
      <c r="J1144" s="222"/>
      <c r="K1144" s="222"/>
      <c r="L1144" s="222"/>
      <c r="M1144" s="222"/>
      <c r="N1144" s="222"/>
      <c r="O1144" s="222">
        <v>1190129</v>
      </c>
      <c r="P1144" s="145"/>
      <c r="Q1144" s="304">
        <f t="shared" ref="Q1144:Q1150" si="967">O1144</f>
        <v>1190129</v>
      </c>
      <c r="R1144" s="147">
        <f>Q1144*$R$8</f>
        <v>195181.15600000002</v>
      </c>
      <c r="S1144" s="147">
        <f>R1144/$S$5</f>
        <v>534.74289315068495</v>
      </c>
      <c r="T1144" s="148">
        <f>S1144*$T$5*$T$8</f>
        <v>156144.92480000001</v>
      </c>
      <c r="U1144" s="420"/>
      <c r="V1144" s="407"/>
      <c r="W1144" s="236"/>
      <c r="X1144" s="236"/>
      <c r="Y1144" s="408"/>
      <c r="Z1144" s="409"/>
      <c r="AA1144" s="409"/>
      <c r="AB1144" s="410"/>
      <c r="AC1144" s="155"/>
      <c r="AD1144" s="156"/>
      <c r="AE1144" s="156"/>
      <c r="AF1144" s="156"/>
      <c r="AG1144" s="156"/>
      <c r="AH1144" s="156"/>
      <c r="AI1144" s="156"/>
      <c r="AJ1144" s="156"/>
      <c r="AK1144" s="156"/>
      <c r="AL1144" s="156"/>
      <c r="AM1144" s="157"/>
      <c r="AN1144" s="158">
        <f t="shared" ref="AN1144:AN1151" si="968">$AN$641</f>
        <v>4000</v>
      </c>
      <c r="AO1144" s="159"/>
      <c r="AP1144" s="160"/>
      <c r="AQ1144" s="161"/>
      <c r="AR1144" s="162"/>
      <c r="AS1144" s="163"/>
      <c r="AT1144" s="164"/>
      <c r="AU1144" s="165"/>
      <c r="AV1144" s="166"/>
      <c r="AW1144" s="167"/>
      <c r="AX1144" s="146"/>
      <c r="AY1144" s="168"/>
    </row>
    <row r="1145" spans="1:51" s="139" customFormat="1" ht="11.25" hidden="1" x14ac:dyDescent="0.25">
      <c r="A1145" s="1"/>
      <c r="B1145" s="140"/>
      <c r="C1145" s="345"/>
      <c r="D1145" s="142"/>
      <c r="E1145" s="143"/>
      <c r="F1145" s="143"/>
      <c r="G1145" s="143"/>
      <c r="H1145" s="143"/>
      <c r="I1145" s="222"/>
      <c r="J1145" s="222"/>
      <c r="K1145" s="222"/>
      <c r="L1145" s="222"/>
      <c r="M1145" s="222"/>
      <c r="N1145" s="222"/>
      <c r="O1145" s="222"/>
      <c r="P1145" s="145"/>
      <c r="Q1145" s="223"/>
      <c r="R1145" s="167"/>
      <c r="S1145" s="429"/>
      <c r="T1145" s="146"/>
      <c r="U1145" s="420" t="s">
        <v>764</v>
      </c>
      <c r="V1145" s="407"/>
      <c r="W1145" s="236">
        <f>(140*0.33)*365</f>
        <v>16863</v>
      </c>
      <c r="X1145" s="236"/>
      <c r="Y1145" s="408"/>
      <c r="Z1145" s="409"/>
      <c r="AA1145" s="409"/>
      <c r="AB1145" s="410"/>
      <c r="AC1145" s="411">
        <f>W1145*52%</f>
        <v>8768.76</v>
      </c>
      <c r="AD1145" s="412">
        <f>W1145*25%</f>
        <v>4215.75</v>
      </c>
      <c r="AE1145" s="412">
        <f>W1145*9%</f>
        <v>1517.6699999999998</v>
      </c>
      <c r="AF1145" s="412">
        <f>W1145*5%</f>
        <v>843.15000000000009</v>
      </c>
      <c r="AG1145" s="412">
        <f>W1145*3%</f>
        <v>505.89</v>
      </c>
      <c r="AH1145" s="412">
        <f>W1145*1%</f>
        <v>168.63</v>
      </c>
      <c r="AI1145" s="412">
        <f>W1145*2%</f>
        <v>337.26</v>
      </c>
      <c r="AJ1145" s="412">
        <f>W1145*1%</f>
        <v>168.63</v>
      </c>
      <c r="AK1145" s="412">
        <f>W1145*4%</f>
        <v>674.52</v>
      </c>
      <c r="AL1145" s="412">
        <f>W1145*1%</f>
        <v>168.63</v>
      </c>
      <c r="AM1145" s="413">
        <f>SUM(AD1145:AI1145)</f>
        <v>7588.35</v>
      </c>
      <c r="AN1145" s="158">
        <f t="shared" si="968"/>
        <v>4000</v>
      </c>
      <c r="AO1145" s="159">
        <v>0.2</v>
      </c>
      <c r="AP1145" s="160">
        <f>AM1145*AN1145*$AP$5</f>
        <v>127083615.11999999</v>
      </c>
      <c r="AQ1145" s="161">
        <f>AP1145*$AQ$5</f>
        <v>35301.007024080332</v>
      </c>
      <c r="AR1145" s="162">
        <f>AQ1145*$AR$5</f>
        <v>7060.2014048160672</v>
      </c>
      <c r="AS1145" s="163"/>
      <c r="AT1145" s="233"/>
      <c r="AU1145" s="187"/>
      <c r="AV1145" s="414">
        <f>AR1145/$AV$5</f>
        <v>1.0074488305959</v>
      </c>
      <c r="AW1145" s="415"/>
      <c r="AX1145" s="146">
        <f>SUM(AU1145:AV1145)</f>
        <v>1.0074488305959</v>
      </c>
      <c r="AY1145" s="168"/>
    </row>
    <row r="1146" spans="1:51" s="139" customFormat="1" ht="11.25" hidden="1" x14ac:dyDescent="0.25">
      <c r="A1146" s="1"/>
      <c r="B1146" s="140">
        <v>36</v>
      </c>
      <c r="C1146" s="335" t="s">
        <v>426</v>
      </c>
      <c r="D1146" s="142"/>
      <c r="E1146" s="143"/>
      <c r="F1146" s="143"/>
      <c r="G1146" s="143"/>
      <c r="H1146" s="143"/>
      <c r="I1146" s="222"/>
      <c r="J1146" s="222"/>
      <c r="K1146" s="222"/>
      <c r="L1146" s="222"/>
      <c r="M1146" s="222"/>
      <c r="N1146" s="222"/>
      <c r="O1146" s="222">
        <v>871038</v>
      </c>
      <c r="P1146" s="145"/>
      <c r="Q1146" s="304">
        <f t="shared" si="967"/>
        <v>871038</v>
      </c>
      <c r="R1146" s="147">
        <f>Q1146*$R$9</f>
        <v>127171.548</v>
      </c>
      <c r="S1146" s="147">
        <f>R1146/$S$5</f>
        <v>348.41519999999997</v>
      </c>
      <c r="T1146" s="148">
        <f>S1146*$T$5*$T$9</f>
        <v>89020.083599999998</v>
      </c>
      <c r="U1146" s="420"/>
      <c r="V1146" s="407"/>
      <c r="W1146" s="236"/>
      <c r="X1146" s="236"/>
      <c r="Y1146" s="408"/>
      <c r="Z1146" s="409"/>
      <c r="AA1146" s="409"/>
      <c r="AB1146" s="410"/>
      <c r="AC1146" s="155"/>
      <c r="AD1146" s="156"/>
      <c r="AE1146" s="156"/>
      <c r="AF1146" s="156"/>
      <c r="AG1146" s="156"/>
      <c r="AH1146" s="156"/>
      <c r="AI1146" s="156"/>
      <c r="AJ1146" s="156"/>
      <c r="AK1146" s="156"/>
      <c r="AL1146" s="156"/>
      <c r="AM1146" s="157"/>
      <c r="AN1146" s="158">
        <f t="shared" si="968"/>
        <v>4000</v>
      </c>
      <c r="AO1146" s="159"/>
      <c r="AP1146" s="160"/>
      <c r="AQ1146" s="161"/>
      <c r="AR1146" s="162"/>
      <c r="AS1146" s="163"/>
      <c r="AT1146" s="164"/>
      <c r="AU1146" s="165"/>
      <c r="AV1146" s="166"/>
      <c r="AW1146" s="167"/>
      <c r="AX1146" s="146"/>
      <c r="AY1146" s="168"/>
    </row>
    <row r="1147" spans="1:51" s="139" customFormat="1" ht="11.25" hidden="1" x14ac:dyDescent="0.25">
      <c r="A1147" s="1"/>
      <c r="B1147" s="140"/>
      <c r="C1147" s="335"/>
      <c r="D1147" s="142"/>
      <c r="E1147" s="143"/>
      <c r="F1147" s="143"/>
      <c r="G1147" s="143"/>
      <c r="H1147" s="143"/>
      <c r="I1147" s="222"/>
      <c r="J1147" s="222"/>
      <c r="K1147" s="222"/>
      <c r="L1147" s="222"/>
      <c r="M1147" s="222"/>
      <c r="N1147" s="222"/>
      <c r="O1147" s="222"/>
      <c r="P1147" s="145"/>
      <c r="Q1147" s="304"/>
      <c r="R1147" s="147"/>
      <c r="S1147" s="147"/>
      <c r="T1147" s="148"/>
      <c r="U1147" s="420" t="s">
        <v>765</v>
      </c>
      <c r="V1147" s="407">
        <v>0.2</v>
      </c>
      <c r="W1147" s="236">
        <f>(62*0.25)*365</f>
        <v>5657.5</v>
      </c>
      <c r="X1147" s="236"/>
      <c r="Y1147" s="408"/>
      <c r="Z1147" s="409"/>
      <c r="AA1147" s="409"/>
      <c r="AB1147" s="410"/>
      <c r="AC1147" s="411">
        <f>W1147*52%</f>
        <v>2941.9</v>
      </c>
      <c r="AD1147" s="412">
        <f>W1147*25%</f>
        <v>1414.375</v>
      </c>
      <c r="AE1147" s="412">
        <f>W1147*9%</f>
        <v>509.17499999999995</v>
      </c>
      <c r="AF1147" s="412">
        <f>W1147*5%</f>
        <v>282.875</v>
      </c>
      <c r="AG1147" s="412">
        <f>W1147*3%</f>
        <v>169.72499999999999</v>
      </c>
      <c r="AH1147" s="412">
        <f>W1147*1%</f>
        <v>56.575000000000003</v>
      </c>
      <c r="AI1147" s="412">
        <f>W1147*2%</f>
        <v>113.15</v>
      </c>
      <c r="AJ1147" s="412">
        <f>W1147*1%</f>
        <v>56.575000000000003</v>
      </c>
      <c r="AK1147" s="412">
        <f>W1147*4%</f>
        <v>226.3</v>
      </c>
      <c r="AL1147" s="412">
        <f>W1147*1%</f>
        <v>56.575000000000003</v>
      </c>
      <c r="AM1147" s="413">
        <f>SUM(AD1147:AI1147)</f>
        <v>2545.875</v>
      </c>
      <c r="AN1147" s="158">
        <f t="shared" si="968"/>
        <v>4000</v>
      </c>
      <c r="AO1147" s="159">
        <v>0.2</v>
      </c>
      <c r="AP1147" s="160">
        <f>AM1147*AN1147*$AP$5</f>
        <v>42636277.799999997</v>
      </c>
      <c r="AQ1147" s="161">
        <f>AP1147*$AQ$5</f>
        <v>11843.411447472839</v>
      </c>
      <c r="AR1147" s="162">
        <f>AQ1147*$AR$5</f>
        <v>2368.6822894945681</v>
      </c>
      <c r="AS1147" s="163"/>
      <c r="AT1147" s="233"/>
      <c r="AU1147" s="187"/>
      <c r="AV1147" s="414">
        <f>AR1147/$AV$5</f>
        <v>0.33799690203975002</v>
      </c>
      <c r="AW1147" s="415"/>
      <c r="AX1147" s="146">
        <f>SUM(AU1147:AV1147)</f>
        <v>0.33799690203975002</v>
      </c>
      <c r="AY1147" s="168"/>
    </row>
    <row r="1148" spans="1:51" s="139" customFormat="1" ht="11.25" hidden="1" x14ac:dyDescent="0.25">
      <c r="A1148" s="1"/>
      <c r="B1148" s="140">
        <v>37</v>
      </c>
      <c r="C1148" s="335" t="s">
        <v>427</v>
      </c>
      <c r="D1148" s="142"/>
      <c r="E1148" s="143"/>
      <c r="F1148" s="143"/>
      <c r="G1148" s="143"/>
      <c r="H1148" s="143"/>
      <c r="I1148" s="222"/>
      <c r="J1148" s="222"/>
      <c r="K1148" s="222"/>
      <c r="L1148" s="222"/>
      <c r="M1148" s="222"/>
      <c r="N1148" s="222"/>
      <c r="O1148" s="222">
        <v>833265</v>
      </c>
      <c r="P1148" s="145"/>
      <c r="Q1148" s="304">
        <f t="shared" si="967"/>
        <v>833265</v>
      </c>
      <c r="R1148" s="147">
        <f>Q1148*$R$9</f>
        <v>121656.68999999999</v>
      </c>
      <c r="S1148" s="147">
        <f>R1148/$S$5</f>
        <v>333.30599999999998</v>
      </c>
      <c r="T1148" s="148">
        <f>S1148*$T$5*$T$9</f>
        <v>85159.68299999999</v>
      </c>
      <c r="U1148" s="420"/>
      <c r="V1148" s="407"/>
      <c r="W1148" s="236"/>
      <c r="X1148" s="236"/>
      <c r="Y1148" s="408"/>
      <c r="Z1148" s="409"/>
      <c r="AA1148" s="409"/>
      <c r="AB1148" s="410"/>
      <c r="AC1148" s="155"/>
      <c r="AD1148" s="156"/>
      <c r="AE1148" s="156"/>
      <c r="AF1148" s="156"/>
      <c r="AG1148" s="156"/>
      <c r="AH1148" s="156"/>
      <c r="AI1148" s="156"/>
      <c r="AJ1148" s="156"/>
      <c r="AK1148" s="156"/>
      <c r="AL1148" s="156"/>
      <c r="AM1148" s="157"/>
      <c r="AN1148" s="158">
        <f t="shared" si="968"/>
        <v>4000</v>
      </c>
      <c r="AO1148" s="159"/>
      <c r="AP1148" s="160"/>
      <c r="AQ1148" s="161"/>
      <c r="AR1148" s="162"/>
      <c r="AS1148" s="163"/>
      <c r="AT1148" s="164"/>
      <c r="AU1148" s="165"/>
      <c r="AV1148" s="166"/>
      <c r="AW1148" s="167"/>
      <c r="AX1148" s="146"/>
      <c r="AY1148" s="168"/>
    </row>
    <row r="1149" spans="1:51" s="139" customFormat="1" ht="11.25" hidden="1" x14ac:dyDescent="0.25">
      <c r="A1149" s="1"/>
      <c r="B1149" s="140"/>
      <c r="C1149" s="345"/>
      <c r="D1149" s="142"/>
      <c r="E1149" s="143"/>
      <c r="F1149" s="143"/>
      <c r="G1149" s="143"/>
      <c r="H1149" s="143"/>
      <c r="I1149" s="222"/>
      <c r="J1149" s="222"/>
      <c r="K1149" s="222"/>
      <c r="L1149" s="222"/>
      <c r="M1149" s="222"/>
      <c r="N1149" s="222"/>
      <c r="O1149" s="222"/>
      <c r="P1149" s="145"/>
      <c r="Q1149" s="223"/>
      <c r="R1149" s="167"/>
      <c r="S1149" s="429"/>
      <c r="T1149" s="146"/>
      <c r="U1149" s="420" t="s">
        <v>766</v>
      </c>
      <c r="V1149" s="407"/>
      <c r="W1149" s="236"/>
      <c r="X1149" s="236"/>
      <c r="Y1149" s="408"/>
      <c r="Z1149" s="409"/>
      <c r="AA1149" s="409"/>
      <c r="AB1149" s="410"/>
      <c r="AC1149" s="411">
        <f>W1149*52%</f>
        <v>0</v>
      </c>
      <c r="AD1149" s="412">
        <f>W1149*25%</f>
        <v>0</v>
      </c>
      <c r="AE1149" s="412">
        <f>W1149*9%</f>
        <v>0</v>
      </c>
      <c r="AF1149" s="412">
        <f>W1149*5%</f>
        <v>0</v>
      </c>
      <c r="AG1149" s="412">
        <f>W1149*3%</f>
        <v>0</v>
      </c>
      <c r="AH1149" s="412">
        <f>W1149*1%</f>
        <v>0</v>
      </c>
      <c r="AI1149" s="412">
        <f>W1149*2%</f>
        <v>0</v>
      </c>
      <c r="AJ1149" s="412">
        <f>W1149*1%</f>
        <v>0</v>
      </c>
      <c r="AK1149" s="412">
        <f>W1149*4%</f>
        <v>0</v>
      </c>
      <c r="AL1149" s="412">
        <f>W1149*1%</f>
        <v>0</v>
      </c>
      <c r="AM1149" s="413">
        <f>SUM(AD1149:AI1149)</f>
        <v>0</v>
      </c>
      <c r="AN1149" s="158">
        <f t="shared" si="968"/>
        <v>4000</v>
      </c>
      <c r="AO1149" s="159">
        <v>0.2</v>
      </c>
      <c r="AP1149" s="160">
        <f>AM1149*AN1149*$AP$5</f>
        <v>0</v>
      </c>
      <c r="AQ1149" s="161">
        <f>AP1149*$AQ$5</f>
        <v>0</v>
      </c>
      <c r="AR1149" s="162">
        <f>AQ1149*$AR$5</f>
        <v>0</v>
      </c>
      <c r="AS1149" s="163"/>
      <c r="AT1149" s="233"/>
      <c r="AU1149" s="187"/>
      <c r="AV1149" s="414">
        <f>AR1149/$AV$5</f>
        <v>0</v>
      </c>
      <c r="AW1149" s="415"/>
      <c r="AX1149" s="146">
        <f>SUM(AU1149:AV1149)</f>
        <v>0</v>
      </c>
      <c r="AY1149" s="168"/>
    </row>
    <row r="1150" spans="1:51" s="139" customFormat="1" ht="11.25" hidden="1" x14ac:dyDescent="0.25">
      <c r="A1150" s="1"/>
      <c r="B1150" s="140">
        <v>38</v>
      </c>
      <c r="C1150" s="343" t="s">
        <v>428</v>
      </c>
      <c r="D1150" s="142"/>
      <c r="E1150" s="143"/>
      <c r="F1150" s="143"/>
      <c r="G1150" s="143"/>
      <c r="H1150" s="143"/>
      <c r="I1150" s="222"/>
      <c r="J1150" s="222"/>
      <c r="K1150" s="222"/>
      <c r="L1150" s="222"/>
      <c r="M1150" s="222"/>
      <c r="N1150" s="222"/>
      <c r="O1150" s="222">
        <v>1100711</v>
      </c>
      <c r="P1150" s="145"/>
      <c r="Q1150" s="304">
        <f t="shared" si="967"/>
        <v>1100711</v>
      </c>
      <c r="R1150" s="147">
        <f>Q1150*$R$8</f>
        <v>180516.60400000002</v>
      </c>
      <c r="S1150" s="147">
        <f>R1150/$S$5</f>
        <v>494.56603835616443</v>
      </c>
      <c r="T1150" s="148">
        <f>S1150*$T$5*$T$8</f>
        <v>144413.28320000003</v>
      </c>
      <c r="U1150" s="420"/>
      <c r="V1150" s="407"/>
      <c r="W1150" s="236"/>
      <c r="X1150" s="236"/>
      <c r="Y1150" s="408"/>
      <c r="Z1150" s="409"/>
      <c r="AA1150" s="409"/>
      <c r="AB1150" s="410"/>
      <c r="AC1150" s="155"/>
      <c r="AD1150" s="156"/>
      <c r="AE1150" s="156"/>
      <c r="AF1150" s="156"/>
      <c r="AG1150" s="156"/>
      <c r="AH1150" s="156"/>
      <c r="AI1150" s="156"/>
      <c r="AJ1150" s="156"/>
      <c r="AK1150" s="156"/>
      <c r="AL1150" s="156"/>
      <c r="AM1150" s="157"/>
      <c r="AN1150" s="158">
        <f t="shared" si="968"/>
        <v>4000</v>
      </c>
      <c r="AO1150" s="159"/>
      <c r="AP1150" s="160"/>
      <c r="AQ1150" s="161"/>
      <c r="AR1150" s="162"/>
      <c r="AS1150" s="163"/>
      <c r="AT1150" s="164"/>
      <c r="AU1150" s="165"/>
      <c r="AV1150" s="166"/>
      <c r="AW1150" s="167"/>
      <c r="AX1150" s="146"/>
      <c r="AY1150" s="168"/>
    </row>
    <row r="1151" spans="1:51" s="139" customFormat="1" ht="11.25" hidden="1" x14ac:dyDescent="0.25">
      <c r="A1151" s="1"/>
      <c r="B1151" s="140"/>
      <c r="C1151" s="342"/>
      <c r="D1151" s="142"/>
      <c r="E1151" s="485"/>
      <c r="F1151" s="485"/>
      <c r="G1151" s="485"/>
      <c r="H1151" s="485"/>
      <c r="I1151" s="430"/>
      <c r="J1151" s="430"/>
      <c r="K1151" s="430"/>
      <c r="L1151" s="430"/>
      <c r="M1151" s="430"/>
      <c r="N1151" s="430"/>
      <c r="O1151" s="430"/>
      <c r="P1151" s="487"/>
      <c r="Q1151" s="166"/>
      <c r="R1151" s="167"/>
      <c r="S1151" s="231"/>
      <c r="T1151" s="167"/>
      <c r="U1151" s="420" t="s">
        <v>767</v>
      </c>
      <c r="V1151" s="407">
        <v>3.1</v>
      </c>
      <c r="W1151" s="236">
        <f>(142*0.33)*365</f>
        <v>17103.900000000001</v>
      </c>
      <c r="X1151" s="300"/>
      <c r="Y1151" s="427"/>
      <c r="Z1151" s="431"/>
      <c r="AA1151" s="431"/>
      <c r="AB1151" s="432"/>
      <c r="AC1151" s="411">
        <f>W1151*52%</f>
        <v>8894.0280000000002</v>
      </c>
      <c r="AD1151" s="412">
        <f>W1151*25%</f>
        <v>4275.9750000000004</v>
      </c>
      <c r="AE1151" s="412">
        <f>W1151*9%</f>
        <v>1539.3510000000001</v>
      </c>
      <c r="AF1151" s="412">
        <f>W1151*5%</f>
        <v>855.19500000000016</v>
      </c>
      <c r="AG1151" s="412">
        <f>W1151*3%</f>
        <v>513.11700000000008</v>
      </c>
      <c r="AH1151" s="412">
        <f>W1151*1%</f>
        <v>171.03900000000002</v>
      </c>
      <c r="AI1151" s="412">
        <f>W1151*2%</f>
        <v>342.07800000000003</v>
      </c>
      <c r="AJ1151" s="412">
        <f>W1151*1%</f>
        <v>171.03900000000002</v>
      </c>
      <c r="AK1151" s="412">
        <f>W1151*4%</f>
        <v>684.15600000000006</v>
      </c>
      <c r="AL1151" s="412">
        <f>W1151*1%</f>
        <v>171.03900000000002</v>
      </c>
      <c r="AM1151" s="413">
        <f>SUM(AD1151:AI1151)</f>
        <v>7696.755000000001</v>
      </c>
      <c r="AN1151" s="158">
        <f t="shared" si="968"/>
        <v>4000</v>
      </c>
      <c r="AO1151" s="159">
        <v>0.2</v>
      </c>
      <c r="AP1151" s="160">
        <f>AM1151*AN1151*$AP$5</f>
        <v>128899095.33600001</v>
      </c>
      <c r="AQ1151" s="161">
        <f>AP1151*$AQ$5</f>
        <v>35805.30712442434</v>
      </c>
      <c r="AR1151" s="162">
        <f>AQ1151*$AR$5</f>
        <v>7161.0614248848688</v>
      </c>
      <c r="AS1151" s="163"/>
      <c r="AT1151" s="233"/>
      <c r="AU1151" s="187"/>
      <c r="AV1151" s="414">
        <f>AR1151/$AV$5</f>
        <v>1.0218409567472702</v>
      </c>
      <c r="AW1151" s="415"/>
      <c r="AX1151" s="146">
        <f>SUM(AU1151:AV1151)</f>
        <v>1.0218409567472702</v>
      </c>
      <c r="AY1151" s="168"/>
    </row>
    <row r="1152" spans="1:51" s="190" customFormat="1" ht="16.7" hidden="1" customHeight="1" x14ac:dyDescent="0.25">
      <c r="A1152" s="173"/>
      <c r="B1152" s="120"/>
      <c r="C1152" s="121" t="s">
        <v>768</v>
      </c>
      <c r="D1152" s="240">
        <f>SUM(D1144:D1150)</f>
        <v>0</v>
      </c>
      <c r="E1152" s="240">
        <f>SUM(E1144:E1150)</f>
        <v>0</v>
      </c>
      <c r="F1152" s="240">
        <f>SUM(F1144:F1150)</f>
        <v>0</v>
      </c>
      <c r="G1152" s="240">
        <f>SUM(G1144:G1150)</f>
        <v>0</v>
      </c>
      <c r="H1152" s="240">
        <f>SUM(H1144:H1150)</f>
        <v>0</v>
      </c>
      <c r="I1152" s="240">
        <v>35835204</v>
      </c>
      <c r="J1152" s="240">
        <v>36914545</v>
      </c>
      <c r="K1152" s="240">
        <v>37291102</v>
      </c>
      <c r="L1152" s="240">
        <v>38412548</v>
      </c>
      <c r="M1152" s="240">
        <v>38975046</v>
      </c>
      <c r="N1152" s="240">
        <v>40054049</v>
      </c>
      <c r="O1152" s="240">
        <f t="shared" ref="O1152:AX1152" si="969">SUM(O1144:O1150)</f>
        <v>3995143</v>
      </c>
      <c r="P1152" s="240">
        <f t="shared" si="969"/>
        <v>0</v>
      </c>
      <c r="Q1152" s="240">
        <f t="shared" si="969"/>
        <v>3995143</v>
      </c>
      <c r="R1152" s="240">
        <f t="shared" si="969"/>
        <v>624525.99800000002</v>
      </c>
      <c r="S1152" s="240">
        <f t="shared" si="969"/>
        <v>1711.0301315068493</v>
      </c>
      <c r="T1152" s="240">
        <f t="shared" si="969"/>
        <v>474737.97460000007</v>
      </c>
      <c r="U1152" s="424">
        <f t="shared" si="969"/>
        <v>0</v>
      </c>
      <c r="V1152" s="424">
        <f t="shared" si="969"/>
        <v>0.2</v>
      </c>
      <c r="W1152" s="424">
        <f t="shared" si="969"/>
        <v>22520.5</v>
      </c>
      <c r="X1152" s="424">
        <f t="shared" si="969"/>
        <v>0</v>
      </c>
      <c r="Y1152" s="424">
        <f t="shared" si="969"/>
        <v>0</v>
      </c>
      <c r="Z1152" s="424">
        <f t="shared" si="969"/>
        <v>0</v>
      </c>
      <c r="AA1152" s="424">
        <f t="shared" si="969"/>
        <v>0</v>
      </c>
      <c r="AB1152" s="424">
        <f t="shared" si="969"/>
        <v>0</v>
      </c>
      <c r="AC1152" s="424">
        <f t="shared" si="969"/>
        <v>11710.66</v>
      </c>
      <c r="AD1152" s="424">
        <f t="shared" si="969"/>
        <v>5630.125</v>
      </c>
      <c r="AE1152" s="424">
        <f t="shared" si="969"/>
        <v>2026.8449999999998</v>
      </c>
      <c r="AF1152" s="424">
        <f t="shared" si="969"/>
        <v>1126.0250000000001</v>
      </c>
      <c r="AG1152" s="424">
        <f t="shared" si="969"/>
        <v>675.61500000000001</v>
      </c>
      <c r="AH1152" s="424">
        <f t="shared" si="969"/>
        <v>225.20499999999998</v>
      </c>
      <c r="AI1152" s="424">
        <f t="shared" si="969"/>
        <v>450.40999999999997</v>
      </c>
      <c r="AJ1152" s="424">
        <f t="shared" si="969"/>
        <v>225.20499999999998</v>
      </c>
      <c r="AK1152" s="424">
        <f t="shared" si="969"/>
        <v>900.81999999999994</v>
      </c>
      <c r="AL1152" s="424">
        <f t="shared" si="969"/>
        <v>225.20499999999998</v>
      </c>
      <c r="AM1152" s="424">
        <f t="shared" si="969"/>
        <v>10134.225</v>
      </c>
      <c r="AN1152" s="424"/>
      <c r="AO1152" s="424"/>
      <c r="AP1152" s="424">
        <f t="shared" si="969"/>
        <v>169719892.91999999</v>
      </c>
      <c r="AQ1152" s="424">
        <f t="shared" si="969"/>
        <v>47144.418471553174</v>
      </c>
      <c r="AR1152" s="424">
        <f t="shared" si="969"/>
        <v>9428.8836943106362</v>
      </c>
      <c r="AS1152" s="424">
        <f t="shared" si="969"/>
        <v>0</v>
      </c>
      <c r="AT1152" s="424">
        <f t="shared" si="969"/>
        <v>0</v>
      </c>
      <c r="AU1152" s="424">
        <f t="shared" si="969"/>
        <v>0</v>
      </c>
      <c r="AV1152" s="424">
        <f t="shared" si="969"/>
        <v>1.3454457326356499</v>
      </c>
      <c r="AW1152" s="424">
        <f t="shared" si="969"/>
        <v>0</v>
      </c>
      <c r="AX1152" s="424">
        <f t="shared" si="969"/>
        <v>1.3454457326356499</v>
      </c>
      <c r="AY1152" s="189"/>
    </row>
    <row r="1153" spans="1:51" hidden="1" x14ac:dyDescent="0.25"/>
    <row r="1154" spans="1:51" s="139" customFormat="1" ht="15" hidden="1" customHeight="1" x14ac:dyDescent="0.25">
      <c r="A1154" s="1"/>
      <c r="B1154" s="120"/>
      <c r="C1154" s="121" t="s">
        <v>429</v>
      </c>
      <c r="D1154" s="122"/>
      <c r="E1154" s="123"/>
      <c r="F1154" s="123"/>
      <c r="G1154" s="123"/>
      <c r="H1154" s="123"/>
      <c r="I1154" s="123"/>
      <c r="J1154" s="123"/>
      <c r="K1154" s="123"/>
      <c r="L1154" s="123"/>
      <c r="M1154" s="123"/>
      <c r="N1154" s="123"/>
      <c r="O1154" s="123"/>
      <c r="P1154" s="213"/>
      <c r="Q1154" s="76"/>
      <c r="R1154" s="108"/>
      <c r="S1154" s="108"/>
      <c r="T1154" s="94"/>
      <c r="U1154" s="120"/>
      <c r="V1154" s="67"/>
      <c r="W1154" s="123"/>
      <c r="X1154" s="123"/>
      <c r="Y1154" s="125"/>
      <c r="Z1154" s="126"/>
      <c r="AA1154" s="126"/>
      <c r="AB1154" s="127"/>
      <c r="AC1154" s="62"/>
      <c r="AD1154" s="215"/>
      <c r="AE1154" s="215"/>
      <c r="AF1154" s="215"/>
      <c r="AG1154" s="215"/>
      <c r="AH1154" s="215"/>
      <c r="AI1154" s="215"/>
      <c r="AJ1154" s="215"/>
      <c r="AK1154" s="215"/>
      <c r="AL1154" s="215"/>
      <c r="AM1154" s="125"/>
      <c r="AN1154" s="75"/>
      <c r="AO1154" s="216"/>
      <c r="AP1154" s="75"/>
      <c r="AQ1154" s="51"/>
      <c r="AR1154" s="217"/>
      <c r="AS1154" s="218"/>
      <c r="AT1154" s="219"/>
      <c r="AU1154" s="220"/>
      <c r="AV1154" s="135"/>
      <c r="AW1154" s="136"/>
      <c r="AX1154" s="137"/>
      <c r="AY1154" s="138"/>
    </row>
    <row r="1155" spans="1:51" s="139" customFormat="1" ht="11.25" hidden="1" x14ac:dyDescent="0.2">
      <c r="A1155" s="1"/>
      <c r="B1155" s="140">
        <v>1</v>
      </c>
      <c r="C1155" s="63" t="s">
        <v>430</v>
      </c>
      <c r="D1155" s="142"/>
      <c r="E1155" s="143"/>
      <c r="F1155" s="143"/>
      <c r="G1155" s="143"/>
      <c r="H1155" s="143"/>
      <c r="I1155" s="143"/>
      <c r="J1155" s="143"/>
      <c r="K1155" s="143"/>
      <c r="L1155" s="143"/>
      <c r="M1155" s="143"/>
      <c r="N1155" s="328">
        <v>261638</v>
      </c>
      <c r="O1155" s="328">
        <v>267051</v>
      </c>
      <c r="P1155" s="145"/>
      <c r="Q1155" s="223">
        <f t="shared" ref="Q1155:Q1170" si="970">MAX(D1155:P1155)</f>
        <v>267051</v>
      </c>
      <c r="R1155" s="147">
        <f>Q1155*$R$10</f>
        <v>29375.61</v>
      </c>
      <c r="S1155" s="147">
        <f>R1155/$S$5</f>
        <v>80.481123287671238</v>
      </c>
      <c r="T1155" s="148">
        <f>S1155*$T$5*$T$10</f>
        <v>17625.365999999998</v>
      </c>
      <c r="U1155" s="420"/>
      <c r="V1155" s="407"/>
      <c r="W1155" s="236"/>
      <c r="X1155" s="236"/>
      <c r="Y1155" s="408"/>
      <c r="Z1155" s="409"/>
      <c r="AA1155" s="409"/>
      <c r="AB1155" s="410"/>
      <c r="AC1155" s="155"/>
      <c r="AD1155" s="156"/>
      <c r="AE1155" s="156"/>
      <c r="AF1155" s="156"/>
      <c r="AG1155" s="156"/>
      <c r="AH1155" s="156"/>
      <c r="AI1155" s="156"/>
      <c r="AJ1155" s="156"/>
      <c r="AK1155" s="156"/>
      <c r="AL1155" s="156"/>
      <c r="AM1155" s="157"/>
      <c r="AN1155" s="158">
        <f t="shared" ref="AN1155:AN1171" si="971">$AN$641</f>
        <v>4000</v>
      </c>
      <c r="AO1155" s="159"/>
      <c r="AP1155" s="160"/>
      <c r="AQ1155" s="161"/>
      <c r="AR1155" s="162"/>
      <c r="AS1155" s="163"/>
      <c r="AT1155" s="164"/>
      <c r="AU1155" s="165"/>
      <c r="AV1155" s="166"/>
      <c r="AW1155" s="167"/>
      <c r="AX1155" s="146"/>
      <c r="AY1155" s="168"/>
    </row>
    <row r="1156" spans="1:51" s="139" customFormat="1" ht="11.25" hidden="1" x14ac:dyDescent="0.2">
      <c r="A1156" s="1"/>
      <c r="B1156" s="140"/>
      <c r="C1156" s="63"/>
      <c r="D1156" s="142"/>
      <c r="E1156" s="143"/>
      <c r="F1156" s="143"/>
      <c r="G1156" s="143"/>
      <c r="H1156" s="143"/>
      <c r="I1156" s="143"/>
      <c r="J1156" s="143"/>
      <c r="K1156" s="143"/>
      <c r="L1156" s="143"/>
      <c r="M1156" s="143"/>
      <c r="N1156" s="328"/>
      <c r="O1156" s="328"/>
      <c r="P1156" s="145"/>
      <c r="Q1156" s="223"/>
      <c r="R1156" s="167"/>
      <c r="S1156" s="147"/>
      <c r="T1156" s="146"/>
      <c r="U1156" s="420" t="s">
        <v>769</v>
      </c>
      <c r="V1156" s="407"/>
      <c r="W1156" s="236"/>
      <c r="X1156" s="236"/>
      <c r="Y1156" s="408"/>
      <c r="Z1156" s="409"/>
      <c r="AA1156" s="409"/>
      <c r="AB1156" s="410"/>
      <c r="AC1156" s="411">
        <f>W1156*52%</f>
        <v>0</v>
      </c>
      <c r="AD1156" s="412">
        <f>W1156*25%</f>
        <v>0</v>
      </c>
      <c r="AE1156" s="412">
        <f>W1156*9%</f>
        <v>0</v>
      </c>
      <c r="AF1156" s="412">
        <f>W1156*5%</f>
        <v>0</v>
      </c>
      <c r="AG1156" s="412">
        <f>W1156*3%</f>
        <v>0</v>
      </c>
      <c r="AH1156" s="412">
        <f>W1156*1%</f>
        <v>0</v>
      </c>
      <c r="AI1156" s="412">
        <f>W1156*2%</f>
        <v>0</v>
      </c>
      <c r="AJ1156" s="412">
        <f>W1156*1%</f>
        <v>0</v>
      </c>
      <c r="AK1156" s="412">
        <f>W1156*4%</f>
        <v>0</v>
      </c>
      <c r="AL1156" s="412">
        <f>W1156*1%</f>
        <v>0</v>
      </c>
      <c r="AM1156" s="413">
        <f>SUM(AD1156:AI1156)</f>
        <v>0</v>
      </c>
      <c r="AN1156" s="158">
        <f t="shared" si="971"/>
        <v>4000</v>
      </c>
      <c r="AO1156" s="159">
        <v>0.2</v>
      </c>
      <c r="AP1156" s="160">
        <f>AM1156*AN1156*$AP$5</f>
        <v>0</v>
      </c>
      <c r="AQ1156" s="161">
        <f>AP1156*$AQ$5</f>
        <v>0</v>
      </c>
      <c r="AR1156" s="162">
        <f>AQ1156*$AR$5</f>
        <v>0</v>
      </c>
      <c r="AS1156" s="163"/>
      <c r="AT1156" s="233"/>
      <c r="AU1156" s="187"/>
      <c r="AV1156" s="414">
        <f>AR1156/$AV$5</f>
        <v>0</v>
      </c>
      <c r="AW1156" s="415"/>
      <c r="AX1156" s="146">
        <f>SUM(AU1156:AV1156)</f>
        <v>0</v>
      </c>
      <c r="AY1156" s="168"/>
    </row>
    <row r="1157" spans="1:51" s="139" customFormat="1" ht="11.25" hidden="1" x14ac:dyDescent="0.2">
      <c r="A1157" s="1"/>
      <c r="B1157" s="140">
        <v>2</v>
      </c>
      <c r="C1157" s="258" t="s">
        <v>770</v>
      </c>
      <c r="D1157" s="142"/>
      <c r="E1157" s="143"/>
      <c r="F1157" s="143"/>
      <c r="G1157" s="143"/>
      <c r="H1157" s="143"/>
      <c r="I1157" s="143"/>
      <c r="J1157" s="143"/>
      <c r="K1157" s="143"/>
      <c r="L1157" s="143"/>
      <c r="M1157" s="143"/>
      <c r="N1157" s="328">
        <v>420913</v>
      </c>
      <c r="O1157" s="328">
        <v>429622</v>
      </c>
      <c r="P1157" s="145"/>
      <c r="Q1157" s="304">
        <f t="shared" si="970"/>
        <v>429622</v>
      </c>
      <c r="R1157" s="147">
        <f>Q1157*$R$10</f>
        <v>47258.42</v>
      </c>
      <c r="S1157" s="147">
        <f>R1157/$S$5</f>
        <v>129.47512328767124</v>
      </c>
      <c r="T1157" s="148">
        <f>S1157*$T$5*$T$10</f>
        <v>28355.052</v>
      </c>
      <c r="U1157" s="420"/>
      <c r="V1157" s="407"/>
      <c r="W1157" s="236"/>
      <c r="X1157" s="236"/>
      <c r="Y1157" s="408"/>
      <c r="Z1157" s="409"/>
      <c r="AA1157" s="409"/>
      <c r="AB1157" s="410"/>
      <c r="AC1157" s="155"/>
      <c r="AD1157" s="156"/>
      <c r="AE1157" s="156"/>
      <c r="AF1157" s="156"/>
      <c r="AG1157" s="156"/>
      <c r="AH1157" s="156"/>
      <c r="AI1157" s="156"/>
      <c r="AJ1157" s="156"/>
      <c r="AK1157" s="156"/>
      <c r="AL1157" s="156"/>
      <c r="AM1157" s="157"/>
      <c r="AN1157" s="158">
        <f t="shared" si="971"/>
        <v>4000</v>
      </c>
      <c r="AO1157" s="159"/>
      <c r="AP1157" s="160"/>
      <c r="AQ1157" s="161"/>
      <c r="AR1157" s="162"/>
      <c r="AS1157" s="163"/>
      <c r="AT1157" s="164"/>
      <c r="AU1157" s="165"/>
      <c r="AV1157" s="166"/>
      <c r="AW1157" s="167"/>
      <c r="AX1157" s="146"/>
      <c r="AY1157" s="168"/>
    </row>
    <row r="1158" spans="1:51" s="139" customFormat="1" ht="11.25" hidden="1" x14ac:dyDescent="0.2">
      <c r="A1158" s="1"/>
      <c r="B1158" s="140"/>
      <c r="C1158" s="63"/>
      <c r="D1158" s="142"/>
      <c r="E1158" s="143"/>
      <c r="F1158" s="143"/>
      <c r="G1158" s="143"/>
      <c r="H1158" s="143"/>
      <c r="I1158" s="143"/>
      <c r="J1158" s="143"/>
      <c r="K1158" s="143"/>
      <c r="L1158" s="143"/>
      <c r="M1158" s="143"/>
      <c r="N1158" s="328"/>
      <c r="O1158" s="328"/>
      <c r="P1158" s="145"/>
      <c r="Q1158" s="223"/>
      <c r="R1158" s="167"/>
      <c r="S1158" s="429"/>
      <c r="T1158" s="146"/>
      <c r="U1158" s="420" t="s">
        <v>771</v>
      </c>
      <c r="V1158" s="407"/>
      <c r="W1158" s="236">
        <f>(192*0.33)*365</f>
        <v>23126.400000000001</v>
      </c>
      <c r="X1158" s="236"/>
      <c r="Y1158" s="408"/>
      <c r="Z1158" s="409"/>
      <c r="AA1158" s="409"/>
      <c r="AB1158" s="410"/>
      <c r="AC1158" s="411">
        <f>W1158*52%</f>
        <v>12025.728000000001</v>
      </c>
      <c r="AD1158" s="412">
        <f>W1158*25%</f>
        <v>5781.6</v>
      </c>
      <c r="AE1158" s="412">
        <f>W1158*9%</f>
        <v>2081.3760000000002</v>
      </c>
      <c r="AF1158" s="412">
        <f>W1158*5%</f>
        <v>1156.3200000000002</v>
      </c>
      <c r="AG1158" s="412">
        <f>W1158*3%</f>
        <v>693.79200000000003</v>
      </c>
      <c r="AH1158" s="412">
        <f>W1158*1%</f>
        <v>231.26400000000001</v>
      </c>
      <c r="AI1158" s="412">
        <f>W1158*2%</f>
        <v>462.52800000000002</v>
      </c>
      <c r="AJ1158" s="412">
        <f>W1158*1%</f>
        <v>231.26400000000001</v>
      </c>
      <c r="AK1158" s="412">
        <f>W1158*4%</f>
        <v>925.05600000000004</v>
      </c>
      <c r="AL1158" s="412">
        <f>W1158*1%</f>
        <v>231.26400000000001</v>
      </c>
      <c r="AM1158" s="413">
        <f>SUM(AD1158:AI1158)</f>
        <v>10406.879999999999</v>
      </c>
      <c r="AN1158" s="158">
        <f t="shared" si="971"/>
        <v>4000</v>
      </c>
      <c r="AO1158" s="159">
        <v>0.2</v>
      </c>
      <c r="AP1158" s="160">
        <f>AM1158*AN1158*$AP$5</f>
        <v>174286100.736</v>
      </c>
      <c r="AQ1158" s="161">
        <f>AP1158*$AQ$5</f>
        <v>48412.809633024459</v>
      </c>
      <c r="AR1158" s="162">
        <f>AQ1158*$AR$5</f>
        <v>9682.5619266048925</v>
      </c>
      <c r="AS1158" s="163"/>
      <c r="AT1158" s="233"/>
      <c r="AU1158" s="187"/>
      <c r="AV1158" s="414">
        <f>AR1158/$AV$5</f>
        <v>1.38164411053152</v>
      </c>
      <c r="AW1158" s="415"/>
      <c r="AX1158" s="146">
        <f>SUM(AU1158:AV1158)</f>
        <v>1.38164411053152</v>
      </c>
      <c r="AY1158" s="168"/>
    </row>
    <row r="1159" spans="1:51" s="139" customFormat="1" ht="11.25" hidden="1" x14ac:dyDescent="0.2">
      <c r="A1159" s="1"/>
      <c r="B1159" s="140">
        <v>3</v>
      </c>
      <c r="C1159" s="258" t="s">
        <v>432</v>
      </c>
      <c r="D1159" s="142"/>
      <c r="E1159" s="143"/>
      <c r="F1159" s="143"/>
      <c r="G1159" s="143"/>
      <c r="H1159" s="143"/>
      <c r="I1159" s="143"/>
      <c r="J1159" s="143"/>
      <c r="K1159" s="143"/>
      <c r="L1159" s="143"/>
      <c r="M1159" s="143"/>
      <c r="N1159" s="328">
        <v>543332</v>
      </c>
      <c r="O1159" s="328">
        <v>554574</v>
      </c>
      <c r="P1159" s="145"/>
      <c r="Q1159" s="304">
        <f t="shared" si="970"/>
        <v>554574</v>
      </c>
      <c r="R1159" s="147">
        <f>Q1159*$R$9</f>
        <v>80967.803999999989</v>
      </c>
      <c r="S1159" s="147">
        <f>R1159/$S$5</f>
        <v>221.82959999999997</v>
      </c>
      <c r="T1159" s="148">
        <f>S1159*$T$5*$T$9</f>
        <v>56677.462799999987</v>
      </c>
      <c r="U1159" s="420"/>
      <c r="V1159" s="407"/>
      <c r="W1159" s="236"/>
      <c r="X1159" s="236"/>
      <c r="Y1159" s="408"/>
      <c r="Z1159" s="409"/>
      <c r="AA1159" s="409"/>
      <c r="AB1159" s="410"/>
      <c r="AC1159" s="155"/>
      <c r="AD1159" s="156"/>
      <c r="AE1159" s="156"/>
      <c r="AF1159" s="156"/>
      <c r="AG1159" s="156"/>
      <c r="AH1159" s="156"/>
      <c r="AI1159" s="156"/>
      <c r="AJ1159" s="156"/>
      <c r="AK1159" s="156"/>
      <c r="AL1159" s="156"/>
      <c r="AM1159" s="157"/>
      <c r="AN1159" s="158">
        <f t="shared" si="971"/>
        <v>4000</v>
      </c>
      <c r="AO1159" s="159"/>
      <c r="AP1159" s="160"/>
      <c r="AQ1159" s="161"/>
      <c r="AR1159" s="162"/>
      <c r="AS1159" s="163"/>
      <c r="AT1159" s="164"/>
      <c r="AU1159" s="165"/>
      <c r="AV1159" s="166"/>
      <c r="AW1159" s="167"/>
      <c r="AX1159" s="146"/>
      <c r="AY1159" s="168"/>
    </row>
    <row r="1160" spans="1:51" s="139" customFormat="1" ht="11.25" hidden="1" x14ac:dyDescent="0.2">
      <c r="A1160" s="1"/>
      <c r="B1160" s="140">
        <v>4</v>
      </c>
      <c r="C1160" s="258" t="s">
        <v>433</v>
      </c>
      <c r="D1160" s="142"/>
      <c r="E1160" s="143"/>
      <c r="F1160" s="143"/>
      <c r="G1160" s="143"/>
      <c r="H1160" s="143"/>
      <c r="I1160" s="143"/>
      <c r="J1160" s="143"/>
      <c r="K1160" s="143"/>
      <c r="L1160" s="143"/>
      <c r="M1160" s="143"/>
      <c r="N1160" s="328">
        <v>469777</v>
      </c>
      <c r="O1160" s="328">
        <v>479497</v>
      </c>
      <c r="P1160" s="145"/>
      <c r="Q1160" s="304">
        <f t="shared" si="970"/>
        <v>479497</v>
      </c>
      <c r="R1160" s="147">
        <f>Q1160*$R$10</f>
        <v>52744.67</v>
      </c>
      <c r="S1160" s="147">
        <f>R1160/$S$5</f>
        <v>144.50594520547943</v>
      </c>
      <c r="T1160" s="148">
        <f>S1160*$T$5*$T$10</f>
        <v>31646.801999999992</v>
      </c>
      <c r="U1160" s="420"/>
      <c r="V1160" s="407"/>
      <c r="W1160" s="236"/>
      <c r="X1160" s="236"/>
      <c r="Y1160" s="408"/>
      <c r="Z1160" s="409"/>
      <c r="AA1160" s="409"/>
      <c r="AB1160" s="410"/>
      <c r="AC1160" s="155"/>
      <c r="AD1160" s="156"/>
      <c r="AE1160" s="156"/>
      <c r="AF1160" s="156"/>
      <c r="AG1160" s="156"/>
      <c r="AH1160" s="156"/>
      <c r="AI1160" s="156"/>
      <c r="AJ1160" s="156"/>
      <c r="AK1160" s="156"/>
      <c r="AL1160" s="156"/>
      <c r="AM1160" s="157"/>
      <c r="AN1160" s="158">
        <f t="shared" si="971"/>
        <v>4000</v>
      </c>
      <c r="AO1160" s="159"/>
      <c r="AP1160" s="160"/>
      <c r="AQ1160" s="161"/>
      <c r="AR1160" s="162"/>
      <c r="AS1160" s="163"/>
      <c r="AT1160" s="164"/>
      <c r="AU1160" s="165"/>
      <c r="AV1160" s="166"/>
      <c r="AW1160" s="167"/>
      <c r="AX1160" s="146"/>
      <c r="AY1160" s="168"/>
    </row>
    <row r="1161" spans="1:51" s="139" customFormat="1" ht="11.25" hidden="1" x14ac:dyDescent="0.2">
      <c r="A1161" s="1"/>
      <c r="B1161" s="140"/>
      <c r="C1161" s="63"/>
      <c r="D1161" s="142"/>
      <c r="E1161" s="143"/>
      <c r="F1161" s="143"/>
      <c r="G1161" s="143"/>
      <c r="H1161" s="143"/>
      <c r="I1161" s="143"/>
      <c r="J1161" s="143"/>
      <c r="K1161" s="143"/>
      <c r="L1161" s="143"/>
      <c r="M1161" s="143"/>
      <c r="N1161" s="328"/>
      <c r="O1161" s="328"/>
      <c r="P1161" s="145"/>
      <c r="Q1161" s="223"/>
      <c r="R1161" s="167"/>
      <c r="S1161" s="429"/>
      <c r="T1161" s="146"/>
      <c r="U1161" s="420" t="s">
        <v>772</v>
      </c>
      <c r="V1161" s="407"/>
      <c r="W1161" s="236"/>
      <c r="X1161" s="236"/>
      <c r="Y1161" s="408"/>
      <c r="Z1161" s="409"/>
      <c r="AA1161" s="409"/>
      <c r="AB1161" s="410"/>
      <c r="AC1161" s="411">
        <f>W1161*52%</f>
        <v>0</v>
      </c>
      <c r="AD1161" s="412">
        <f>W1161*25%</f>
        <v>0</v>
      </c>
      <c r="AE1161" s="412">
        <f>W1161*9%</f>
        <v>0</v>
      </c>
      <c r="AF1161" s="412">
        <f>W1161*5%</f>
        <v>0</v>
      </c>
      <c r="AG1161" s="412">
        <f>W1161*3%</f>
        <v>0</v>
      </c>
      <c r="AH1161" s="412">
        <f>W1161*1%</f>
        <v>0</v>
      </c>
      <c r="AI1161" s="412">
        <f>W1161*2%</f>
        <v>0</v>
      </c>
      <c r="AJ1161" s="412">
        <f>W1161*1%</f>
        <v>0</v>
      </c>
      <c r="AK1161" s="412">
        <f>W1161*4%</f>
        <v>0</v>
      </c>
      <c r="AL1161" s="412">
        <f>W1161*1%</f>
        <v>0</v>
      </c>
      <c r="AM1161" s="413">
        <f>SUM(AD1161:AI1161)</f>
        <v>0</v>
      </c>
      <c r="AN1161" s="158">
        <f t="shared" si="971"/>
        <v>4000</v>
      </c>
      <c r="AO1161" s="159">
        <v>0.2</v>
      </c>
      <c r="AP1161" s="160">
        <f>AM1161*AN1161*$AP$5</f>
        <v>0</v>
      </c>
      <c r="AQ1161" s="161">
        <f>AP1161*$AQ$5</f>
        <v>0</v>
      </c>
      <c r="AR1161" s="162">
        <f>AQ1161*$AR$5</f>
        <v>0</v>
      </c>
      <c r="AS1161" s="163"/>
      <c r="AT1161" s="233"/>
      <c r="AU1161" s="187"/>
      <c r="AV1161" s="414">
        <f>AR1161/$AV$5</f>
        <v>0</v>
      </c>
      <c r="AW1161" s="415"/>
      <c r="AX1161" s="146">
        <f>SUM(AU1161:AV1161)</f>
        <v>0</v>
      </c>
      <c r="AY1161" s="168"/>
    </row>
    <row r="1162" spans="1:51" s="139" customFormat="1" ht="11.25" hidden="1" x14ac:dyDescent="0.2">
      <c r="A1162" s="1"/>
      <c r="B1162" s="140">
        <v>5</v>
      </c>
      <c r="C1162" s="63" t="s">
        <v>434</v>
      </c>
      <c r="D1162" s="142"/>
      <c r="E1162" s="143"/>
      <c r="F1162" s="143"/>
      <c r="G1162" s="143"/>
      <c r="H1162" s="143"/>
      <c r="I1162" s="143"/>
      <c r="J1162" s="143"/>
      <c r="K1162" s="143"/>
      <c r="L1162" s="143"/>
      <c r="M1162" s="143"/>
      <c r="N1162" s="328">
        <v>170543</v>
      </c>
      <c r="O1162" s="328">
        <v>174073</v>
      </c>
      <c r="P1162" s="145"/>
      <c r="Q1162" s="223">
        <f t="shared" si="970"/>
        <v>174073</v>
      </c>
      <c r="R1162" s="147">
        <f>Q1162*$R$10</f>
        <v>19148.03</v>
      </c>
      <c r="S1162" s="147">
        <f>R1162/$S$5</f>
        <v>52.460356164383562</v>
      </c>
      <c r="T1162" s="148">
        <f>S1162*$T$5*$T$10</f>
        <v>11488.817999999999</v>
      </c>
      <c r="U1162" s="420"/>
      <c r="V1162" s="407"/>
      <c r="W1162" s="236"/>
      <c r="X1162" s="236"/>
      <c r="Y1162" s="408"/>
      <c r="Z1162" s="409"/>
      <c r="AA1162" s="409"/>
      <c r="AB1162" s="410"/>
      <c r="AC1162" s="155"/>
      <c r="AD1162" s="156"/>
      <c r="AE1162" s="156"/>
      <c r="AF1162" s="156"/>
      <c r="AG1162" s="156"/>
      <c r="AH1162" s="156"/>
      <c r="AI1162" s="156"/>
      <c r="AJ1162" s="156"/>
      <c r="AK1162" s="156"/>
      <c r="AL1162" s="156"/>
      <c r="AM1162" s="157"/>
      <c r="AN1162" s="158">
        <f t="shared" si="971"/>
        <v>4000</v>
      </c>
      <c r="AO1162" s="159"/>
      <c r="AP1162" s="160"/>
      <c r="AQ1162" s="161"/>
      <c r="AR1162" s="162"/>
      <c r="AS1162" s="163"/>
      <c r="AT1162" s="164"/>
      <c r="AU1162" s="165"/>
      <c r="AV1162" s="166"/>
      <c r="AW1162" s="167"/>
      <c r="AX1162" s="146"/>
      <c r="AY1162" s="168"/>
    </row>
    <row r="1163" spans="1:51" s="139" customFormat="1" ht="11.25" hidden="1" x14ac:dyDescent="0.2">
      <c r="A1163" s="1"/>
      <c r="B1163" s="140"/>
      <c r="C1163" s="63"/>
      <c r="D1163" s="142"/>
      <c r="E1163" s="143"/>
      <c r="F1163" s="143"/>
      <c r="G1163" s="143"/>
      <c r="H1163" s="143"/>
      <c r="I1163" s="143"/>
      <c r="J1163" s="143"/>
      <c r="K1163" s="143"/>
      <c r="L1163" s="143"/>
      <c r="M1163" s="143"/>
      <c r="N1163" s="328"/>
      <c r="O1163" s="328"/>
      <c r="P1163" s="145"/>
      <c r="Q1163" s="223"/>
      <c r="R1163" s="167"/>
      <c r="S1163" s="147"/>
      <c r="T1163" s="146"/>
      <c r="U1163" s="420" t="s">
        <v>773</v>
      </c>
      <c r="V1163" s="407">
        <v>1</v>
      </c>
      <c r="W1163" s="236">
        <f>(160*0.33)*365</f>
        <v>19272</v>
      </c>
      <c r="X1163" s="236"/>
      <c r="Y1163" s="408"/>
      <c r="Z1163" s="409"/>
      <c r="AA1163" s="409"/>
      <c r="AB1163" s="410"/>
      <c r="AC1163" s="411">
        <f>W1163*52%</f>
        <v>10021.44</v>
      </c>
      <c r="AD1163" s="412">
        <f>W1163*25%</f>
        <v>4818</v>
      </c>
      <c r="AE1163" s="412">
        <f>W1163*9%</f>
        <v>1734.48</v>
      </c>
      <c r="AF1163" s="412">
        <f>W1163*5%</f>
        <v>963.6</v>
      </c>
      <c r="AG1163" s="412">
        <f>W1163*3%</f>
        <v>578.16</v>
      </c>
      <c r="AH1163" s="412">
        <f>W1163*1%</f>
        <v>192.72</v>
      </c>
      <c r="AI1163" s="412">
        <f>W1163*2%</f>
        <v>385.44</v>
      </c>
      <c r="AJ1163" s="412">
        <f>W1163*1%</f>
        <v>192.72</v>
      </c>
      <c r="AK1163" s="412">
        <f>W1163*4%</f>
        <v>770.88</v>
      </c>
      <c r="AL1163" s="412">
        <f>W1163*1%</f>
        <v>192.72</v>
      </c>
      <c r="AM1163" s="413">
        <f>SUM(AD1163:AI1163)</f>
        <v>8672.4</v>
      </c>
      <c r="AN1163" s="158">
        <f t="shared" si="971"/>
        <v>4000</v>
      </c>
      <c r="AO1163" s="159">
        <v>0.2</v>
      </c>
      <c r="AP1163" s="160">
        <f>AM1163*AN1163*$AP$5</f>
        <v>145238417.28</v>
      </c>
      <c r="AQ1163" s="161">
        <f>AP1163*$AQ$5</f>
        <v>40344.008027520387</v>
      </c>
      <c r="AR1163" s="162">
        <f>AQ1163*$AR$5</f>
        <v>8068.801605504078</v>
      </c>
      <c r="AS1163" s="163"/>
      <c r="AT1163" s="233"/>
      <c r="AU1163" s="187"/>
      <c r="AV1163" s="414">
        <f>AR1163/$AV$5</f>
        <v>1.1513700921096002</v>
      </c>
      <c r="AW1163" s="415"/>
      <c r="AX1163" s="146">
        <f>SUM(AU1163:AV1163)</f>
        <v>1.1513700921096002</v>
      </c>
      <c r="AY1163" s="168"/>
    </row>
    <row r="1164" spans="1:51" s="139" customFormat="1" ht="11.25" hidden="1" x14ac:dyDescent="0.2">
      <c r="A1164" s="1"/>
      <c r="B1164" s="140">
        <v>6</v>
      </c>
      <c r="C1164" s="63" t="s">
        <v>435</v>
      </c>
      <c r="D1164" s="142"/>
      <c r="E1164" s="143"/>
      <c r="F1164" s="143"/>
      <c r="G1164" s="143"/>
      <c r="H1164" s="143"/>
      <c r="I1164" s="143"/>
      <c r="J1164" s="143"/>
      <c r="K1164" s="143"/>
      <c r="L1164" s="143"/>
      <c r="M1164" s="143"/>
      <c r="N1164" s="328">
        <v>215353</v>
      </c>
      <c r="O1164" s="328">
        <v>219809</v>
      </c>
      <c r="P1164" s="145"/>
      <c r="Q1164" s="223">
        <f t="shared" si="970"/>
        <v>219809</v>
      </c>
      <c r="R1164" s="147">
        <f>Q1164*$R$10</f>
        <v>24178.99</v>
      </c>
      <c r="S1164" s="147">
        <f>R1164/$S$5</f>
        <v>66.243808219178092</v>
      </c>
      <c r="T1164" s="148">
        <f>S1164*$T$5*$T$10</f>
        <v>14507.394000000002</v>
      </c>
      <c r="U1164" s="420"/>
      <c r="V1164" s="407"/>
      <c r="W1164" s="236"/>
      <c r="X1164" s="236"/>
      <c r="Y1164" s="408"/>
      <c r="Z1164" s="409"/>
      <c r="AA1164" s="409"/>
      <c r="AB1164" s="410"/>
      <c r="AC1164" s="155"/>
      <c r="AD1164" s="156"/>
      <c r="AE1164" s="156"/>
      <c r="AF1164" s="156"/>
      <c r="AG1164" s="156"/>
      <c r="AH1164" s="156"/>
      <c r="AI1164" s="156"/>
      <c r="AJ1164" s="156"/>
      <c r="AK1164" s="156"/>
      <c r="AL1164" s="156"/>
      <c r="AM1164" s="157"/>
      <c r="AN1164" s="158">
        <f t="shared" si="971"/>
        <v>4000</v>
      </c>
      <c r="AO1164" s="159"/>
      <c r="AP1164" s="160"/>
      <c r="AQ1164" s="161"/>
      <c r="AR1164" s="162"/>
      <c r="AS1164" s="163"/>
      <c r="AT1164" s="164"/>
      <c r="AU1164" s="165"/>
      <c r="AV1164" s="166"/>
      <c r="AW1164" s="167"/>
      <c r="AX1164" s="146"/>
      <c r="AY1164" s="168"/>
    </row>
    <row r="1165" spans="1:51" s="139" customFormat="1" ht="11.25" hidden="1" x14ac:dyDescent="0.2">
      <c r="A1165" s="1"/>
      <c r="B1165" s="140"/>
      <c r="C1165" s="63"/>
      <c r="D1165" s="142"/>
      <c r="E1165" s="143"/>
      <c r="F1165" s="143"/>
      <c r="G1165" s="143"/>
      <c r="H1165" s="143"/>
      <c r="I1165" s="143"/>
      <c r="J1165" s="143"/>
      <c r="K1165" s="143"/>
      <c r="L1165" s="143"/>
      <c r="M1165" s="143"/>
      <c r="N1165" s="328"/>
      <c r="O1165" s="328"/>
      <c r="P1165" s="145"/>
      <c r="Q1165" s="223"/>
      <c r="R1165" s="167"/>
      <c r="S1165" s="147"/>
      <c r="T1165" s="146"/>
      <c r="U1165" s="420" t="s">
        <v>774</v>
      </c>
      <c r="V1165" s="407"/>
      <c r="W1165" s="236"/>
      <c r="X1165" s="236"/>
      <c r="Y1165" s="408"/>
      <c r="Z1165" s="409"/>
      <c r="AA1165" s="409"/>
      <c r="AB1165" s="410"/>
      <c r="AC1165" s="411">
        <f>W1165*52%</f>
        <v>0</v>
      </c>
      <c r="AD1165" s="412">
        <f>W1165*25%</f>
        <v>0</v>
      </c>
      <c r="AE1165" s="412">
        <f>W1165*9%</f>
        <v>0</v>
      </c>
      <c r="AF1165" s="412">
        <f>W1165*5%</f>
        <v>0</v>
      </c>
      <c r="AG1165" s="412">
        <f>W1165*3%</f>
        <v>0</v>
      </c>
      <c r="AH1165" s="412">
        <f>W1165*1%</f>
        <v>0</v>
      </c>
      <c r="AI1165" s="412">
        <f>W1165*2%</f>
        <v>0</v>
      </c>
      <c r="AJ1165" s="412">
        <f>W1165*1%</f>
        <v>0</v>
      </c>
      <c r="AK1165" s="412">
        <f>W1165*4%</f>
        <v>0</v>
      </c>
      <c r="AL1165" s="412">
        <f>W1165*1%</f>
        <v>0</v>
      </c>
      <c r="AM1165" s="413">
        <f>SUM(AD1165:AI1165)</f>
        <v>0</v>
      </c>
      <c r="AN1165" s="158">
        <f t="shared" si="971"/>
        <v>4000</v>
      </c>
      <c r="AO1165" s="159">
        <v>0.2</v>
      </c>
      <c r="AP1165" s="160">
        <f>AM1165*AN1165*$AP$5</f>
        <v>0</v>
      </c>
      <c r="AQ1165" s="161">
        <f>AP1165*$AQ$5</f>
        <v>0</v>
      </c>
      <c r="AR1165" s="162">
        <f>AQ1165*$AR$5</f>
        <v>0</v>
      </c>
      <c r="AS1165" s="163"/>
      <c r="AT1165" s="233"/>
      <c r="AU1165" s="187"/>
      <c r="AV1165" s="414">
        <f>AR1165/$AV$5</f>
        <v>0</v>
      </c>
      <c r="AW1165" s="415"/>
      <c r="AX1165" s="146">
        <f>SUM(AU1165:AV1165)</f>
        <v>0</v>
      </c>
      <c r="AY1165" s="168"/>
    </row>
    <row r="1166" spans="1:51" s="139" customFormat="1" ht="11.25" hidden="1" x14ac:dyDescent="0.2">
      <c r="A1166" s="1"/>
      <c r="B1166" s="140">
        <v>7</v>
      </c>
      <c r="C1166" s="258" t="s">
        <v>436</v>
      </c>
      <c r="D1166" s="142"/>
      <c r="E1166" s="143"/>
      <c r="F1166" s="143"/>
      <c r="G1166" s="143"/>
      <c r="H1166" s="143"/>
      <c r="I1166" s="143"/>
      <c r="J1166" s="143"/>
      <c r="K1166" s="143"/>
      <c r="L1166" s="143"/>
      <c r="M1166" s="143"/>
      <c r="N1166" s="328">
        <v>396487</v>
      </c>
      <c r="O1166" s="328">
        <v>404690</v>
      </c>
      <c r="P1166" s="145"/>
      <c r="Q1166" s="304">
        <f t="shared" si="970"/>
        <v>404690</v>
      </c>
      <c r="R1166" s="147">
        <f>Q1166*$R$10</f>
        <v>44515.9</v>
      </c>
      <c r="S1166" s="147">
        <f>R1166/$S$5</f>
        <v>121.9613698630137</v>
      </c>
      <c r="T1166" s="148">
        <f>S1166*$T$5*$T$10</f>
        <v>26709.54</v>
      </c>
      <c r="U1166" s="420"/>
      <c r="V1166" s="407"/>
      <c r="W1166" s="236"/>
      <c r="X1166" s="236"/>
      <c r="Y1166" s="408"/>
      <c r="Z1166" s="409"/>
      <c r="AA1166" s="409"/>
      <c r="AB1166" s="410"/>
      <c r="AC1166" s="155"/>
      <c r="AD1166" s="156"/>
      <c r="AE1166" s="156"/>
      <c r="AF1166" s="156"/>
      <c r="AG1166" s="156"/>
      <c r="AH1166" s="156"/>
      <c r="AI1166" s="156"/>
      <c r="AJ1166" s="156"/>
      <c r="AK1166" s="156"/>
      <c r="AL1166" s="156"/>
      <c r="AM1166" s="157"/>
      <c r="AN1166" s="158">
        <f t="shared" si="971"/>
        <v>4000</v>
      </c>
      <c r="AO1166" s="159"/>
      <c r="AP1166" s="160"/>
      <c r="AQ1166" s="161"/>
      <c r="AR1166" s="162"/>
      <c r="AS1166" s="163"/>
      <c r="AT1166" s="164"/>
      <c r="AU1166" s="165"/>
      <c r="AV1166" s="166"/>
      <c r="AW1166" s="167"/>
      <c r="AX1166" s="146"/>
      <c r="AY1166" s="168"/>
    </row>
    <row r="1167" spans="1:51" s="139" customFormat="1" ht="11.25" hidden="1" x14ac:dyDescent="0.2">
      <c r="A1167" s="1"/>
      <c r="B1167" s="140"/>
      <c r="C1167" s="63"/>
      <c r="D1167" s="142"/>
      <c r="E1167" s="143"/>
      <c r="F1167" s="143"/>
      <c r="G1167" s="143"/>
      <c r="H1167" s="143"/>
      <c r="I1167" s="143"/>
      <c r="J1167" s="143"/>
      <c r="K1167" s="143"/>
      <c r="L1167" s="143"/>
      <c r="M1167" s="143"/>
      <c r="N1167" s="328"/>
      <c r="O1167" s="328"/>
      <c r="P1167" s="145"/>
      <c r="Q1167" s="223"/>
      <c r="R1167" s="167"/>
      <c r="S1167" s="147"/>
      <c r="T1167" s="146"/>
      <c r="U1167" s="420" t="s">
        <v>775</v>
      </c>
      <c r="V1167" s="407">
        <v>2</v>
      </c>
      <c r="W1167" s="236">
        <f>(120*0.33)*365</f>
        <v>14454</v>
      </c>
      <c r="X1167" s="236"/>
      <c r="Y1167" s="408"/>
      <c r="Z1167" s="409"/>
      <c r="AA1167" s="409"/>
      <c r="AB1167" s="410"/>
      <c r="AC1167" s="411">
        <f>W1167*52%</f>
        <v>7516.08</v>
      </c>
      <c r="AD1167" s="412">
        <f>W1167*25%</f>
        <v>3613.5</v>
      </c>
      <c r="AE1167" s="412">
        <f>W1167*9%</f>
        <v>1300.8599999999999</v>
      </c>
      <c r="AF1167" s="412">
        <f>W1167*5%</f>
        <v>722.7</v>
      </c>
      <c r="AG1167" s="412">
        <f>W1167*3%</f>
        <v>433.62</v>
      </c>
      <c r="AH1167" s="412">
        <f>W1167*1%</f>
        <v>144.54</v>
      </c>
      <c r="AI1167" s="412">
        <f>W1167*2%</f>
        <v>289.08</v>
      </c>
      <c r="AJ1167" s="412">
        <f>W1167*1%</f>
        <v>144.54</v>
      </c>
      <c r="AK1167" s="412">
        <f>W1167*4%</f>
        <v>578.16</v>
      </c>
      <c r="AL1167" s="412">
        <f>W1167*1%</f>
        <v>144.54</v>
      </c>
      <c r="AM1167" s="413">
        <f>SUM(AD1167:AI1167)</f>
        <v>6504.2999999999993</v>
      </c>
      <c r="AN1167" s="158">
        <f t="shared" si="971"/>
        <v>4000</v>
      </c>
      <c r="AO1167" s="159">
        <v>0.2</v>
      </c>
      <c r="AP1167" s="160">
        <f>AM1167*AN1167*$AP$5</f>
        <v>108928812.95999998</v>
      </c>
      <c r="AQ1167" s="161">
        <f>AP1167*$AQ$5</f>
        <v>30258.006020640281</v>
      </c>
      <c r="AR1167" s="162">
        <f>AQ1167*$AR$5</f>
        <v>6051.6012041280565</v>
      </c>
      <c r="AS1167" s="163"/>
      <c r="AT1167" s="233"/>
      <c r="AU1167" s="187"/>
      <c r="AV1167" s="414">
        <f>AR1167/$AV$5</f>
        <v>0.86352756908219985</v>
      </c>
      <c r="AW1167" s="415"/>
      <c r="AX1167" s="146">
        <f>SUM(AU1167:AV1167)</f>
        <v>0.86352756908219985</v>
      </c>
      <c r="AY1167" s="168"/>
    </row>
    <row r="1168" spans="1:51" s="139" customFormat="1" ht="11.25" hidden="1" x14ac:dyDescent="0.2">
      <c r="A1168" s="1"/>
      <c r="B1168" s="140">
        <v>8</v>
      </c>
      <c r="C1168" s="258" t="s">
        <v>437</v>
      </c>
      <c r="D1168" s="142"/>
      <c r="E1168" s="143"/>
      <c r="F1168" s="143"/>
      <c r="G1168" s="143"/>
      <c r="H1168" s="143"/>
      <c r="I1168" s="143"/>
      <c r="J1168" s="143"/>
      <c r="K1168" s="143"/>
      <c r="L1168" s="143"/>
      <c r="M1168" s="143"/>
      <c r="N1168" s="328">
        <v>624125</v>
      </c>
      <c r="O1168" s="328">
        <v>637038</v>
      </c>
      <c r="P1168" s="145"/>
      <c r="Q1168" s="304">
        <f t="shared" si="970"/>
        <v>637038</v>
      </c>
      <c r="R1168" s="147">
        <f>Q1168*$R$9</f>
        <v>93007.547999999995</v>
      </c>
      <c r="S1168" s="147">
        <f>R1168/$S$5</f>
        <v>254.81519999999998</v>
      </c>
      <c r="T1168" s="148">
        <f>S1168*$T$5*$T$9</f>
        <v>65105.283599999995</v>
      </c>
      <c r="U1168" s="420"/>
      <c r="V1168" s="407"/>
      <c r="W1168" s="236"/>
      <c r="X1168" s="236"/>
      <c r="Y1168" s="408"/>
      <c r="Z1168" s="409"/>
      <c r="AA1168" s="409"/>
      <c r="AB1168" s="410"/>
      <c r="AC1168" s="155"/>
      <c r="AD1168" s="156"/>
      <c r="AE1168" s="156"/>
      <c r="AF1168" s="156"/>
      <c r="AG1168" s="156"/>
      <c r="AH1168" s="156"/>
      <c r="AI1168" s="156"/>
      <c r="AJ1168" s="156"/>
      <c r="AK1168" s="156"/>
      <c r="AL1168" s="156"/>
      <c r="AM1168" s="157"/>
      <c r="AN1168" s="158">
        <f t="shared" si="971"/>
        <v>4000</v>
      </c>
      <c r="AO1168" s="159"/>
      <c r="AP1168" s="160"/>
      <c r="AQ1168" s="161"/>
      <c r="AR1168" s="162"/>
      <c r="AS1168" s="163"/>
      <c r="AT1168" s="164"/>
      <c r="AU1168" s="165"/>
      <c r="AV1168" s="166"/>
      <c r="AW1168" s="167"/>
      <c r="AX1168" s="146"/>
      <c r="AY1168" s="168"/>
    </row>
    <row r="1169" spans="1:51" s="139" customFormat="1" ht="11.25" hidden="1" x14ac:dyDescent="0.2">
      <c r="A1169" s="1"/>
      <c r="B1169" s="140"/>
      <c r="C1169" s="63"/>
      <c r="D1169" s="142"/>
      <c r="E1169" s="143"/>
      <c r="F1169" s="143"/>
      <c r="G1169" s="143"/>
      <c r="H1169" s="143"/>
      <c r="I1169" s="143"/>
      <c r="J1169" s="143"/>
      <c r="K1169" s="143"/>
      <c r="L1169" s="143"/>
      <c r="M1169" s="143"/>
      <c r="N1169" s="328"/>
      <c r="O1169" s="328"/>
      <c r="P1169" s="145"/>
      <c r="Q1169" s="223"/>
      <c r="R1169" s="167"/>
      <c r="S1169" s="147"/>
      <c r="T1169" s="146"/>
      <c r="U1169" s="420" t="s">
        <v>776</v>
      </c>
      <c r="V1169" s="407">
        <v>0.8</v>
      </c>
      <c r="W1169" s="236">
        <f>(240*0.25)*365</f>
        <v>21900</v>
      </c>
      <c r="X1169" s="236"/>
      <c r="Y1169" s="408"/>
      <c r="Z1169" s="409"/>
      <c r="AA1169" s="409"/>
      <c r="AB1169" s="410"/>
      <c r="AC1169" s="411">
        <f>W1169*52%</f>
        <v>11388</v>
      </c>
      <c r="AD1169" s="412">
        <f>W1169*25%</f>
        <v>5475</v>
      </c>
      <c r="AE1169" s="412">
        <f>W1169*9%</f>
        <v>1971</v>
      </c>
      <c r="AF1169" s="412">
        <f>W1169*5%</f>
        <v>1095</v>
      </c>
      <c r="AG1169" s="412">
        <f>W1169*3%</f>
        <v>657</v>
      </c>
      <c r="AH1169" s="412">
        <f>W1169*1%</f>
        <v>219</v>
      </c>
      <c r="AI1169" s="412">
        <f>W1169*2%</f>
        <v>438</v>
      </c>
      <c r="AJ1169" s="412">
        <f>W1169*1%</f>
        <v>219</v>
      </c>
      <c r="AK1169" s="412">
        <f>W1169*4%</f>
        <v>876</v>
      </c>
      <c r="AL1169" s="412">
        <f>W1169*1%</f>
        <v>219</v>
      </c>
      <c r="AM1169" s="413">
        <f>SUM(AD1169:AI1169)</f>
        <v>9855</v>
      </c>
      <c r="AN1169" s="158">
        <f t="shared" si="971"/>
        <v>4000</v>
      </c>
      <c r="AO1169" s="159">
        <v>0.2</v>
      </c>
      <c r="AP1169" s="160">
        <f>AM1169*AN1169*$AP$5</f>
        <v>165043656</v>
      </c>
      <c r="AQ1169" s="161">
        <f>AP1169*$AQ$5</f>
        <v>45845.463667636803</v>
      </c>
      <c r="AR1169" s="162">
        <f>AQ1169*$AR$5</f>
        <v>9169.0927335273609</v>
      </c>
      <c r="AS1169" s="163"/>
      <c r="AT1169" s="233"/>
      <c r="AU1169" s="187"/>
      <c r="AV1169" s="414">
        <f>AR1169/$AV$5</f>
        <v>1.3083751046700001</v>
      </c>
      <c r="AW1169" s="415"/>
      <c r="AX1169" s="146">
        <f>SUM(AU1169:AV1169)</f>
        <v>1.3083751046700001</v>
      </c>
      <c r="AY1169" s="168"/>
    </row>
    <row r="1170" spans="1:51" s="139" customFormat="1" ht="11.25" hidden="1" x14ac:dyDescent="0.2">
      <c r="A1170" s="1"/>
      <c r="B1170" s="140">
        <v>9</v>
      </c>
      <c r="C1170" s="258" t="s">
        <v>438</v>
      </c>
      <c r="D1170" s="142"/>
      <c r="E1170" s="143"/>
      <c r="F1170" s="143"/>
      <c r="G1170" s="143"/>
      <c r="H1170" s="143"/>
      <c r="I1170" s="143"/>
      <c r="J1170" s="143"/>
      <c r="K1170" s="143"/>
      <c r="L1170" s="143"/>
      <c r="M1170" s="143"/>
      <c r="N1170" s="328">
        <v>788589</v>
      </c>
      <c r="O1170" s="328">
        <v>804905</v>
      </c>
      <c r="P1170" s="145"/>
      <c r="Q1170" s="304">
        <f t="shared" si="970"/>
        <v>804905</v>
      </c>
      <c r="R1170" s="147">
        <f>Q1170*$R$9</f>
        <v>117516.12999999999</v>
      </c>
      <c r="S1170" s="147">
        <f>R1170/$S$5</f>
        <v>321.96199999999999</v>
      </c>
      <c r="T1170" s="148">
        <f>S1170*$T$5*$T$9</f>
        <v>82261.290999999983</v>
      </c>
      <c r="U1170" s="420"/>
      <c r="V1170" s="407"/>
      <c r="W1170" s="236"/>
      <c r="X1170" s="236"/>
      <c r="Y1170" s="408"/>
      <c r="Z1170" s="409"/>
      <c r="AA1170" s="409"/>
      <c r="AB1170" s="410"/>
      <c r="AC1170" s="155"/>
      <c r="AD1170" s="156"/>
      <c r="AE1170" s="156"/>
      <c r="AF1170" s="156"/>
      <c r="AG1170" s="156"/>
      <c r="AH1170" s="156"/>
      <c r="AI1170" s="156"/>
      <c r="AJ1170" s="156"/>
      <c r="AK1170" s="156"/>
      <c r="AL1170" s="156"/>
      <c r="AM1170" s="157"/>
      <c r="AN1170" s="158">
        <f t="shared" si="971"/>
        <v>4000</v>
      </c>
      <c r="AO1170" s="159"/>
      <c r="AP1170" s="160"/>
      <c r="AQ1170" s="161"/>
      <c r="AR1170" s="162"/>
      <c r="AS1170" s="163"/>
      <c r="AT1170" s="233"/>
      <c r="AU1170" s="187"/>
      <c r="AV1170" s="166"/>
      <c r="AW1170" s="167"/>
      <c r="AX1170" s="146"/>
      <c r="AY1170" s="168"/>
    </row>
    <row r="1171" spans="1:51" s="139" customFormat="1" ht="11.25" hidden="1" x14ac:dyDescent="0.2">
      <c r="A1171" s="1"/>
      <c r="B1171" s="140"/>
      <c r="C1171" s="63"/>
      <c r="D1171" s="142"/>
      <c r="E1171" s="485"/>
      <c r="F1171" s="485"/>
      <c r="G1171" s="485"/>
      <c r="H1171" s="485"/>
      <c r="I1171" s="485"/>
      <c r="J1171" s="485"/>
      <c r="K1171" s="485"/>
      <c r="L1171" s="485"/>
      <c r="M1171" s="485"/>
      <c r="N1171" s="494"/>
      <c r="O1171" s="494"/>
      <c r="P1171" s="487"/>
      <c r="Q1171" s="166"/>
      <c r="R1171" s="167"/>
      <c r="S1171" s="167"/>
      <c r="T1171" s="167"/>
      <c r="U1171" s="420" t="s">
        <v>777</v>
      </c>
      <c r="V1171" s="407">
        <v>40</v>
      </c>
      <c r="W1171" s="300">
        <f>800*365</f>
        <v>292000</v>
      </c>
      <c r="X1171" s="300"/>
      <c r="Y1171" s="427"/>
      <c r="Z1171" s="431"/>
      <c r="AA1171" s="431"/>
      <c r="AB1171" s="432"/>
      <c r="AC1171" s="411">
        <f>W1171*52%</f>
        <v>151840</v>
      </c>
      <c r="AD1171" s="412">
        <f>W1171*25%</f>
        <v>73000</v>
      </c>
      <c r="AE1171" s="412">
        <f>W1171*9%</f>
        <v>26280</v>
      </c>
      <c r="AF1171" s="412">
        <f>W1171*5%</f>
        <v>14600</v>
      </c>
      <c r="AG1171" s="412">
        <f>W1171*3%</f>
        <v>8760</v>
      </c>
      <c r="AH1171" s="412">
        <f>W1171*1%</f>
        <v>2920</v>
      </c>
      <c r="AI1171" s="412">
        <f>W1171*2%</f>
        <v>5840</v>
      </c>
      <c r="AJ1171" s="412">
        <f>W1171*1%</f>
        <v>2920</v>
      </c>
      <c r="AK1171" s="412">
        <f>W1171*4%</f>
        <v>11680</v>
      </c>
      <c r="AL1171" s="412">
        <f>W1171*1%</f>
        <v>2920</v>
      </c>
      <c r="AM1171" s="413">
        <f>SUM(AD1171:AI1171)</f>
        <v>131400</v>
      </c>
      <c r="AN1171" s="158">
        <f t="shared" si="971"/>
        <v>4000</v>
      </c>
      <c r="AO1171" s="159">
        <v>0.2</v>
      </c>
      <c r="AP1171" s="160">
        <f>AM1171*AN1171*$AP$5</f>
        <v>2200582080</v>
      </c>
      <c r="AQ1171" s="161">
        <f>AP1171*$AQ$5</f>
        <v>611272.84890182398</v>
      </c>
      <c r="AR1171" s="162">
        <f>AQ1171*$AR$5</f>
        <v>122254.56978036481</v>
      </c>
      <c r="AS1171" s="163"/>
      <c r="AT1171" s="233"/>
      <c r="AU1171" s="187">
        <v>1.5</v>
      </c>
      <c r="AV1171" s="414">
        <f>AR1171/$AV$5</f>
        <v>17.445001395600002</v>
      </c>
      <c r="AW1171" s="415">
        <f>AV1171</f>
        <v>17.445001395600002</v>
      </c>
      <c r="AX1171" s="157">
        <f>SUM(AU1171:AV1171)</f>
        <v>18.945001395600002</v>
      </c>
      <c r="AY1171" s="168"/>
    </row>
    <row r="1172" spans="1:51" s="190" customFormat="1" ht="16.7" hidden="1" customHeight="1" x14ac:dyDescent="0.25">
      <c r="A1172" s="173"/>
      <c r="B1172" s="120"/>
      <c r="C1172" s="121" t="s">
        <v>439</v>
      </c>
      <c r="D1172" s="240">
        <f>SUM(D1155:D1171)</f>
        <v>0</v>
      </c>
      <c r="E1172" s="240">
        <f t="shared" ref="E1172:AX1172" si="972">SUM(E1155:E1171)</f>
        <v>0</v>
      </c>
      <c r="F1172" s="240">
        <f t="shared" si="972"/>
        <v>0</v>
      </c>
      <c r="G1172" s="240">
        <f t="shared" si="972"/>
        <v>0</v>
      </c>
      <c r="H1172" s="240">
        <f t="shared" si="972"/>
        <v>0</v>
      </c>
      <c r="I1172" s="240">
        <f t="shared" si="972"/>
        <v>0</v>
      </c>
      <c r="J1172" s="240">
        <f t="shared" si="972"/>
        <v>0</v>
      </c>
      <c r="K1172" s="240">
        <f t="shared" si="972"/>
        <v>0</v>
      </c>
      <c r="L1172" s="240">
        <f t="shared" si="972"/>
        <v>0</v>
      </c>
      <c r="M1172" s="240">
        <f t="shared" si="972"/>
        <v>0</v>
      </c>
      <c r="N1172" s="240">
        <f t="shared" si="972"/>
        <v>3890757</v>
      </c>
      <c r="O1172" s="240">
        <f t="shared" si="972"/>
        <v>3971259</v>
      </c>
      <c r="P1172" s="240">
        <f t="shared" si="972"/>
        <v>0</v>
      </c>
      <c r="Q1172" s="240">
        <f t="shared" si="972"/>
        <v>3971259</v>
      </c>
      <c r="R1172" s="240">
        <f>SUM(R1155:R1171)</f>
        <v>508713.10199999996</v>
      </c>
      <c r="S1172" s="240">
        <f>SUM(S1155:S1171)</f>
        <v>1393.7345260273971</v>
      </c>
      <c r="T1172" s="240">
        <f>SUM(T1155:T1171)</f>
        <v>334377.00939999998</v>
      </c>
      <c r="U1172" s="240">
        <f t="shared" si="972"/>
        <v>0</v>
      </c>
      <c r="V1172" s="240">
        <f t="shared" si="972"/>
        <v>43.8</v>
      </c>
      <c r="W1172" s="240">
        <f>SUM(W1155:W1171)</f>
        <v>370752.4</v>
      </c>
      <c r="X1172" s="240">
        <f t="shared" si="972"/>
        <v>0</v>
      </c>
      <c r="Y1172" s="240">
        <f t="shared" si="972"/>
        <v>0</v>
      </c>
      <c r="Z1172" s="240">
        <f t="shared" si="972"/>
        <v>0</v>
      </c>
      <c r="AA1172" s="240">
        <f t="shared" si="972"/>
        <v>0</v>
      </c>
      <c r="AB1172" s="240">
        <f t="shared" si="972"/>
        <v>0</v>
      </c>
      <c r="AC1172" s="240">
        <f t="shared" si="972"/>
        <v>192791.24799999999</v>
      </c>
      <c r="AD1172" s="240">
        <f t="shared" si="972"/>
        <v>92688.1</v>
      </c>
      <c r="AE1172" s="240">
        <f t="shared" si="972"/>
        <v>33367.716</v>
      </c>
      <c r="AF1172" s="240">
        <f t="shared" si="972"/>
        <v>18537.62</v>
      </c>
      <c r="AG1172" s="240">
        <f t="shared" si="972"/>
        <v>11122.572</v>
      </c>
      <c r="AH1172" s="240">
        <f t="shared" si="972"/>
        <v>3707.5239999999999</v>
      </c>
      <c r="AI1172" s="240">
        <f t="shared" si="972"/>
        <v>7415.0479999999998</v>
      </c>
      <c r="AJ1172" s="240">
        <f t="shared" si="972"/>
        <v>3707.5239999999999</v>
      </c>
      <c r="AK1172" s="240">
        <f t="shared" si="972"/>
        <v>14830.096</v>
      </c>
      <c r="AL1172" s="240">
        <f t="shared" si="972"/>
        <v>3707.5239999999999</v>
      </c>
      <c r="AM1172" s="240">
        <f t="shared" si="972"/>
        <v>166838.58000000002</v>
      </c>
      <c r="AN1172" s="240"/>
      <c r="AO1172" s="240"/>
      <c r="AP1172" s="240">
        <f t="shared" si="972"/>
        <v>2794079066.9759998</v>
      </c>
      <c r="AQ1172" s="240">
        <f t="shared" si="972"/>
        <v>776133.13625064585</v>
      </c>
      <c r="AR1172" s="240">
        <f t="shared" si="972"/>
        <v>155226.62725012918</v>
      </c>
      <c r="AS1172" s="240">
        <f t="shared" si="972"/>
        <v>0</v>
      </c>
      <c r="AT1172" s="240">
        <f t="shared" si="972"/>
        <v>0</v>
      </c>
      <c r="AU1172" s="240">
        <f t="shared" si="972"/>
        <v>1.5</v>
      </c>
      <c r="AV1172" s="240">
        <f t="shared" si="972"/>
        <v>22.149918271993322</v>
      </c>
      <c r="AW1172" s="240">
        <f t="shared" si="972"/>
        <v>17.445001395600002</v>
      </c>
      <c r="AX1172" s="240">
        <f t="shared" si="972"/>
        <v>23.649918271993322</v>
      </c>
      <c r="AY1172" s="189"/>
    </row>
    <row r="1173" spans="1:51" hidden="1" x14ac:dyDescent="0.25">
      <c r="S1173" s="495"/>
      <c r="T1173" s="496"/>
    </row>
    <row r="1174" spans="1:51" s="289" customFormat="1" ht="26.45" hidden="1" customHeight="1" thickBot="1" x14ac:dyDescent="0.3">
      <c r="A1174" s="269"/>
      <c r="B1174" s="497"/>
      <c r="C1174" s="498" t="s">
        <v>440</v>
      </c>
      <c r="D1174" s="349">
        <f t="shared" ref="D1174:P1174" si="973">D931+D948+D1005+D1071+D1082+D1141+D1152+D1172</f>
        <v>0</v>
      </c>
      <c r="E1174" s="349">
        <f t="shared" si="973"/>
        <v>0</v>
      </c>
      <c r="F1174" s="349">
        <f t="shared" si="973"/>
        <v>0</v>
      </c>
      <c r="G1174" s="349">
        <f t="shared" si="973"/>
        <v>0</v>
      </c>
      <c r="H1174" s="349">
        <f t="shared" si="973"/>
        <v>0</v>
      </c>
      <c r="I1174" s="349">
        <f t="shared" si="973"/>
        <v>35835204</v>
      </c>
      <c r="J1174" s="349">
        <f t="shared" si="973"/>
        <v>36914545</v>
      </c>
      <c r="K1174" s="349">
        <f t="shared" si="973"/>
        <v>37291102</v>
      </c>
      <c r="L1174" s="349">
        <f t="shared" si="973"/>
        <v>38412548</v>
      </c>
      <c r="M1174" s="349">
        <f t="shared" si="973"/>
        <v>38975046</v>
      </c>
      <c r="N1174" s="349">
        <f t="shared" si="973"/>
        <v>67613691</v>
      </c>
      <c r="O1174" s="349">
        <f t="shared" si="973"/>
        <v>135928519</v>
      </c>
      <c r="P1174" s="349">
        <f t="shared" si="973"/>
        <v>0</v>
      </c>
      <c r="Q1174" s="349">
        <f>Q931+Q948+Q1005+Q1071+Q1082+Q1141+Q1152+Q1172</f>
        <v>145532848</v>
      </c>
      <c r="R1174" s="349">
        <f>R931+R948+R1005+R1071+R1082+R1141+R1152+R1172</f>
        <v>27592566.524999999</v>
      </c>
      <c r="S1174" s="349">
        <f>S931+S948+S1005+S1071+S1082+S1141+S1152+S1172</f>
        <v>75596.072671232891</v>
      </c>
      <c r="T1174" s="349">
        <f>T931+T948+T1005+T1071+T1082+T1141+T1152+T1172</f>
        <v>23086380.392900001</v>
      </c>
      <c r="U1174" s="349"/>
      <c r="V1174" s="349"/>
      <c r="W1174" s="349">
        <f>W931+W948+W1005+W1071+W1082+W1141+W1152+W1172</f>
        <v>6308881.9333333336</v>
      </c>
      <c r="X1174" s="349"/>
      <c r="Y1174" s="349"/>
      <c r="Z1174" s="349"/>
      <c r="AA1174" s="349"/>
      <c r="AB1174" s="349"/>
      <c r="AC1174" s="349">
        <f t="shared" ref="AC1174:AM1174" si="974">AC931+AC948+AC1005+AC1071+AC1082+AC1141+AC1152+AC1172</f>
        <v>3280618.6053333334</v>
      </c>
      <c r="AD1174" s="349">
        <f t="shared" si="974"/>
        <v>1577220.4833333334</v>
      </c>
      <c r="AE1174" s="349">
        <f t="shared" si="974"/>
        <v>567799.37399999995</v>
      </c>
      <c r="AF1174" s="349">
        <f t="shared" si="974"/>
        <v>315444.09666666668</v>
      </c>
      <c r="AG1174" s="349">
        <f t="shared" si="974"/>
        <v>189266.45799999998</v>
      </c>
      <c r="AH1174" s="349">
        <f t="shared" si="974"/>
        <v>63088.81933333334</v>
      </c>
      <c r="AI1174" s="349">
        <f t="shared" si="974"/>
        <v>126177.63866666668</v>
      </c>
      <c r="AJ1174" s="349">
        <f t="shared" si="974"/>
        <v>63088.81933333334</v>
      </c>
      <c r="AK1174" s="349">
        <f t="shared" si="974"/>
        <v>252355.27733333336</v>
      </c>
      <c r="AL1174" s="349">
        <f t="shared" si="974"/>
        <v>63088.81933333334</v>
      </c>
      <c r="AM1174" s="349">
        <f t="shared" si="974"/>
        <v>2838996.87</v>
      </c>
      <c r="AN1174" s="349"/>
      <c r="AO1174" s="349"/>
      <c r="AP1174" s="349">
        <f t="shared" ref="AP1174:AX1174" si="975">AP931+AP948+AP1005+AP1071+AP1082+AP1141+AP1152+AP1172</f>
        <v>47545248381.264</v>
      </c>
      <c r="AQ1174" s="349">
        <f t="shared" si="975"/>
        <v>13207014.495801073</v>
      </c>
      <c r="AR1174" s="349">
        <f t="shared" si="975"/>
        <v>2641402.8991602152</v>
      </c>
      <c r="AS1174" s="349">
        <f t="shared" si="975"/>
        <v>0</v>
      </c>
      <c r="AT1174" s="349">
        <f t="shared" si="975"/>
        <v>0</v>
      </c>
      <c r="AU1174" s="349">
        <f t="shared" si="975"/>
        <v>27.75</v>
      </c>
      <c r="AV1174" s="349">
        <f t="shared" si="975"/>
        <v>376.91251414957412</v>
      </c>
      <c r="AW1174" s="349">
        <f t="shared" si="975"/>
        <v>295.49651738971954</v>
      </c>
      <c r="AX1174" s="349">
        <f t="shared" si="975"/>
        <v>404.66251414957412</v>
      </c>
      <c r="AY1174" s="349"/>
    </row>
    <row r="1175" spans="1:51" hidden="1" x14ac:dyDescent="0.25"/>
    <row r="1176" spans="1:51" s="290" customFormat="1" ht="23.1" hidden="1" customHeight="1" x14ac:dyDescent="0.25">
      <c r="B1176" s="291" t="s">
        <v>441</v>
      </c>
      <c r="C1176" s="292"/>
      <c r="D1176" s="293"/>
      <c r="E1176" s="292"/>
      <c r="F1176" s="292"/>
      <c r="G1176" s="292"/>
      <c r="H1176" s="292"/>
      <c r="I1176" s="292"/>
      <c r="J1176" s="292"/>
      <c r="K1176" s="292"/>
      <c r="L1176" s="292"/>
      <c r="M1176" s="292"/>
      <c r="N1176" s="292"/>
      <c r="O1176" s="292"/>
      <c r="P1176" s="292"/>
      <c r="Q1176" s="292"/>
      <c r="R1176" s="292"/>
      <c r="S1176" s="294"/>
      <c r="T1176" s="292"/>
      <c r="U1176" s="292"/>
      <c r="V1176" s="292"/>
      <c r="W1176" s="292"/>
      <c r="X1176" s="292"/>
      <c r="Y1176" s="292"/>
      <c r="Z1176" s="295"/>
      <c r="AA1176" s="296"/>
      <c r="AB1176" s="116"/>
      <c r="AC1176" s="117"/>
      <c r="AD1176" s="117"/>
      <c r="AE1176" s="117"/>
      <c r="AF1176" s="117"/>
      <c r="AG1176" s="117"/>
      <c r="AH1176" s="117"/>
      <c r="AI1176" s="117"/>
      <c r="AJ1176" s="117"/>
      <c r="AK1176" s="117"/>
      <c r="AL1176" s="117"/>
      <c r="AM1176" s="117"/>
      <c r="AN1176" s="297"/>
      <c r="AO1176" s="292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</row>
    <row r="1177" spans="1:51" s="139" customFormat="1" ht="15" hidden="1" customHeight="1" x14ac:dyDescent="0.25">
      <c r="A1177" s="1"/>
      <c r="B1177" s="126"/>
      <c r="C1177" s="352" t="s">
        <v>442</v>
      </c>
      <c r="D1177" s="122"/>
      <c r="E1177" s="123"/>
      <c r="F1177" s="123"/>
      <c r="G1177" s="123"/>
      <c r="H1177" s="123"/>
      <c r="I1177" s="123"/>
      <c r="J1177" s="123"/>
      <c r="K1177" s="123"/>
      <c r="L1177" s="123"/>
      <c r="M1177" s="123"/>
      <c r="N1177" s="123"/>
      <c r="O1177" s="123"/>
      <c r="P1177" s="213"/>
      <c r="Q1177" s="76"/>
      <c r="R1177" s="108"/>
      <c r="S1177" s="108"/>
      <c r="T1177" s="94"/>
      <c r="U1177" s="120"/>
      <c r="V1177" s="67"/>
      <c r="W1177" s="123"/>
      <c r="X1177" s="123"/>
      <c r="Y1177" s="125"/>
      <c r="Z1177" s="126"/>
      <c r="AA1177" s="126"/>
      <c r="AB1177" s="127"/>
      <c r="AC1177" s="62"/>
      <c r="AD1177" s="215"/>
      <c r="AE1177" s="215"/>
      <c r="AF1177" s="215"/>
      <c r="AG1177" s="215"/>
      <c r="AH1177" s="215"/>
      <c r="AI1177" s="215"/>
      <c r="AJ1177" s="215"/>
      <c r="AK1177" s="215"/>
      <c r="AL1177" s="215"/>
      <c r="AM1177" s="125"/>
      <c r="AN1177" s="75"/>
      <c r="AO1177" s="216"/>
      <c r="AP1177" s="75"/>
      <c r="AQ1177" s="51"/>
      <c r="AR1177" s="217"/>
      <c r="AS1177" s="218"/>
      <c r="AT1177" s="219"/>
      <c r="AU1177" s="220"/>
      <c r="AV1177" s="135"/>
      <c r="AW1177" s="136"/>
      <c r="AX1177" s="137"/>
      <c r="AY1177" s="138"/>
    </row>
    <row r="1178" spans="1:51" ht="10.9" hidden="1" customHeight="1" x14ac:dyDescent="0.25">
      <c r="B1178" s="140">
        <v>1</v>
      </c>
      <c r="C1178" s="170" t="s">
        <v>451</v>
      </c>
      <c r="D1178" s="300"/>
      <c r="E1178" s="236"/>
      <c r="F1178" s="236"/>
      <c r="G1178" s="236"/>
      <c r="H1178" s="236"/>
      <c r="I1178" s="236"/>
      <c r="J1178" s="236"/>
      <c r="K1178" s="236"/>
      <c r="L1178" s="236"/>
      <c r="M1178" s="236"/>
      <c r="N1178" s="236"/>
      <c r="O1178" s="237">
        <v>443663</v>
      </c>
      <c r="P1178" s="237"/>
      <c r="Q1178" s="223">
        <f t="shared" ref="Q1178:Q1189" si="976">MAX(D1178:P1178)</f>
        <v>443663</v>
      </c>
      <c r="R1178" s="147">
        <f>Q1178*$R$10</f>
        <v>48802.93</v>
      </c>
      <c r="S1178" s="147">
        <f>R1178/$S$5</f>
        <v>133.70665753424657</v>
      </c>
      <c r="T1178" s="148">
        <f>S1178*$T$5*$T$10</f>
        <v>29281.757999999998</v>
      </c>
      <c r="U1178" s="420"/>
      <c r="V1178" s="407"/>
      <c r="W1178" s="236"/>
      <c r="X1178" s="236"/>
      <c r="Y1178" s="408"/>
      <c r="Z1178" s="409"/>
      <c r="AA1178" s="409"/>
      <c r="AB1178" s="410"/>
      <c r="AC1178" s="155"/>
      <c r="AD1178" s="156"/>
      <c r="AE1178" s="156"/>
      <c r="AF1178" s="156"/>
      <c r="AG1178" s="156"/>
      <c r="AH1178" s="156"/>
      <c r="AI1178" s="156"/>
      <c r="AJ1178" s="156"/>
      <c r="AK1178" s="156"/>
      <c r="AL1178" s="156"/>
      <c r="AM1178" s="157"/>
      <c r="AN1178" s="158">
        <f t="shared" ref="AN1178:AN1190" si="977">$AN$641</f>
        <v>4000</v>
      </c>
      <c r="AO1178" s="159"/>
      <c r="AP1178" s="160"/>
      <c r="AQ1178" s="161"/>
      <c r="AR1178" s="162"/>
      <c r="AS1178" s="163"/>
      <c r="AT1178" s="164"/>
      <c r="AU1178" s="165"/>
      <c r="AV1178" s="166"/>
      <c r="AW1178" s="167"/>
      <c r="AX1178" s="146"/>
      <c r="AY1178" s="168"/>
    </row>
    <row r="1179" spans="1:51" ht="10.9" hidden="1" customHeight="1" x14ac:dyDescent="0.25">
      <c r="B1179" s="140">
        <v>2</v>
      </c>
      <c r="C1179" s="170" t="s">
        <v>450</v>
      </c>
      <c r="D1179" s="300"/>
      <c r="E1179" s="236"/>
      <c r="F1179" s="236"/>
      <c r="G1179" s="236"/>
      <c r="H1179" s="236"/>
      <c r="I1179" s="236"/>
      <c r="J1179" s="236"/>
      <c r="K1179" s="236"/>
      <c r="L1179" s="236"/>
      <c r="M1179" s="236"/>
      <c r="N1179" s="236"/>
      <c r="O1179" s="237">
        <v>221184</v>
      </c>
      <c r="P1179" s="237"/>
      <c r="Q1179" s="223">
        <f t="shared" si="976"/>
        <v>221184</v>
      </c>
      <c r="R1179" s="147">
        <f>Q1179*$R$10</f>
        <v>24330.240000000002</v>
      </c>
      <c r="S1179" s="147">
        <f>R1179/$S$5</f>
        <v>66.658191780821923</v>
      </c>
      <c r="T1179" s="148">
        <f>S1179*$T$5*$T$10</f>
        <v>14598.144</v>
      </c>
      <c r="U1179" s="420"/>
      <c r="V1179" s="407"/>
      <c r="W1179" s="236"/>
      <c r="X1179" s="236"/>
      <c r="Y1179" s="408"/>
      <c r="Z1179" s="409"/>
      <c r="AA1179" s="409"/>
      <c r="AB1179" s="410"/>
      <c r="AC1179" s="155"/>
      <c r="AD1179" s="156"/>
      <c r="AE1179" s="156"/>
      <c r="AF1179" s="156"/>
      <c r="AG1179" s="156"/>
      <c r="AH1179" s="156"/>
      <c r="AI1179" s="156"/>
      <c r="AJ1179" s="156"/>
      <c r="AK1179" s="156"/>
      <c r="AL1179" s="156"/>
      <c r="AM1179" s="157"/>
      <c r="AN1179" s="158">
        <f t="shared" si="977"/>
        <v>4000</v>
      </c>
      <c r="AO1179" s="159"/>
      <c r="AP1179" s="160"/>
      <c r="AQ1179" s="161"/>
      <c r="AR1179" s="162"/>
      <c r="AS1179" s="163"/>
      <c r="AT1179" s="164"/>
      <c r="AU1179" s="165"/>
      <c r="AV1179" s="166"/>
      <c r="AW1179" s="167"/>
      <c r="AX1179" s="146"/>
      <c r="AY1179" s="168"/>
    </row>
    <row r="1180" spans="1:51" ht="10.9" hidden="1" customHeight="1" x14ac:dyDescent="0.25">
      <c r="B1180" s="140">
        <v>3</v>
      </c>
      <c r="C1180" s="170" t="s">
        <v>443</v>
      </c>
      <c r="D1180" s="300"/>
      <c r="E1180" s="236"/>
      <c r="F1180" s="236"/>
      <c r="G1180" s="236"/>
      <c r="H1180" s="236"/>
      <c r="I1180" s="236"/>
      <c r="J1180" s="236"/>
      <c r="K1180" s="236"/>
      <c r="L1180" s="236"/>
      <c r="M1180" s="236"/>
      <c r="N1180" s="236"/>
      <c r="O1180" s="237">
        <v>606044</v>
      </c>
      <c r="P1180" s="237"/>
      <c r="Q1180" s="223">
        <f t="shared" si="976"/>
        <v>606044</v>
      </c>
      <c r="R1180" s="147">
        <f>Q1180*$R$9</f>
        <v>88482.423999999999</v>
      </c>
      <c r="S1180" s="147">
        <f>R1180/$S$5</f>
        <v>242.41759999999999</v>
      </c>
      <c r="T1180" s="148">
        <f>S1180*$T$5*$T$9</f>
        <v>61937.696799999998</v>
      </c>
      <c r="U1180" s="420"/>
      <c r="V1180" s="407"/>
      <c r="W1180" s="236"/>
      <c r="X1180" s="236"/>
      <c r="Y1180" s="408"/>
      <c r="Z1180" s="409"/>
      <c r="AA1180" s="409"/>
      <c r="AB1180" s="410"/>
      <c r="AC1180" s="155"/>
      <c r="AD1180" s="156"/>
      <c r="AE1180" s="156"/>
      <c r="AF1180" s="156"/>
      <c r="AG1180" s="156"/>
      <c r="AH1180" s="156"/>
      <c r="AI1180" s="156"/>
      <c r="AJ1180" s="156"/>
      <c r="AK1180" s="156"/>
      <c r="AL1180" s="156"/>
      <c r="AM1180" s="157"/>
      <c r="AN1180" s="158">
        <f t="shared" si="977"/>
        <v>4000</v>
      </c>
      <c r="AO1180" s="159"/>
      <c r="AP1180" s="160"/>
      <c r="AQ1180" s="161"/>
      <c r="AR1180" s="162"/>
      <c r="AS1180" s="163"/>
      <c r="AT1180" s="164"/>
      <c r="AU1180" s="165"/>
      <c r="AV1180" s="166"/>
      <c r="AW1180" s="167"/>
      <c r="AX1180" s="146"/>
      <c r="AY1180" s="168"/>
    </row>
    <row r="1181" spans="1:51" ht="10.9" hidden="1" customHeight="1" x14ac:dyDescent="0.25">
      <c r="B1181" s="140"/>
      <c r="C1181" s="170"/>
      <c r="D1181" s="300"/>
      <c r="E1181" s="236"/>
      <c r="F1181" s="236"/>
      <c r="G1181" s="236"/>
      <c r="H1181" s="236"/>
      <c r="I1181" s="236"/>
      <c r="J1181" s="236"/>
      <c r="K1181" s="236"/>
      <c r="L1181" s="236"/>
      <c r="M1181" s="236"/>
      <c r="N1181" s="236"/>
      <c r="O1181" s="237"/>
      <c r="P1181" s="237"/>
      <c r="Q1181" s="223"/>
      <c r="R1181" s="147"/>
      <c r="S1181" s="147"/>
      <c r="T1181" s="148"/>
      <c r="U1181" s="420" t="s">
        <v>778</v>
      </c>
      <c r="V1181" s="407">
        <v>8.6</v>
      </c>
      <c r="W1181" s="236">
        <f>(S1180*40%)*365</f>
        <v>35392.969599999997</v>
      </c>
      <c r="X1181" s="236"/>
      <c r="Y1181" s="408"/>
      <c r="Z1181" s="409"/>
      <c r="AA1181" s="409"/>
      <c r="AB1181" s="410"/>
      <c r="AC1181" s="411">
        <f>W1181*52%</f>
        <v>18404.344192</v>
      </c>
      <c r="AD1181" s="412">
        <f>W1181*25%</f>
        <v>8848.2423999999992</v>
      </c>
      <c r="AE1181" s="412">
        <f>W1181*9%</f>
        <v>3185.3672639999995</v>
      </c>
      <c r="AF1181" s="412">
        <f>W1181*5%</f>
        <v>1769.6484799999998</v>
      </c>
      <c r="AG1181" s="412">
        <f>W1181*3%</f>
        <v>1061.7890879999998</v>
      </c>
      <c r="AH1181" s="412">
        <f>W1181*1%</f>
        <v>353.92969599999998</v>
      </c>
      <c r="AI1181" s="412">
        <f>W1181*2%</f>
        <v>707.85939199999996</v>
      </c>
      <c r="AJ1181" s="412">
        <f>W1181*1%</f>
        <v>353.92969599999998</v>
      </c>
      <c r="AK1181" s="412">
        <f>W1181*4%</f>
        <v>1415.7187839999999</v>
      </c>
      <c r="AL1181" s="412">
        <f>W1181*1%</f>
        <v>353.92969599999998</v>
      </c>
      <c r="AM1181" s="413">
        <f>SUM(AD1181:AI1181)</f>
        <v>15926.836319999999</v>
      </c>
      <c r="AN1181" s="158">
        <f t="shared" si="977"/>
        <v>4000</v>
      </c>
      <c r="AO1181" s="159">
        <v>0.2</v>
      </c>
      <c r="AP1181" s="160">
        <f>AM1181*AN1181*$AP$5</f>
        <v>266729913.21830398</v>
      </c>
      <c r="AQ1181" s="161">
        <f>AP1181*$AQ$5</f>
        <v>74091.648487971397</v>
      </c>
      <c r="AR1181" s="162">
        <f>AQ1181*$AR$5</f>
        <v>14818.329697594279</v>
      </c>
      <c r="AS1181" s="163"/>
      <c r="AT1181" s="233"/>
      <c r="AU1181" s="187"/>
      <c r="AV1181" s="414">
        <f>AR1181/$AV$5</f>
        <v>2.1144876851590011</v>
      </c>
      <c r="AW1181" s="415"/>
      <c r="AX1181" s="146">
        <f>SUM(AU1181:AV1181)</f>
        <v>2.1144876851590011</v>
      </c>
      <c r="AY1181" s="168"/>
    </row>
    <row r="1182" spans="1:51" ht="10.9" hidden="1" customHeight="1" x14ac:dyDescent="0.25">
      <c r="B1182" s="140">
        <v>4</v>
      </c>
      <c r="C1182" s="232" t="s">
        <v>444</v>
      </c>
      <c r="D1182" s="300"/>
      <c r="E1182" s="236"/>
      <c r="F1182" s="236"/>
      <c r="G1182" s="236"/>
      <c r="H1182" s="236"/>
      <c r="I1182" s="236"/>
      <c r="J1182" s="236"/>
      <c r="K1182" s="236"/>
      <c r="L1182" s="236"/>
      <c r="M1182" s="236"/>
      <c r="N1182" s="236"/>
      <c r="O1182" s="237">
        <v>868895</v>
      </c>
      <c r="P1182" s="237"/>
      <c r="Q1182" s="304">
        <f t="shared" si="976"/>
        <v>868895</v>
      </c>
      <c r="R1182" s="147">
        <f>Q1182*$R$9</f>
        <v>126858.67</v>
      </c>
      <c r="S1182" s="147">
        <f t="shared" ref="S1182:S1187" si="978">R1182/$S$5</f>
        <v>347.55799999999999</v>
      </c>
      <c r="T1182" s="148">
        <f>S1182*$T$5*$T$9</f>
        <v>88801.068999999989</v>
      </c>
      <c r="U1182" s="420"/>
      <c r="V1182" s="407"/>
      <c r="W1182" s="236"/>
      <c r="X1182" s="236"/>
      <c r="Y1182" s="408"/>
      <c r="Z1182" s="409"/>
      <c r="AA1182" s="409"/>
      <c r="AB1182" s="410"/>
      <c r="AC1182" s="155"/>
      <c r="AD1182" s="156"/>
      <c r="AE1182" s="156"/>
      <c r="AF1182" s="156"/>
      <c r="AG1182" s="156"/>
      <c r="AH1182" s="156"/>
      <c r="AI1182" s="156"/>
      <c r="AJ1182" s="156"/>
      <c r="AK1182" s="156"/>
      <c r="AL1182" s="156"/>
      <c r="AM1182" s="157"/>
      <c r="AN1182" s="158">
        <f t="shared" si="977"/>
        <v>4000</v>
      </c>
      <c r="AO1182" s="159"/>
      <c r="AP1182" s="160"/>
      <c r="AQ1182" s="161"/>
      <c r="AR1182" s="162"/>
      <c r="AS1182" s="163"/>
      <c r="AT1182" s="164"/>
      <c r="AU1182" s="165"/>
      <c r="AV1182" s="166"/>
      <c r="AW1182" s="167"/>
      <c r="AX1182" s="146"/>
      <c r="AY1182" s="168"/>
    </row>
    <row r="1183" spans="1:51" ht="10.9" hidden="1" customHeight="1" x14ac:dyDescent="0.25">
      <c r="B1183" s="140">
        <v>5</v>
      </c>
      <c r="C1183" s="232" t="s">
        <v>445</v>
      </c>
      <c r="D1183" s="300"/>
      <c r="E1183" s="236"/>
      <c r="F1183" s="236"/>
      <c r="G1183" s="236"/>
      <c r="H1183" s="236"/>
      <c r="I1183" s="236"/>
      <c r="J1183" s="236"/>
      <c r="K1183" s="236"/>
      <c r="L1183" s="236"/>
      <c r="M1183" s="236"/>
      <c r="N1183" s="236"/>
      <c r="O1183" s="237">
        <v>1116745</v>
      </c>
      <c r="P1183" s="237"/>
      <c r="Q1183" s="304">
        <f t="shared" si="976"/>
        <v>1116745</v>
      </c>
      <c r="R1183" s="147">
        <f>Q1183*$R$8</f>
        <v>183146.18000000002</v>
      </c>
      <c r="S1183" s="147">
        <f t="shared" si="978"/>
        <v>501.7703561643836</v>
      </c>
      <c r="T1183" s="148">
        <f>S1183*$T$5*$T$8</f>
        <v>146516.94400000002</v>
      </c>
      <c r="U1183" s="420"/>
      <c r="V1183" s="407"/>
      <c r="W1183" s="236"/>
      <c r="X1183" s="236"/>
      <c r="Y1183" s="408"/>
      <c r="Z1183" s="409"/>
      <c r="AA1183" s="409"/>
      <c r="AB1183" s="410"/>
      <c r="AC1183" s="155"/>
      <c r="AD1183" s="156"/>
      <c r="AE1183" s="156"/>
      <c r="AF1183" s="156"/>
      <c r="AG1183" s="156"/>
      <c r="AH1183" s="156"/>
      <c r="AI1183" s="156"/>
      <c r="AJ1183" s="156"/>
      <c r="AK1183" s="156"/>
      <c r="AL1183" s="156"/>
      <c r="AM1183" s="157"/>
      <c r="AN1183" s="158">
        <f t="shared" si="977"/>
        <v>4000</v>
      </c>
      <c r="AO1183" s="159"/>
      <c r="AP1183" s="160"/>
      <c r="AQ1183" s="161"/>
      <c r="AR1183" s="162"/>
      <c r="AS1183" s="163"/>
      <c r="AT1183" s="164"/>
      <c r="AU1183" s="165"/>
      <c r="AV1183" s="166"/>
      <c r="AW1183" s="167"/>
      <c r="AX1183" s="146"/>
      <c r="AY1183" s="168"/>
    </row>
    <row r="1184" spans="1:51" ht="10.9" hidden="1" customHeight="1" x14ac:dyDescent="0.25">
      <c r="B1184" s="140">
        <v>6</v>
      </c>
      <c r="C1184" s="170" t="s">
        <v>446</v>
      </c>
      <c r="D1184" s="300"/>
      <c r="E1184" s="236"/>
      <c r="F1184" s="236"/>
      <c r="G1184" s="236"/>
      <c r="H1184" s="236"/>
      <c r="I1184" s="236"/>
      <c r="J1184" s="236"/>
      <c r="K1184" s="236"/>
      <c r="L1184" s="236"/>
      <c r="M1184" s="236"/>
      <c r="N1184" s="236"/>
      <c r="O1184" s="237">
        <v>202092</v>
      </c>
      <c r="P1184" s="237"/>
      <c r="Q1184" s="223">
        <f t="shared" si="976"/>
        <v>202092</v>
      </c>
      <c r="R1184" s="147">
        <f t="shared" ref="R1184:R1189" si="979">Q1184*$R$10</f>
        <v>22230.12</v>
      </c>
      <c r="S1184" s="147">
        <f t="shared" si="978"/>
        <v>60.904438356164384</v>
      </c>
      <c r="T1184" s="148">
        <f>S1184*$T$5*$T$10</f>
        <v>13338.071999999998</v>
      </c>
      <c r="U1184" s="420"/>
      <c r="V1184" s="407"/>
      <c r="W1184" s="236"/>
      <c r="X1184" s="236"/>
      <c r="Y1184" s="408"/>
      <c r="Z1184" s="409"/>
      <c r="AA1184" s="409"/>
      <c r="AB1184" s="410"/>
      <c r="AC1184" s="155"/>
      <c r="AD1184" s="156"/>
      <c r="AE1184" s="156"/>
      <c r="AF1184" s="156"/>
      <c r="AG1184" s="156"/>
      <c r="AH1184" s="156"/>
      <c r="AI1184" s="156"/>
      <c r="AJ1184" s="156"/>
      <c r="AK1184" s="156"/>
      <c r="AL1184" s="156"/>
      <c r="AM1184" s="157"/>
      <c r="AN1184" s="158">
        <f t="shared" si="977"/>
        <v>4000</v>
      </c>
      <c r="AO1184" s="159"/>
      <c r="AP1184" s="160"/>
      <c r="AQ1184" s="161"/>
      <c r="AR1184" s="162"/>
      <c r="AS1184" s="163"/>
      <c r="AT1184" s="164"/>
      <c r="AU1184" s="165"/>
      <c r="AV1184" s="166"/>
      <c r="AW1184" s="167"/>
      <c r="AX1184" s="146"/>
      <c r="AY1184" s="168"/>
    </row>
    <row r="1185" spans="1:51" ht="10.9" hidden="1" customHeight="1" x14ac:dyDescent="0.25">
      <c r="B1185" s="140">
        <v>7</v>
      </c>
      <c r="C1185" s="170" t="s">
        <v>449</v>
      </c>
      <c r="D1185" s="300"/>
      <c r="E1185" s="236"/>
      <c r="F1185" s="236"/>
      <c r="G1185" s="236"/>
      <c r="H1185" s="236"/>
      <c r="I1185" s="236"/>
      <c r="J1185" s="236"/>
      <c r="K1185" s="236"/>
      <c r="L1185" s="236"/>
      <c r="M1185" s="236"/>
      <c r="N1185" s="236"/>
      <c r="O1185" s="237">
        <v>419987</v>
      </c>
      <c r="P1185" s="237"/>
      <c r="Q1185" s="223">
        <f t="shared" si="976"/>
        <v>419987</v>
      </c>
      <c r="R1185" s="147">
        <f t="shared" si="979"/>
        <v>46198.57</v>
      </c>
      <c r="S1185" s="147">
        <f t="shared" si="978"/>
        <v>126.57142465753425</v>
      </c>
      <c r="T1185" s="148">
        <f>S1185*$T$5*$T$10</f>
        <v>27719.142</v>
      </c>
      <c r="U1185" s="420"/>
      <c r="V1185" s="407"/>
      <c r="W1185" s="236"/>
      <c r="X1185" s="236"/>
      <c r="Y1185" s="408"/>
      <c r="Z1185" s="409"/>
      <c r="AA1185" s="409"/>
      <c r="AB1185" s="410"/>
      <c r="AC1185" s="155"/>
      <c r="AD1185" s="156"/>
      <c r="AE1185" s="156"/>
      <c r="AF1185" s="156"/>
      <c r="AG1185" s="156"/>
      <c r="AH1185" s="156"/>
      <c r="AI1185" s="156"/>
      <c r="AJ1185" s="156"/>
      <c r="AK1185" s="156"/>
      <c r="AL1185" s="156"/>
      <c r="AM1185" s="157"/>
      <c r="AN1185" s="158">
        <f t="shared" si="977"/>
        <v>4000</v>
      </c>
      <c r="AO1185" s="159"/>
      <c r="AP1185" s="160"/>
      <c r="AQ1185" s="161"/>
      <c r="AR1185" s="162"/>
      <c r="AS1185" s="163"/>
      <c r="AT1185" s="164"/>
      <c r="AU1185" s="165"/>
      <c r="AV1185" s="166"/>
      <c r="AW1185" s="167"/>
      <c r="AX1185" s="146"/>
      <c r="AY1185" s="168"/>
    </row>
    <row r="1186" spans="1:51" ht="10.9" hidden="1" customHeight="1" x14ac:dyDescent="0.25">
      <c r="B1186" s="140">
        <v>8</v>
      </c>
      <c r="C1186" s="170" t="s">
        <v>448</v>
      </c>
      <c r="D1186" s="300"/>
      <c r="E1186" s="236"/>
      <c r="F1186" s="236"/>
      <c r="G1186" s="236"/>
      <c r="H1186" s="236"/>
      <c r="I1186" s="236"/>
      <c r="J1186" s="236"/>
      <c r="K1186" s="236"/>
      <c r="L1186" s="236"/>
      <c r="M1186" s="236"/>
      <c r="N1186" s="236"/>
      <c r="O1186" s="237">
        <v>116112</v>
      </c>
      <c r="P1186" s="237"/>
      <c r="Q1186" s="223">
        <f t="shared" si="976"/>
        <v>116112</v>
      </c>
      <c r="R1186" s="147">
        <f t="shared" si="979"/>
        <v>12772.32</v>
      </c>
      <c r="S1186" s="147">
        <f t="shared" si="978"/>
        <v>34.992657534246575</v>
      </c>
      <c r="T1186" s="148">
        <f>S1186*$T$5*$T$10</f>
        <v>7663.3919999999998</v>
      </c>
      <c r="U1186" s="420"/>
      <c r="V1186" s="407"/>
      <c r="W1186" s="236"/>
      <c r="X1186" s="236"/>
      <c r="Y1186" s="408"/>
      <c r="Z1186" s="409"/>
      <c r="AA1186" s="409"/>
      <c r="AB1186" s="410"/>
      <c r="AC1186" s="155"/>
      <c r="AD1186" s="156"/>
      <c r="AE1186" s="156"/>
      <c r="AF1186" s="156"/>
      <c r="AG1186" s="156"/>
      <c r="AH1186" s="156"/>
      <c r="AI1186" s="156"/>
      <c r="AJ1186" s="156"/>
      <c r="AK1186" s="156"/>
      <c r="AL1186" s="156"/>
      <c r="AM1186" s="157"/>
      <c r="AN1186" s="158">
        <f t="shared" si="977"/>
        <v>4000</v>
      </c>
      <c r="AO1186" s="159"/>
      <c r="AP1186" s="160"/>
      <c r="AQ1186" s="161"/>
      <c r="AR1186" s="162"/>
      <c r="AS1186" s="163"/>
      <c r="AT1186" s="164"/>
      <c r="AU1186" s="165"/>
      <c r="AV1186" s="166"/>
      <c r="AW1186" s="167"/>
      <c r="AX1186" s="146"/>
      <c r="AY1186" s="168"/>
    </row>
    <row r="1187" spans="1:51" ht="10.9" hidden="1" customHeight="1" x14ac:dyDescent="0.25">
      <c r="B1187" s="140">
        <v>9</v>
      </c>
      <c r="C1187" s="232" t="s">
        <v>452</v>
      </c>
      <c r="D1187" s="300"/>
      <c r="E1187" s="236"/>
      <c r="F1187" s="236"/>
      <c r="G1187" s="236"/>
      <c r="H1187" s="236"/>
      <c r="I1187" s="236"/>
      <c r="J1187" s="236"/>
      <c r="K1187" s="236"/>
      <c r="L1187" s="236"/>
      <c r="M1187" s="236"/>
      <c r="N1187" s="236"/>
      <c r="O1187" s="237">
        <v>443663</v>
      </c>
      <c r="P1187" s="237"/>
      <c r="Q1187" s="304">
        <f t="shared" si="976"/>
        <v>443663</v>
      </c>
      <c r="R1187" s="147">
        <f t="shared" si="979"/>
        <v>48802.93</v>
      </c>
      <c r="S1187" s="147">
        <f t="shared" si="978"/>
        <v>133.70665753424657</v>
      </c>
      <c r="T1187" s="148">
        <f>S1187*$T$5*$T$10</f>
        <v>29281.757999999998</v>
      </c>
      <c r="U1187" s="420"/>
      <c r="V1187" s="407"/>
      <c r="W1187" s="236"/>
      <c r="X1187" s="236"/>
      <c r="Y1187" s="408"/>
      <c r="Z1187" s="409"/>
      <c r="AA1187" s="409"/>
      <c r="AB1187" s="410"/>
      <c r="AC1187" s="155"/>
      <c r="AD1187" s="156"/>
      <c r="AE1187" s="156"/>
      <c r="AF1187" s="156"/>
      <c r="AG1187" s="156"/>
      <c r="AH1187" s="156"/>
      <c r="AI1187" s="156"/>
      <c r="AJ1187" s="156"/>
      <c r="AK1187" s="156"/>
      <c r="AL1187" s="156"/>
      <c r="AM1187" s="157"/>
      <c r="AN1187" s="158">
        <f t="shared" si="977"/>
        <v>4000</v>
      </c>
      <c r="AO1187" s="159"/>
      <c r="AP1187" s="160"/>
      <c r="AQ1187" s="161"/>
      <c r="AR1187" s="162"/>
      <c r="AS1187" s="163"/>
      <c r="AT1187" s="164"/>
      <c r="AU1187" s="165"/>
      <c r="AV1187" s="166"/>
      <c r="AW1187" s="167"/>
      <c r="AX1187" s="146"/>
      <c r="AY1187" s="168"/>
    </row>
    <row r="1188" spans="1:51" ht="10.9" hidden="1" customHeight="1" x14ac:dyDescent="0.25">
      <c r="B1188" s="140"/>
      <c r="C1188" s="232"/>
      <c r="D1188" s="300"/>
      <c r="E1188" s="236"/>
      <c r="F1188" s="236"/>
      <c r="G1188" s="236"/>
      <c r="H1188" s="236"/>
      <c r="I1188" s="236"/>
      <c r="J1188" s="236"/>
      <c r="K1188" s="236"/>
      <c r="L1188" s="236"/>
      <c r="M1188" s="236"/>
      <c r="N1188" s="236"/>
      <c r="O1188" s="237"/>
      <c r="P1188" s="237"/>
      <c r="Q1188" s="304"/>
      <c r="R1188" s="147"/>
      <c r="S1188" s="147"/>
      <c r="T1188" s="148"/>
      <c r="U1188" s="420" t="s">
        <v>779</v>
      </c>
      <c r="V1188" s="407"/>
      <c r="W1188" s="236">
        <f>160*365</f>
        <v>58400</v>
      </c>
      <c r="X1188" s="236"/>
      <c r="Y1188" s="408"/>
      <c r="Z1188" s="409"/>
      <c r="AA1188" s="409"/>
      <c r="AB1188" s="410"/>
      <c r="AC1188" s="411">
        <f>W1188*52%</f>
        <v>30368</v>
      </c>
      <c r="AD1188" s="412">
        <f>W1188*25%</f>
        <v>14600</v>
      </c>
      <c r="AE1188" s="412">
        <f>W1188*9%</f>
        <v>5256</v>
      </c>
      <c r="AF1188" s="412">
        <f>W1188*5%</f>
        <v>2920</v>
      </c>
      <c r="AG1188" s="412">
        <f>W1188*3%</f>
        <v>1752</v>
      </c>
      <c r="AH1188" s="412">
        <f>W1188*1%</f>
        <v>584</v>
      </c>
      <c r="AI1188" s="412">
        <f>W1188*2%</f>
        <v>1168</v>
      </c>
      <c r="AJ1188" s="412">
        <f>W1188*1%</f>
        <v>584</v>
      </c>
      <c r="AK1188" s="412">
        <f>W1188*4%</f>
        <v>2336</v>
      </c>
      <c r="AL1188" s="412">
        <f>W1188*1%</f>
        <v>584</v>
      </c>
      <c r="AM1188" s="413">
        <f>SUM(AD1188:AI1188)</f>
        <v>26280</v>
      </c>
      <c r="AN1188" s="158">
        <f t="shared" si="977"/>
        <v>4000</v>
      </c>
      <c r="AO1188" s="159">
        <v>0.2</v>
      </c>
      <c r="AP1188" s="160">
        <f>AM1188*AN1188*$AP$5</f>
        <v>440116416</v>
      </c>
      <c r="AQ1188" s="161">
        <f>AP1188*$AQ$5</f>
        <v>122254.56978036479</v>
      </c>
      <c r="AR1188" s="162">
        <f>AQ1188*$AR$5</f>
        <v>24450.91395607296</v>
      </c>
      <c r="AS1188" s="163"/>
      <c r="AT1188" s="233"/>
      <c r="AU1188" s="187"/>
      <c r="AV1188" s="414">
        <f>AR1188/$AV$5</f>
        <v>3.4890002791199999</v>
      </c>
      <c r="AW1188" s="415"/>
      <c r="AX1188" s="146">
        <f>SUM(AU1188:AV1188)</f>
        <v>3.4890002791199999</v>
      </c>
      <c r="AY1188" s="168"/>
    </row>
    <row r="1189" spans="1:51" ht="10.9" hidden="1" customHeight="1" x14ac:dyDescent="0.25">
      <c r="B1189" s="140">
        <v>10</v>
      </c>
      <c r="C1189" s="170" t="s">
        <v>447</v>
      </c>
      <c r="D1189" s="300"/>
      <c r="E1189" s="236"/>
      <c r="F1189" s="236"/>
      <c r="G1189" s="236"/>
      <c r="H1189" s="236"/>
      <c r="I1189" s="236"/>
      <c r="J1189" s="236"/>
      <c r="K1189" s="236"/>
      <c r="L1189" s="236"/>
      <c r="M1189" s="236"/>
      <c r="N1189" s="236"/>
      <c r="O1189" s="237">
        <v>144018</v>
      </c>
      <c r="P1189" s="237"/>
      <c r="Q1189" s="223">
        <f t="shared" si="976"/>
        <v>144018</v>
      </c>
      <c r="R1189" s="147">
        <f t="shared" si="979"/>
        <v>15841.98</v>
      </c>
      <c r="S1189" s="147">
        <f>R1189/$S$5</f>
        <v>43.402684931506847</v>
      </c>
      <c r="T1189" s="148">
        <f>S1189*$T$5*$T$10</f>
        <v>9505.1880000000001</v>
      </c>
      <c r="U1189" s="420"/>
      <c r="V1189" s="407"/>
      <c r="W1189" s="236"/>
      <c r="X1189" s="236"/>
      <c r="Y1189" s="408"/>
      <c r="Z1189" s="409"/>
      <c r="AA1189" s="409"/>
      <c r="AB1189" s="410"/>
      <c r="AC1189" s="155"/>
      <c r="AD1189" s="156"/>
      <c r="AE1189" s="156"/>
      <c r="AF1189" s="156"/>
      <c r="AG1189" s="156"/>
      <c r="AH1189" s="156"/>
      <c r="AI1189" s="156"/>
      <c r="AJ1189" s="156"/>
      <c r="AK1189" s="156"/>
      <c r="AL1189" s="156"/>
      <c r="AM1189" s="157"/>
      <c r="AN1189" s="158">
        <f t="shared" si="977"/>
        <v>4000</v>
      </c>
      <c r="AO1189" s="159"/>
      <c r="AP1189" s="160"/>
      <c r="AQ1189" s="161"/>
      <c r="AR1189" s="162"/>
      <c r="AS1189" s="163"/>
      <c r="AT1189" s="164"/>
      <c r="AU1189" s="165"/>
      <c r="AV1189" s="166"/>
      <c r="AW1189" s="167"/>
      <c r="AX1189" s="146"/>
      <c r="AY1189" s="168"/>
    </row>
    <row r="1190" spans="1:51" ht="10.9" hidden="1" customHeight="1" x14ac:dyDescent="0.25">
      <c r="B1190" s="140"/>
      <c r="C1190" s="499"/>
      <c r="D1190" s="300"/>
      <c r="E1190" s="300"/>
      <c r="F1190" s="300"/>
      <c r="G1190" s="300"/>
      <c r="H1190" s="300"/>
      <c r="I1190" s="300"/>
      <c r="J1190" s="300"/>
      <c r="K1190" s="300"/>
      <c r="L1190" s="300"/>
      <c r="M1190" s="300"/>
      <c r="N1190" s="300"/>
      <c r="O1190" s="427"/>
      <c r="P1190" s="427"/>
      <c r="Q1190" s="166"/>
      <c r="R1190" s="167"/>
      <c r="S1190" s="167"/>
      <c r="T1190" s="167"/>
      <c r="U1190" s="420" t="s">
        <v>780</v>
      </c>
      <c r="V1190" s="407">
        <v>8.6</v>
      </c>
      <c r="W1190" s="300">
        <f>150*365</f>
        <v>54750</v>
      </c>
      <c r="X1190" s="300"/>
      <c r="Y1190" s="427"/>
      <c r="Z1190" s="431"/>
      <c r="AA1190" s="431"/>
      <c r="AB1190" s="432"/>
      <c r="AC1190" s="411">
        <f>W1190*52%</f>
        <v>28470</v>
      </c>
      <c r="AD1190" s="412">
        <f>W1190*25%</f>
        <v>13687.5</v>
      </c>
      <c r="AE1190" s="412">
        <f>W1190*9%</f>
        <v>4927.5</v>
      </c>
      <c r="AF1190" s="412">
        <f>W1190*5%</f>
        <v>2737.5</v>
      </c>
      <c r="AG1190" s="412">
        <f>W1190*3%</f>
        <v>1642.5</v>
      </c>
      <c r="AH1190" s="412">
        <f>W1190*1%</f>
        <v>547.5</v>
      </c>
      <c r="AI1190" s="412">
        <f>W1190*2%</f>
        <v>1095</v>
      </c>
      <c r="AJ1190" s="412">
        <f>W1190*1%</f>
        <v>547.5</v>
      </c>
      <c r="AK1190" s="412">
        <f>W1190*4%</f>
        <v>2190</v>
      </c>
      <c r="AL1190" s="412">
        <f>W1190*1%</f>
        <v>547.5</v>
      </c>
      <c r="AM1190" s="413">
        <f>SUM(AD1190:AI1190)</f>
        <v>24637.5</v>
      </c>
      <c r="AN1190" s="158">
        <f t="shared" si="977"/>
        <v>4000</v>
      </c>
      <c r="AO1190" s="159">
        <v>0.2</v>
      </c>
      <c r="AP1190" s="160">
        <f>AM1190*AN1190*$AP$5</f>
        <v>412609140</v>
      </c>
      <c r="AQ1190" s="161">
        <f>AP1190*$AQ$5</f>
        <v>114613.659169092</v>
      </c>
      <c r="AR1190" s="162">
        <f>AQ1190*$AR$5</f>
        <v>22922.731833818401</v>
      </c>
      <c r="AS1190" s="163"/>
      <c r="AT1190" s="233"/>
      <c r="AU1190" s="187"/>
      <c r="AV1190" s="414">
        <f>AR1190/$AV$5</f>
        <v>3.2709377616750004</v>
      </c>
      <c r="AW1190" s="415"/>
      <c r="AX1190" s="157">
        <f>SUM(AU1190:AV1190)</f>
        <v>3.2709377616750004</v>
      </c>
      <c r="AY1190" s="168"/>
    </row>
    <row r="1191" spans="1:51" s="263" customFormat="1" ht="16.7" hidden="1" customHeight="1" x14ac:dyDescent="0.25">
      <c r="A1191" s="173"/>
      <c r="B1191" s="225"/>
      <c r="C1191" s="352" t="s">
        <v>453</v>
      </c>
      <c r="D1191" s="240">
        <f t="shared" ref="D1191:J1191" si="980">SUM(D1178:D1189)</f>
        <v>0</v>
      </c>
      <c r="E1191" s="240">
        <f t="shared" si="980"/>
        <v>0</v>
      </c>
      <c r="F1191" s="240">
        <f t="shared" si="980"/>
        <v>0</v>
      </c>
      <c r="G1191" s="240">
        <f t="shared" si="980"/>
        <v>0</v>
      </c>
      <c r="H1191" s="240">
        <f t="shared" si="980"/>
        <v>0</v>
      </c>
      <c r="I1191" s="240">
        <f t="shared" si="980"/>
        <v>0</v>
      </c>
      <c r="J1191" s="240">
        <f t="shared" si="980"/>
        <v>0</v>
      </c>
      <c r="K1191" s="240">
        <v>4292491</v>
      </c>
      <c r="L1191" s="240">
        <v>4363756</v>
      </c>
      <c r="M1191" s="240">
        <v>4434012</v>
      </c>
      <c r="N1191" s="240">
        <v>4500212</v>
      </c>
      <c r="O1191" s="240">
        <f t="shared" ref="O1191:T1191" si="981">SUM(O1178:O1189)</f>
        <v>4582403</v>
      </c>
      <c r="P1191" s="240">
        <f t="shared" si="981"/>
        <v>0</v>
      </c>
      <c r="Q1191" s="240">
        <f t="shared" si="981"/>
        <v>4582403</v>
      </c>
      <c r="R1191" s="240">
        <f t="shared" si="981"/>
        <v>617466.36399999994</v>
      </c>
      <c r="S1191" s="240">
        <f t="shared" si="981"/>
        <v>1691.6886684931505</v>
      </c>
      <c r="T1191" s="240">
        <f t="shared" si="981"/>
        <v>428643.16379999998</v>
      </c>
      <c r="U1191" s="240">
        <f t="shared" ref="U1191:AM1191" si="982">SUM(U1178:U1190)</f>
        <v>0</v>
      </c>
      <c r="V1191" s="240">
        <f t="shared" si="982"/>
        <v>17.2</v>
      </c>
      <c r="W1191" s="240">
        <f t="shared" si="982"/>
        <v>148542.96960000001</v>
      </c>
      <c r="X1191" s="240">
        <f t="shared" si="982"/>
        <v>0</v>
      </c>
      <c r="Y1191" s="240">
        <f t="shared" si="982"/>
        <v>0</v>
      </c>
      <c r="Z1191" s="240">
        <f t="shared" si="982"/>
        <v>0</v>
      </c>
      <c r="AA1191" s="240">
        <f t="shared" si="982"/>
        <v>0</v>
      </c>
      <c r="AB1191" s="240">
        <f t="shared" si="982"/>
        <v>0</v>
      </c>
      <c r="AC1191" s="240">
        <f t="shared" si="982"/>
        <v>77242.344192000004</v>
      </c>
      <c r="AD1191" s="240">
        <f t="shared" si="982"/>
        <v>37135.742400000003</v>
      </c>
      <c r="AE1191" s="240">
        <f t="shared" si="982"/>
        <v>13368.867264</v>
      </c>
      <c r="AF1191" s="240">
        <f t="shared" si="982"/>
        <v>7427.1484799999998</v>
      </c>
      <c r="AG1191" s="240">
        <f t="shared" si="982"/>
        <v>4456.2890879999995</v>
      </c>
      <c r="AH1191" s="240">
        <f t="shared" si="982"/>
        <v>1485.4296959999999</v>
      </c>
      <c r="AI1191" s="240">
        <f t="shared" si="982"/>
        <v>2970.8593919999998</v>
      </c>
      <c r="AJ1191" s="240">
        <f t="shared" si="982"/>
        <v>1485.4296959999999</v>
      </c>
      <c r="AK1191" s="240">
        <f t="shared" si="982"/>
        <v>5941.7187839999997</v>
      </c>
      <c r="AL1191" s="240">
        <f t="shared" si="982"/>
        <v>1485.4296959999999</v>
      </c>
      <c r="AM1191" s="240">
        <f t="shared" si="982"/>
        <v>66844.336320000002</v>
      </c>
      <c r="AN1191" s="240"/>
      <c r="AO1191" s="240"/>
      <c r="AP1191" s="240">
        <f t="shared" ref="AP1191:AX1191" si="983">SUM(AP1178:AP1190)</f>
        <v>1119455469.2183039</v>
      </c>
      <c r="AQ1191" s="240">
        <f t="shared" si="983"/>
        <v>310959.87743742822</v>
      </c>
      <c r="AR1191" s="240">
        <f t="shared" si="983"/>
        <v>62191.975487485644</v>
      </c>
      <c r="AS1191" s="240">
        <f t="shared" si="983"/>
        <v>0</v>
      </c>
      <c r="AT1191" s="240">
        <f t="shared" si="983"/>
        <v>0</v>
      </c>
      <c r="AU1191" s="240">
        <f t="shared" si="983"/>
        <v>0</v>
      </c>
      <c r="AV1191" s="240">
        <f t="shared" si="983"/>
        <v>8.8744257259540014</v>
      </c>
      <c r="AW1191" s="240">
        <f t="shared" si="983"/>
        <v>0</v>
      </c>
      <c r="AX1191" s="240">
        <f t="shared" si="983"/>
        <v>8.8744257259540014</v>
      </c>
      <c r="AY1191" s="189"/>
    </row>
    <row r="1192" spans="1:51" s="139" customFormat="1" ht="10.9" hidden="1" customHeight="1" x14ac:dyDescent="0.25">
      <c r="B1192" s="247"/>
      <c r="C1192" s="152"/>
      <c r="D1192" s="247"/>
      <c r="E1192" s="151"/>
      <c r="F1192" s="151"/>
      <c r="G1192" s="151"/>
      <c r="H1192" s="151"/>
      <c r="I1192" s="151"/>
      <c r="J1192" s="151"/>
      <c r="K1192" s="151"/>
      <c r="L1192" s="151"/>
      <c r="M1192" s="151"/>
      <c r="N1192" s="151"/>
      <c r="O1192" s="151"/>
      <c r="P1192" s="248"/>
      <c r="Q1192" s="249"/>
      <c r="R1192" s="250"/>
      <c r="S1192" s="250"/>
      <c r="T1192" s="251"/>
      <c r="U1192" s="199"/>
      <c r="V1192" s="179"/>
      <c r="W1192" s="249"/>
      <c r="X1192" s="249"/>
      <c r="Y1192" s="152"/>
      <c r="Z1192" s="153"/>
      <c r="AA1192" s="153"/>
      <c r="AB1192" s="154"/>
      <c r="AC1192" s="247"/>
      <c r="AD1192" s="252"/>
      <c r="AE1192" s="252"/>
      <c r="AF1192" s="252"/>
      <c r="AG1192" s="252"/>
      <c r="AH1192" s="252"/>
      <c r="AI1192" s="252"/>
      <c r="AJ1192" s="252"/>
      <c r="AK1192" s="252"/>
      <c r="AL1192" s="252"/>
      <c r="AM1192" s="214"/>
      <c r="AN1192" s="203"/>
      <c r="AO1192" s="204"/>
      <c r="AP1192" s="203"/>
      <c r="AQ1192" s="205"/>
      <c r="AR1192" s="206"/>
      <c r="AS1192" s="253"/>
      <c r="AT1192" s="254"/>
      <c r="AU1192" s="255"/>
      <c r="AV1192" s="256"/>
      <c r="AW1192" s="257"/>
      <c r="AX1192" s="214"/>
      <c r="AY1192" s="212"/>
    </row>
    <row r="1193" spans="1:51" s="139" customFormat="1" ht="15" hidden="1" customHeight="1" x14ac:dyDescent="0.25">
      <c r="A1193" s="1"/>
      <c r="B1193" s="126"/>
      <c r="C1193" s="352" t="s">
        <v>454</v>
      </c>
      <c r="D1193" s="122"/>
      <c r="E1193" s="123"/>
      <c r="F1193" s="123"/>
      <c r="G1193" s="123"/>
      <c r="H1193" s="123"/>
      <c r="I1193" s="123"/>
      <c r="J1193" s="123"/>
      <c r="K1193" s="123"/>
      <c r="L1193" s="123"/>
      <c r="M1193" s="123"/>
      <c r="N1193" s="123"/>
      <c r="O1193" s="123"/>
      <c r="P1193" s="213"/>
      <c r="Q1193" s="76"/>
      <c r="R1193" s="108"/>
      <c r="S1193" s="108"/>
      <c r="T1193" s="94"/>
      <c r="U1193" s="120"/>
      <c r="V1193" s="67"/>
      <c r="W1193" s="123"/>
      <c r="X1193" s="123"/>
      <c r="Y1193" s="125"/>
      <c r="Z1193" s="126"/>
      <c r="AA1193" s="126"/>
      <c r="AB1193" s="127"/>
      <c r="AC1193" s="62"/>
      <c r="AD1193" s="215"/>
      <c r="AE1193" s="215"/>
      <c r="AF1193" s="215"/>
      <c r="AG1193" s="215"/>
      <c r="AH1193" s="215"/>
      <c r="AI1193" s="215"/>
      <c r="AJ1193" s="215"/>
      <c r="AK1193" s="215"/>
      <c r="AL1193" s="215"/>
      <c r="AM1193" s="125"/>
      <c r="AN1193" s="75"/>
      <c r="AO1193" s="216"/>
      <c r="AP1193" s="75"/>
      <c r="AQ1193" s="51"/>
      <c r="AR1193" s="217"/>
      <c r="AS1193" s="218"/>
      <c r="AT1193" s="219"/>
      <c r="AU1193" s="220"/>
      <c r="AV1193" s="135"/>
      <c r="AW1193" s="136"/>
      <c r="AX1193" s="137"/>
      <c r="AY1193" s="138"/>
    </row>
    <row r="1194" spans="1:51" ht="10.9" hidden="1" customHeight="1" x14ac:dyDescent="0.25">
      <c r="B1194" s="140">
        <v>1</v>
      </c>
      <c r="C1194" s="339" t="s">
        <v>464</v>
      </c>
      <c r="D1194" s="235"/>
      <c r="E1194" s="236"/>
      <c r="F1194" s="236"/>
      <c r="G1194" s="236"/>
      <c r="H1194" s="236"/>
      <c r="I1194" s="236"/>
      <c r="J1194" s="236"/>
      <c r="K1194" s="236"/>
      <c r="L1194" s="236"/>
      <c r="M1194" s="236"/>
      <c r="N1194" s="236"/>
      <c r="O1194" s="236">
        <v>193785</v>
      </c>
      <c r="P1194" s="237"/>
      <c r="Q1194" s="223">
        <f t="shared" ref="Q1194:Q1214" si="984">MAX(D1194:P1194)</f>
        <v>193785</v>
      </c>
      <c r="R1194" s="147">
        <f t="shared" ref="R1194:R1214" si="985">Q1194*$R$10</f>
        <v>21316.35</v>
      </c>
      <c r="S1194" s="147">
        <f t="shared" ref="S1194:S1214" si="986">R1194/$S$5</f>
        <v>58.400958904109586</v>
      </c>
      <c r="T1194" s="148">
        <f t="shared" ref="T1194:T1214" si="987">S1194*$T$5*$T$10</f>
        <v>12789.81</v>
      </c>
      <c r="U1194" s="420"/>
      <c r="V1194" s="407"/>
      <c r="W1194" s="236"/>
      <c r="X1194" s="236"/>
      <c r="Y1194" s="408"/>
      <c r="Z1194" s="409"/>
      <c r="AA1194" s="409"/>
      <c r="AB1194" s="410"/>
      <c r="AC1194" s="155"/>
      <c r="AD1194" s="156"/>
      <c r="AE1194" s="156"/>
      <c r="AF1194" s="156"/>
      <c r="AG1194" s="156"/>
      <c r="AH1194" s="156"/>
      <c r="AI1194" s="156"/>
      <c r="AJ1194" s="156"/>
      <c r="AK1194" s="156"/>
      <c r="AL1194" s="156"/>
      <c r="AM1194" s="157"/>
      <c r="AN1194" s="158">
        <f t="shared" ref="AN1194:AN1215" si="988">$AN$641</f>
        <v>4000</v>
      </c>
      <c r="AO1194" s="159"/>
      <c r="AP1194" s="160"/>
      <c r="AQ1194" s="161"/>
      <c r="AR1194" s="162"/>
      <c r="AS1194" s="163"/>
      <c r="AT1194" s="164"/>
      <c r="AU1194" s="165"/>
      <c r="AV1194" s="166"/>
      <c r="AW1194" s="167"/>
      <c r="AX1194" s="146"/>
      <c r="AY1194" s="168"/>
    </row>
    <row r="1195" spans="1:51" ht="10.9" hidden="1" customHeight="1" x14ac:dyDescent="0.25">
      <c r="B1195" s="140">
        <v>2</v>
      </c>
      <c r="C1195" s="339" t="s">
        <v>475</v>
      </c>
      <c r="D1195" s="235"/>
      <c r="E1195" s="236"/>
      <c r="F1195" s="236"/>
      <c r="G1195" s="236"/>
      <c r="H1195" s="236"/>
      <c r="I1195" s="236"/>
      <c r="J1195" s="236"/>
      <c r="K1195" s="236"/>
      <c r="L1195" s="236"/>
      <c r="M1195" s="236"/>
      <c r="N1195" s="236"/>
      <c r="O1195" s="236">
        <v>359266</v>
      </c>
      <c r="P1195" s="237"/>
      <c r="Q1195" s="223">
        <f t="shared" si="984"/>
        <v>359266</v>
      </c>
      <c r="R1195" s="147">
        <f t="shared" si="985"/>
        <v>39519.26</v>
      </c>
      <c r="S1195" s="147">
        <f t="shared" si="986"/>
        <v>108.27194520547945</v>
      </c>
      <c r="T1195" s="148">
        <f t="shared" si="987"/>
        <v>23711.556</v>
      </c>
      <c r="U1195" s="420"/>
      <c r="V1195" s="407"/>
      <c r="W1195" s="236"/>
      <c r="X1195" s="236"/>
      <c r="Y1195" s="408"/>
      <c r="Z1195" s="409"/>
      <c r="AA1195" s="409"/>
      <c r="AB1195" s="410"/>
      <c r="AC1195" s="155"/>
      <c r="AD1195" s="156"/>
      <c r="AE1195" s="156"/>
      <c r="AF1195" s="156"/>
      <c r="AG1195" s="156"/>
      <c r="AH1195" s="156"/>
      <c r="AI1195" s="156"/>
      <c r="AJ1195" s="156"/>
      <c r="AK1195" s="156"/>
      <c r="AL1195" s="156"/>
      <c r="AM1195" s="157"/>
      <c r="AN1195" s="158">
        <f t="shared" si="988"/>
        <v>4000</v>
      </c>
      <c r="AO1195" s="159"/>
      <c r="AP1195" s="160"/>
      <c r="AQ1195" s="161"/>
      <c r="AR1195" s="162"/>
      <c r="AS1195" s="163"/>
      <c r="AT1195" s="164"/>
      <c r="AU1195" s="165"/>
      <c r="AV1195" s="166"/>
      <c r="AW1195" s="167"/>
      <c r="AX1195" s="146"/>
      <c r="AY1195" s="168"/>
    </row>
    <row r="1196" spans="1:51" ht="10.9" hidden="1" customHeight="1" x14ac:dyDescent="0.25">
      <c r="B1196" s="140">
        <v>3</v>
      </c>
      <c r="C1196" s="339" t="s">
        <v>460</v>
      </c>
      <c r="D1196" s="235"/>
      <c r="E1196" s="236"/>
      <c r="F1196" s="236"/>
      <c r="G1196" s="236"/>
      <c r="H1196" s="236"/>
      <c r="I1196" s="236"/>
      <c r="J1196" s="236"/>
      <c r="K1196" s="236"/>
      <c r="L1196" s="236"/>
      <c r="M1196" s="236"/>
      <c r="N1196" s="236"/>
      <c r="O1196" s="236">
        <v>265761</v>
      </c>
      <c r="P1196" s="237"/>
      <c r="Q1196" s="223">
        <f t="shared" si="984"/>
        <v>265761</v>
      </c>
      <c r="R1196" s="147">
        <f t="shared" si="985"/>
        <v>29233.71</v>
      </c>
      <c r="S1196" s="147">
        <f t="shared" si="986"/>
        <v>80.09235616438356</v>
      </c>
      <c r="T1196" s="148">
        <f t="shared" si="987"/>
        <v>17540.225999999999</v>
      </c>
      <c r="U1196" s="420"/>
      <c r="V1196" s="407"/>
      <c r="W1196" s="236"/>
      <c r="X1196" s="236"/>
      <c r="Y1196" s="408"/>
      <c r="Z1196" s="409"/>
      <c r="AA1196" s="409"/>
      <c r="AB1196" s="410"/>
      <c r="AC1196" s="155"/>
      <c r="AD1196" s="156"/>
      <c r="AE1196" s="156"/>
      <c r="AF1196" s="156"/>
      <c r="AG1196" s="156"/>
      <c r="AH1196" s="156"/>
      <c r="AI1196" s="156"/>
      <c r="AJ1196" s="156"/>
      <c r="AK1196" s="156"/>
      <c r="AL1196" s="156"/>
      <c r="AM1196" s="157"/>
      <c r="AN1196" s="158">
        <f t="shared" si="988"/>
        <v>4000</v>
      </c>
      <c r="AO1196" s="159"/>
      <c r="AP1196" s="160"/>
      <c r="AQ1196" s="161"/>
      <c r="AR1196" s="162"/>
      <c r="AS1196" s="163"/>
      <c r="AT1196" s="164"/>
      <c r="AU1196" s="165"/>
      <c r="AV1196" s="166"/>
      <c r="AW1196" s="167"/>
      <c r="AX1196" s="146"/>
      <c r="AY1196" s="168"/>
    </row>
    <row r="1197" spans="1:51" ht="10.9" hidden="1" customHeight="1" x14ac:dyDescent="0.25">
      <c r="B1197" s="140">
        <v>4</v>
      </c>
      <c r="C1197" s="339" t="s">
        <v>462</v>
      </c>
      <c r="D1197" s="235"/>
      <c r="E1197" s="236"/>
      <c r="F1197" s="236"/>
      <c r="G1197" s="236"/>
      <c r="H1197" s="236"/>
      <c r="I1197" s="236"/>
      <c r="J1197" s="236"/>
      <c r="K1197" s="236"/>
      <c r="L1197" s="236"/>
      <c r="M1197" s="236"/>
      <c r="N1197" s="236"/>
      <c r="O1197" s="236">
        <v>237207</v>
      </c>
      <c r="P1197" s="237"/>
      <c r="Q1197" s="223">
        <f t="shared" si="984"/>
        <v>237207</v>
      </c>
      <c r="R1197" s="147">
        <f t="shared" si="985"/>
        <v>26092.77</v>
      </c>
      <c r="S1197" s="147">
        <f t="shared" si="986"/>
        <v>71.487041095890419</v>
      </c>
      <c r="T1197" s="148">
        <f t="shared" si="987"/>
        <v>15655.662000000002</v>
      </c>
      <c r="U1197" s="420"/>
      <c r="V1197" s="407"/>
      <c r="W1197" s="236"/>
      <c r="X1197" s="236"/>
      <c r="Y1197" s="408"/>
      <c r="Z1197" s="409"/>
      <c r="AA1197" s="409"/>
      <c r="AB1197" s="410"/>
      <c r="AC1197" s="155"/>
      <c r="AD1197" s="156"/>
      <c r="AE1197" s="156"/>
      <c r="AF1197" s="156"/>
      <c r="AG1197" s="156"/>
      <c r="AH1197" s="156"/>
      <c r="AI1197" s="156"/>
      <c r="AJ1197" s="156"/>
      <c r="AK1197" s="156"/>
      <c r="AL1197" s="156"/>
      <c r="AM1197" s="157"/>
      <c r="AN1197" s="158">
        <f t="shared" si="988"/>
        <v>4000</v>
      </c>
      <c r="AO1197" s="159"/>
      <c r="AP1197" s="160"/>
      <c r="AQ1197" s="161"/>
      <c r="AR1197" s="162"/>
      <c r="AS1197" s="163"/>
      <c r="AT1197" s="164"/>
      <c r="AU1197" s="165"/>
      <c r="AV1197" s="166"/>
      <c r="AW1197" s="167"/>
      <c r="AX1197" s="146"/>
      <c r="AY1197" s="168"/>
    </row>
    <row r="1198" spans="1:51" ht="10.9" hidden="1" customHeight="1" x14ac:dyDescent="0.25">
      <c r="B1198" s="140">
        <v>5</v>
      </c>
      <c r="C1198" s="339" t="s">
        <v>471</v>
      </c>
      <c r="D1198" s="235"/>
      <c r="E1198" s="236"/>
      <c r="F1198" s="236"/>
      <c r="G1198" s="236"/>
      <c r="H1198" s="236"/>
      <c r="I1198" s="236"/>
      <c r="J1198" s="236"/>
      <c r="K1198" s="236"/>
      <c r="L1198" s="236"/>
      <c r="M1198" s="236"/>
      <c r="N1198" s="236"/>
      <c r="O1198" s="236">
        <v>310573</v>
      </c>
      <c r="P1198" s="237"/>
      <c r="Q1198" s="223">
        <f t="shared" si="984"/>
        <v>310573</v>
      </c>
      <c r="R1198" s="147">
        <f t="shared" si="985"/>
        <v>34163.03</v>
      </c>
      <c r="S1198" s="147">
        <f t="shared" si="986"/>
        <v>93.597342465753428</v>
      </c>
      <c r="T1198" s="148">
        <f t="shared" si="987"/>
        <v>20497.817999999999</v>
      </c>
      <c r="U1198" s="420"/>
      <c r="V1198" s="407"/>
      <c r="W1198" s="236"/>
      <c r="X1198" s="236"/>
      <c r="Y1198" s="408"/>
      <c r="Z1198" s="409"/>
      <c r="AA1198" s="409"/>
      <c r="AB1198" s="410"/>
      <c r="AC1198" s="155"/>
      <c r="AD1198" s="156"/>
      <c r="AE1198" s="156"/>
      <c r="AF1198" s="156"/>
      <c r="AG1198" s="156"/>
      <c r="AH1198" s="156"/>
      <c r="AI1198" s="156"/>
      <c r="AJ1198" s="156"/>
      <c r="AK1198" s="156"/>
      <c r="AL1198" s="156"/>
      <c r="AM1198" s="157"/>
      <c r="AN1198" s="158">
        <f t="shared" si="988"/>
        <v>4000</v>
      </c>
      <c r="AO1198" s="159"/>
      <c r="AP1198" s="160"/>
      <c r="AQ1198" s="161"/>
      <c r="AR1198" s="162"/>
      <c r="AS1198" s="163"/>
      <c r="AT1198" s="164"/>
      <c r="AU1198" s="165"/>
      <c r="AV1198" s="166"/>
      <c r="AW1198" s="167"/>
      <c r="AX1198" s="146"/>
      <c r="AY1198" s="168"/>
    </row>
    <row r="1199" spans="1:51" ht="10.9" hidden="1" customHeight="1" x14ac:dyDescent="0.25">
      <c r="B1199" s="140">
        <v>6</v>
      </c>
      <c r="C1199" s="339" t="s">
        <v>463</v>
      </c>
      <c r="D1199" s="235"/>
      <c r="E1199" s="236"/>
      <c r="F1199" s="236"/>
      <c r="G1199" s="236"/>
      <c r="H1199" s="236"/>
      <c r="I1199" s="236"/>
      <c r="J1199" s="236"/>
      <c r="K1199" s="236"/>
      <c r="L1199" s="236"/>
      <c r="M1199" s="236"/>
      <c r="N1199" s="236"/>
      <c r="O1199" s="236">
        <v>120160</v>
      </c>
      <c r="P1199" s="237"/>
      <c r="Q1199" s="223">
        <f t="shared" si="984"/>
        <v>120160</v>
      </c>
      <c r="R1199" s="147">
        <f t="shared" si="985"/>
        <v>13217.6</v>
      </c>
      <c r="S1199" s="147">
        <f t="shared" si="986"/>
        <v>36.21260273972603</v>
      </c>
      <c r="T1199" s="148">
        <f t="shared" si="987"/>
        <v>7930.5599999999995</v>
      </c>
      <c r="U1199" s="420"/>
      <c r="V1199" s="407"/>
      <c r="W1199" s="236"/>
      <c r="X1199" s="236"/>
      <c r="Y1199" s="408"/>
      <c r="Z1199" s="409"/>
      <c r="AA1199" s="409"/>
      <c r="AB1199" s="410"/>
      <c r="AC1199" s="155"/>
      <c r="AD1199" s="156"/>
      <c r="AE1199" s="156"/>
      <c r="AF1199" s="156"/>
      <c r="AG1199" s="156"/>
      <c r="AH1199" s="156"/>
      <c r="AI1199" s="156"/>
      <c r="AJ1199" s="156"/>
      <c r="AK1199" s="156"/>
      <c r="AL1199" s="156"/>
      <c r="AM1199" s="157"/>
      <c r="AN1199" s="158">
        <f t="shared" si="988"/>
        <v>4000</v>
      </c>
      <c r="AO1199" s="159"/>
      <c r="AP1199" s="160"/>
      <c r="AQ1199" s="161"/>
      <c r="AR1199" s="162"/>
      <c r="AS1199" s="163"/>
      <c r="AT1199" s="164"/>
      <c r="AU1199" s="165"/>
      <c r="AV1199" s="166"/>
      <c r="AW1199" s="167"/>
      <c r="AX1199" s="146"/>
      <c r="AY1199" s="168"/>
    </row>
    <row r="1200" spans="1:51" ht="10.9" hidden="1" customHeight="1" x14ac:dyDescent="0.25">
      <c r="B1200" s="140">
        <v>7</v>
      </c>
      <c r="C1200" s="339" t="s">
        <v>456</v>
      </c>
      <c r="D1200" s="235"/>
      <c r="E1200" s="236"/>
      <c r="F1200" s="236"/>
      <c r="G1200" s="236"/>
      <c r="H1200" s="236"/>
      <c r="I1200" s="236"/>
      <c r="J1200" s="236"/>
      <c r="K1200" s="236"/>
      <c r="L1200" s="236"/>
      <c r="M1200" s="236"/>
      <c r="N1200" s="236"/>
      <c r="O1200" s="236">
        <v>298236</v>
      </c>
      <c r="P1200" s="237"/>
      <c r="Q1200" s="223">
        <f t="shared" si="984"/>
        <v>298236</v>
      </c>
      <c r="R1200" s="147">
        <f t="shared" si="985"/>
        <v>32805.96</v>
      </c>
      <c r="S1200" s="147">
        <f t="shared" si="986"/>
        <v>89.879342465753425</v>
      </c>
      <c r="T1200" s="148">
        <f t="shared" si="987"/>
        <v>19683.575999999997</v>
      </c>
      <c r="U1200" s="420"/>
      <c r="V1200" s="407"/>
      <c r="W1200" s="236"/>
      <c r="X1200" s="236"/>
      <c r="Y1200" s="408"/>
      <c r="Z1200" s="409"/>
      <c r="AA1200" s="409"/>
      <c r="AB1200" s="410"/>
      <c r="AC1200" s="155"/>
      <c r="AD1200" s="156"/>
      <c r="AE1200" s="156"/>
      <c r="AF1200" s="156"/>
      <c r="AG1200" s="156"/>
      <c r="AH1200" s="156"/>
      <c r="AI1200" s="156"/>
      <c r="AJ1200" s="156"/>
      <c r="AK1200" s="156"/>
      <c r="AL1200" s="156"/>
      <c r="AM1200" s="157"/>
      <c r="AN1200" s="158">
        <f t="shared" si="988"/>
        <v>4000</v>
      </c>
      <c r="AO1200" s="159"/>
      <c r="AP1200" s="160"/>
      <c r="AQ1200" s="161"/>
      <c r="AR1200" s="162"/>
      <c r="AS1200" s="163"/>
      <c r="AT1200" s="164"/>
      <c r="AU1200" s="165"/>
      <c r="AV1200" s="166"/>
      <c r="AW1200" s="167"/>
      <c r="AX1200" s="146"/>
      <c r="AY1200" s="168"/>
    </row>
    <row r="1201" spans="1:51" ht="10.9" hidden="1" customHeight="1" x14ac:dyDescent="0.25">
      <c r="B1201" s="140">
        <v>8</v>
      </c>
      <c r="C1201" s="339" t="s">
        <v>455</v>
      </c>
      <c r="D1201" s="235"/>
      <c r="E1201" s="236"/>
      <c r="F1201" s="236"/>
      <c r="G1201" s="236"/>
      <c r="H1201" s="236"/>
      <c r="I1201" s="236"/>
      <c r="J1201" s="236"/>
      <c r="K1201" s="236"/>
      <c r="L1201" s="236"/>
      <c r="M1201" s="236"/>
      <c r="N1201" s="236"/>
      <c r="O1201" s="236">
        <v>226089</v>
      </c>
      <c r="P1201" s="237"/>
      <c r="Q1201" s="223">
        <f t="shared" si="984"/>
        <v>226089</v>
      </c>
      <c r="R1201" s="147">
        <f t="shared" si="985"/>
        <v>24869.79</v>
      </c>
      <c r="S1201" s="147">
        <f t="shared" si="986"/>
        <v>68.136410958904108</v>
      </c>
      <c r="T1201" s="148">
        <f t="shared" si="987"/>
        <v>14921.874</v>
      </c>
      <c r="U1201" s="420"/>
      <c r="V1201" s="407"/>
      <c r="W1201" s="236"/>
      <c r="X1201" s="236"/>
      <c r="Y1201" s="408"/>
      <c r="Z1201" s="409"/>
      <c r="AA1201" s="409"/>
      <c r="AB1201" s="410"/>
      <c r="AC1201" s="155"/>
      <c r="AD1201" s="156"/>
      <c r="AE1201" s="156"/>
      <c r="AF1201" s="156"/>
      <c r="AG1201" s="156"/>
      <c r="AH1201" s="156"/>
      <c r="AI1201" s="156"/>
      <c r="AJ1201" s="156"/>
      <c r="AK1201" s="156"/>
      <c r="AL1201" s="156"/>
      <c r="AM1201" s="157"/>
      <c r="AN1201" s="158">
        <f t="shared" si="988"/>
        <v>4000</v>
      </c>
      <c r="AO1201" s="159"/>
      <c r="AP1201" s="160"/>
      <c r="AQ1201" s="161"/>
      <c r="AR1201" s="162"/>
      <c r="AS1201" s="163"/>
      <c r="AT1201" s="164"/>
      <c r="AU1201" s="165"/>
      <c r="AV1201" s="166"/>
      <c r="AW1201" s="167"/>
      <c r="AX1201" s="146"/>
      <c r="AY1201" s="168"/>
    </row>
    <row r="1202" spans="1:51" ht="10.9" hidden="1" customHeight="1" x14ac:dyDescent="0.25">
      <c r="B1202" s="140">
        <v>9</v>
      </c>
      <c r="C1202" s="339" t="s">
        <v>457</v>
      </c>
      <c r="D1202" s="235"/>
      <c r="E1202" s="236"/>
      <c r="F1202" s="236"/>
      <c r="G1202" s="236"/>
      <c r="H1202" s="236"/>
      <c r="I1202" s="236"/>
      <c r="J1202" s="236"/>
      <c r="K1202" s="236"/>
      <c r="L1202" s="236"/>
      <c r="M1202" s="236"/>
      <c r="N1202" s="236"/>
      <c r="O1202" s="236">
        <v>257744</v>
      </c>
      <c r="P1202" s="237"/>
      <c r="Q1202" s="223">
        <f t="shared" si="984"/>
        <v>257744</v>
      </c>
      <c r="R1202" s="147">
        <f t="shared" si="985"/>
        <v>28351.84</v>
      </c>
      <c r="S1202" s="147">
        <f t="shared" si="986"/>
        <v>77.676273972602743</v>
      </c>
      <c r="T1202" s="148">
        <f t="shared" si="987"/>
        <v>17011.103999999999</v>
      </c>
      <c r="U1202" s="420"/>
      <c r="V1202" s="407"/>
      <c r="W1202" s="236"/>
      <c r="X1202" s="236"/>
      <c r="Y1202" s="408"/>
      <c r="Z1202" s="409"/>
      <c r="AA1202" s="409"/>
      <c r="AB1202" s="410"/>
      <c r="AC1202" s="155"/>
      <c r="AD1202" s="156"/>
      <c r="AE1202" s="156"/>
      <c r="AF1202" s="156"/>
      <c r="AG1202" s="156"/>
      <c r="AH1202" s="156"/>
      <c r="AI1202" s="156"/>
      <c r="AJ1202" s="156"/>
      <c r="AK1202" s="156"/>
      <c r="AL1202" s="156"/>
      <c r="AM1202" s="157"/>
      <c r="AN1202" s="158">
        <f t="shared" si="988"/>
        <v>4000</v>
      </c>
      <c r="AO1202" s="159"/>
      <c r="AP1202" s="160"/>
      <c r="AQ1202" s="161"/>
      <c r="AR1202" s="162"/>
      <c r="AS1202" s="163"/>
      <c r="AT1202" s="164"/>
      <c r="AU1202" s="165"/>
      <c r="AV1202" s="166"/>
      <c r="AW1202" s="167"/>
      <c r="AX1202" s="146"/>
      <c r="AY1202" s="168"/>
    </row>
    <row r="1203" spans="1:51" ht="10.9" hidden="1" customHeight="1" x14ac:dyDescent="0.25">
      <c r="B1203" s="140">
        <v>10</v>
      </c>
      <c r="C1203" s="339" t="s">
        <v>458</v>
      </c>
      <c r="D1203" s="235"/>
      <c r="E1203" s="236"/>
      <c r="F1203" s="236"/>
      <c r="G1203" s="236"/>
      <c r="H1203" s="236"/>
      <c r="I1203" s="236"/>
      <c r="J1203" s="236"/>
      <c r="K1203" s="236"/>
      <c r="L1203" s="236"/>
      <c r="M1203" s="236"/>
      <c r="N1203" s="236"/>
      <c r="O1203" s="236">
        <v>145210</v>
      </c>
      <c r="P1203" s="237"/>
      <c r="Q1203" s="223">
        <f t="shared" si="984"/>
        <v>145210</v>
      </c>
      <c r="R1203" s="147">
        <f t="shared" si="985"/>
        <v>15973.1</v>
      </c>
      <c r="S1203" s="147">
        <f t="shared" si="986"/>
        <v>43.761917808219181</v>
      </c>
      <c r="T1203" s="148">
        <f t="shared" si="987"/>
        <v>9583.86</v>
      </c>
      <c r="U1203" s="420"/>
      <c r="V1203" s="407"/>
      <c r="W1203" s="236"/>
      <c r="X1203" s="236"/>
      <c r="Y1203" s="408"/>
      <c r="Z1203" s="409"/>
      <c r="AA1203" s="409"/>
      <c r="AB1203" s="410"/>
      <c r="AC1203" s="155"/>
      <c r="AD1203" s="156"/>
      <c r="AE1203" s="156"/>
      <c r="AF1203" s="156"/>
      <c r="AG1203" s="156"/>
      <c r="AH1203" s="156"/>
      <c r="AI1203" s="156"/>
      <c r="AJ1203" s="156"/>
      <c r="AK1203" s="156"/>
      <c r="AL1203" s="156"/>
      <c r="AM1203" s="157"/>
      <c r="AN1203" s="158">
        <f t="shared" si="988"/>
        <v>4000</v>
      </c>
      <c r="AO1203" s="159"/>
      <c r="AP1203" s="160"/>
      <c r="AQ1203" s="161"/>
      <c r="AR1203" s="162"/>
      <c r="AS1203" s="163"/>
      <c r="AT1203" s="164"/>
      <c r="AU1203" s="165"/>
      <c r="AV1203" s="166"/>
      <c r="AW1203" s="167"/>
      <c r="AX1203" s="146"/>
      <c r="AY1203" s="168"/>
    </row>
    <row r="1204" spans="1:51" ht="10.9" hidden="1" customHeight="1" x14ac:dyDescent="0.25">
      <c r="B1204" s="140">
        <v>11</v>
      </c>
      <c r="C1204" s="339" t="s">
        <v>459</v>
      </c>
      <c r="D1204" s="235"/>
      <c r="E1204" s="236"/>
      <c r="F1204" s="236"/>
      <c r="G1204" s="236"/>
      <c r="H1204" s="236"/>
      <c r="I1204" s="236"/>
      <c r="J1204" s="236"/>
      <c r="K1204" s="236"/>
      <c r="L1204" s="236"/>
      <c r="M1204" s="236"/>
      <c r="N1204" s="236"/>
      <c r="O1204" s="236">
        <v>132694</v>
      </c>
      <c r="P1204" s="237"/>
      <c r="Q1204" s="223">
        <f t="shared" si="984"/>
        <v>132694</v>
      </c>
      <c r="R1204" s="147">
        <f t="shared" si="985"/>
        <v>14596.34</v>
      </c>
      <c r="S1204" s="147">
        <f t="shared" si="986"/>
        <v>39.989972602739726</v>
      </c>
      <c r="T1204" s="148">
        <f t="shared" si="987"/>
        <v>8757.8040000000001</v>
      </c>
      <c r="U1204" s="420"/>
      <c r="V1204" s="407"/>
      <c r="W1204" s="236"/>
      <c r="X1204" s="236"/>
      <c r="Y1204" s="408"/>
      <c r="Z1204" s="409"/>
      <c r="AA1204" s="409"/>
      <c r="AB1204" s="410"/>
      <c r="AC1204" s="155"/>
      <c r="AD1204" s="156"/>
      <c r="AE1204" s="156"/>
      <c r="AF1204" s="156"/>
      <c r="AG1204" s="156"/>
      <c r="AH1204" s="156"/>
      <c r="AI1204" s="156"/>
      <c r="AJ1204" s="156"/>
      <c r="AK1204" s="156"/>
      <c r="AL1204" s="156"/>
      <c r="AM1204" s="157"/>
      <c r="AN1204" s="158">
        <f t="shared" si="988"/>
        <v>4000</v>
      </c>
      <c r="AO1204" s="159"/>
      <c r="AP1204" s="160"/>
      <c r="AQ1204" s="161"/>
      <c r="AR1204" s="162"/>
      <c r="AS1204" s="163"/>
      <c r="AT1204" s="164"/>
      <c r="AU1204" s="165"/>
      <c r="AV1204" s="166"/>
      <c r="AW1204" s="167"/>
      <c r="AX1204" s="146"/>
      <c r="AY1204" s="168"/>
    </row>
    <row r="1205" spans="1:51" ht="10.9" hidden="1" customHeight="1" x14ac:dyDescent="0.25">
      <c r="B1205" s="140">
        <v>12</v>
      </c>
      <c r="C1205" s="339" t="s">
        <v>470</v>
      </c>
      <c r="D1205" s="235"/>
      <c r="E1205" s="236"/>
      <c r="F1205" s="236"/>
      <c r="G1205" s="236"/>
      <c r="H1205" s="236"/>
      <c r="I1205" s="236"/>
      <c r="J1205" s="236"/>
      <c r="K1205" s="236"/>
      <c r="L1205" s="236"/>
      <c r="M1205" s="236"/>
      <c r="N1205" s="236"/>
      <c r="O1205" s="236">
        <v>122280</v>
      </c>
      <c r="P1205" s="237"/>
      <c r="Q1205" s="223">
        <f t="shared" si="984"/>
        <v>122280</v>
      </c>
      <c r="R1205" s="147">
        <f t="shared" si="985"/>
        <v>13450.8</v>
      </c>
      <c r="S1205" s="147">
        <f t="shared" si="986"/>
        <v>36.851506849315065</v>
      </c>
      <c r="T1205" s="148">
        <f t="shared" si="987"/>
        <v>8070.48</v>
      </c>
      <c r="U1205" s="420"/>
      <c r="V1205" s="407"/>
      <c r="W1205" s="236"/>
      <c r="X1205" s="236"/>
      <c r="Y1205" s="408"/>
      <c r="Z1205" s="409"/>
      <c r="AA1205" s="409"/>
      <c r="AB1205" s="410"/>
      <c r="AC1205" s="155"/>
      <c r="AD1205" s="156"/>
      <c r="AE1205" s="156"/>
      <c r="AF1205" s="156"/>
      <c r="AG1205" s="156"/>
      <c r="AH1205" s="156"/>
      <c r="AI1205" s="156"/>
      <c r="AJ1205" s="156"/>
      <c r="AK1205" s="156"/>
      <c r="AL1205" s="156"/>
      <c r="AM1205" s="157"/>
      <c r="AN1205" s="158">
        <f t="shared" si="988"/>
        <v>4000</v>
      </c>
      <c r="AO1205" s="159"/>
      <c r="AP1205" s="160"/>
      <c r="AQ1205" s="161"/>
      <c r="AR1205" s="162"/>
      <c r="AS1205" s="163"/>
      <c r="AT1205" s="164"/>
      <c r="AU1205" s="165"/>
      <c r="AV1205" s="166"/>
      <c r="AW1205" s="167"/>
      <c r="AX1205" s="146"/>
      <c r="AY1205" s="168"/>
    </row>
    <row r="1206" spans="1:51" ht="10.9" hidden="1" customHeight="1" x14ac:dyDescent="0.25">
      <c r="B1206" s="140">
        <v>13</v>
      </c>
      <c r="C1206" s="339" t="s">
        <v>469</v>
      </c>
      <c r="D1206" s="235"/>
      <c r="E1206" s="236"/>
      <c r="F1206" s="236"/>
      <c r="G1206" s="236"/>
      <c r="H1206" s="236"/>
      <c r="I1206" s="236"/>
      <c r="J1206" s="236"/>
      <c r="K1206" s="236"/>
      <c r="L1206" s="236"/>
      <c r="M1206" s="236"/>
      <c r="N1206" s="236"/>
      <c r="O1206" s="236">
        <v>74403</v>
      </c>
      <c r="P1206" s="237"/>
      <c r="Q1206" s="223">
        <f t="shared" si="984"/>
        <v>74403</v>
      </c>
      <c r="R1206" s="147">
        <f t="shared" si="985"/>
        <v>8184.33</v>
      </c>
      <c r="S1206" s="147">
        <f t="shared" si="986"/>
        <v>22.422821917808218</v>
      </c>
      <c r="T1206" s="148">
        <f t="shared" si="987"/>
        <v>4910.598</v>
      </c>
      <c r="U1206" s="420"/>
      <c r="V1206" s="407"/>
      <c r="W1206" s="236"/>
      <c r="X1206" s="236"/>
      <c r="Y1206" s="408"/>
      <c r="Z1206" s="409"/>
      <c r="AA1206" s="409"/>
      <c r="AB1206" s="410"/>
      <c r="AC1206" s="155"/>
      <c r="AD1206" s="156"/>
      <c r="AE1206" s="156"/>
      <c r="AF1206" s="156"/>
      <c r="AG1206" s="156"/>
      <c r="AH1206" s="156"/>
      <c r="AI1206" s="156"/>
      <c r="AJ1206" s="156"/>
      <c r="AK1206" s="156"/>
      <c r="AL1206" s="156"/>
      <c r="AM1206" s="157"/>
      <c r="AN1206" s="158">
        <f t="shared" si="988"/>
        <v>4000</v>
      </c>
      <c r="AO1206" s="159"/>
      <c r="AP1206" s="160"/>
      <c r="AQ1206" s="161"/>
      <c r="AR1206" s="162"/>
      <c r="AS1206" s="163"/>
      <c r="AT1206" s="164"/>
      <c r="AU1206" s="165"/>
      <c r="AV1206" s="166"/>
      <c r="AW1206" s="167"/>
      <c r="AX1206" s="146"/>
      <c r="AY1206" s="168"/>
    </row>
    <row r="1207" spans="1:51" ht="10.9" hidden="1" customHeight="1" x14ac:dyDescent="0.25">
      <c r="B1207" s="140">
        <v>14</v>
      </c>
      <c r="C1207" s="339" t="s">
        <v>461</v>
      </c>
      <c r="D1207" s="235"/>
      <c r="E1207" s="236"/>
      <c r="F1207" s="236"/>
      <c r="G1207" s="236"/>
      <c r="H1207" s="236"/>
      <c r="I1207" s="236"/>
      <c r="J1207" s="236"/>
      <c r="K1207" s="236"/>
      <c r="L1207" s="236"/>
      <c r="M1207" s="236"/>
      <c r="N1207" s="236"/>
      <c r="O1207" s="236">
        <v>306269</v>
      </c>
      <c r="P1207" s="237"/>
      <c r="Q1207" s="223">
        <f t="shared" si="984"/>
        <v>306269</v>
      </c>
      <c r="R1207" s="147">
        <f t="shared" si="985"/>
        <v>33689.590000000004</v>
      </c>
      <c r="S1207" s="147">
        <f t="shared" si="986"/>
        <v>92.30024657534247</v>
      </c>
      <c r="T1207" s="148">
        <f t="shared" si="987"/>
        <v>20213.754000000001</v>
      </c>
      <c r="U1207" s="420"/>
      <c r="V1207" s="407"/>
      <c r="W1207" s="236"/>
      <c r="X1207" s="236"/>
      <c r="Y1207" s="408"/>
      <c r="Z1207" s="409"/>
      <c r="AA1207" s="409"/>
      <c r="AB1207" s="410"/>
      <c r="AC1207" s="155"/>
      <c r="AD1207" s="156"/>
      <c r="AE1207" s="156"/>
      <c r="AF1207" s="156"/>
      <c r="AG1207" s="156"/>
      <c r="AH1207" s="156"/>
      <c r="AI1207" s="156"/>
      <c r="AJ1207" s="156"/>
      <c r="AK1207" s="156"/>
      <c r="AL1207" s="156"/>
      <c r="AM1207" s="157"/>
      <c r="AN1207" s="158">
        <f t="shared" si="988"/>
        <v>4000</v>
      </c>
      <c r="AO1207" s="159"/>
      <c r="AP1207" s="160"/>
      <c r="AQ1207" s="161"/>
      <c r="AR1207" s="162"/>
      <c r="AS1207" s="163"/>
      <c r="AT1207" s="164"/>
      <c r="AU1207" s="165"/>
      <c r="AV1207" s="166"/>
      <c r="AW1207" s="167"/>
      <c r="AX1207" s="146"/>
      <c r="AY1207" s="168"/>
    </row>
    <row r="1208" spans="1:51" ht="10.9" hidden="1" customHeight="1" x14ac:dyDescent="0.25">
      <c r="B1208" s="140">
        <v>15</v>
      </c>
      <c r="C1208" s="353" t="s">
        <v>466</v>
      </c>
      <c r="D1208" s="235"/>
      <c r="E1208" s="236"/>
      <c r="F1208" s="236"/>
      <c r="G1208" s="236"/>
      <c r="H1208" s="236"/>
      <c r="I1208" s="236"/>
      <c r="J1208" s="236"/>
      <c r="K1208" s="236"/>
      <c r="L1208" s="236"/>
      <c r="M1208" s="236"/>
      <c r="N1208" s="236"/>
      <c r="O1208" s="236">
        <v>113189</v>
      </c>
      <c r="P1208" s="237"/>
      <c r="Q1208" s="223">
        <f t="shared" si="984"/>
        <v>113189</v>
      </c>
      <c r="R1208" s="147">
        <f t="shared" si="985"/>
        <v>12450.79</v>
      </c>
      <c r="S1208" s="147">
        <f t="shared" si="986"/>
        <v>34.111753424657536</v>
      </c>
      <c r="T1208" s="148">
        <f t="shared" si="987"/>
        <v>7470.4740000000002</v>
      </c>
      <c r="U1208" s="420"/>
      <c r="V1208" s="407"/>
      <c r="W1208" s="236"/>
      <c r="X1208" s="236"/>
      <c r="Y1208" s="408"/>
      <c r="Z1208" s="409"/>
      <c r="AA1208" s="409"/>
      <c r="AB1208" s="410"/>
      <c r="AC1208" s="155"/>
      <c r="AD1208" s="156"/>
      <c r="AE1208" s="156"/>
      <c r="AF1208" s="156"/>
      <c r="AG1208" s="156"/>
      <c r="AH1208" s="156"/>
      <c r="AI1208" s="156"/>
      <c r="AJ1208" s="156"/>
      <c r="AK1208" s="156"/>
      <c r="AL1208" s="156"/>
      <c r="AM1208" s="157"/>
      <c r="AN1208" s="158">
        <f t="shared" si="988"/>
        <v>4000</v>
      </c>
      <c r="AO1208" s="159"/>
      <c r="AP1208" s="160"/>
      <c r="AQ1208" s="161"/>
      <c r="AR1208" s="162"/>
      <c r="AS1208" s="163"/>
      <c r="AT1208" s="164"/>
      <c r="AU1208" s="165"/>
      <c r="AV1208" s="166"/>
      <c r="AW1208" s="167"/>
      <c r="AX1208" s="146"/>
      <c r="AY1208" s="168"/>
    </row>
    <row r="1209" spans="1:51" ht="10.9" hidden="1" customHeight="1" x14ac:dyDescent="0.25">
      <c r="B1209" s="140">
        <v>16</v>
      </c>
      <c r="C1209" s="345" t="s">
        <v>465</v>
      </c>
      <c r="D1209" s="235"/>
      <c r="E1209" s="236"/>
      <c r="F1209" s="236"/>
      <c r="G1209" s="236"/>
      <c r="H1209" s="236"/>
      <c r="I1209" s="236"/>
      <c r="J1209" s="236"/>
      <c r="K1209" s="236"/>
      <c r="L1209" s="236"/>
      <c r="M1209" s="236"/>
      <c r="N1209" s="236"/>
      <c r="O1209" s="236">
        <v>290539</v>
      </c>
      <c r="P1209" s="237"/>
      <c r="Q1209" s="223">
        <f t="shared" si="984"/>
        <v>290539</v>
      </c>
      <c r="R1209" s="147">
        <f t="shared" si="985"/>
        <v>31959.29</v>
      </c>
      <c r="S1209" s="147">
        <f t="shared" si="986"/>
        <v>87.559698630136992</v>
      </c>
      <c r="T1209" s="148">
        <f t="shared" si="987"/>
        <v>19175.574000000001</v>
      </c>
      <c r="U1209" s="420"/>
      <c r="V1209" s="407"/>
      <c r="W1209" s="236"/>
      <c r="X1209" s="236"/>
      <c r="Y1209" s="408"/>
      <c r="Z1209" s="409"/>
      <c r="AA1209" s="409"/>
      <c r="AB1209" s="410"/>
      <c r="AC1209" s="155"/>
      <c r="AD1209" s="156"/>
      <c r="AE1209" s="156"/>
      <c r="AF1209" s="156"/>
      <c r="AG1209" s="156"/>
      <c r="AH1209" s="156"/>
      <c r="AI1209" s="156"/>
      <c r="AJ1209" s="156"/>
      <c r="AK1209" s="156"/>
      <c r="AL1209" s="156"/>
      <c r="AM1209" s="157"/>
      <c r="AN1209" s="158">
        <f t="shared" si="988"/>
        <v>4000</v>
      </c>
      <c r="AO1209" s="159"/>
      <c r="AP1209" s="160"/>
      <c r="AQ1209" s="161"/>
      <c r="AR1209" s="162"/>
      <c r="AS1209" s="163"/>
      <c r="AT1209" s="164"/>
      <c r="AU1209" s="165"/>
      <c r="AV1209" s="166"/>
      <c r="AW1209" s="167"/>
      <c r="AX1209" s="146"/>
      <c r="AY1209" s="168"/>
    </row>
    <row r="1210" spans="1:51" ht="10.9" hidden="1" customHeight="1" x14ac:dyDescent="0.25">
      <c r="B1210" s="140">
        <v>17</v>
      </c>
      <c r="C1210" s="354" t="s">
        <v>467</v>
      </c>
      <c r="D1210" s="235"/>
      <c r="E1210" s="236"/>
      <c r="F1210" s="236"/>
      <c r="G1210" s="236"/>
      <c r="H1210" s="236"/>
      <c r="I1210" s="236"/>
      <c r="J1210" s="236"/>
      <c r="K1210" s="236"/>
      <c r="L1210" s="236"/>
      <c r="M1210" s="236"/>
      <c r="N1210" s="236"/>
      <c r="O1210" s="236">
        <v>63721</v>
      </c>
      <c r="P1210" s="237"/>
      <c r="Q1210" s="223">
        <f t="shared" si="984"/>
        <v>63721</v>
      </c>
      <c r="R1210" s="147">
        <f t="shared" si="985"/>
        <v>7009.31</v>
      </c>
      <c r="S1210" s="147">
        <f t="shared" si="986"/>
        <v>19.203589041095892</v>
      </c>
      <c r="T1210" s="148">
        <f t="shared" si="987"/>
        <v>4205.5860000000002</v>
      </c>
      <c r="U1210" s="420"/>
      <c r="V1210" s="407"/>
      <c r="W1210" s="236"/>
      <c r="X1210" s="236"/>
      <c r="Y1210" s="408"/>
      <c r="Z1210" s="409"/>
      <c r="AA1210" s="409"/>
      <c r="AB1210" s="410"/>
      <c r="AC1210" s="155"/>
      <c r="AD1210" s="156"/>
      <c r="AE1210" s="156"/>
      <c r="AF1210" s="156"/>
      <c r="AG1210" s="156"/>
      <c r="AH1210" s="156"/>
      <c r="AI1210" s="156"/>
      <c r="AJ1210" s="156"/>
      <c r="AK1210" s="156"/>
      <c r="AL1210" s="156"/>
      <c r="AM1210" s="157"/>
      <c r="AN1210" s="158">
        <f t="shared" si="988"/>
        <v>4000</v>
      </c>
      <c r="AO1210" s="159"/>
      <c r="AP1210" s="160"/>
      <c r="AQ1210" s="161"/>
      <c r="AR1210" s="162"/>
      <c r="AS1210" s="163"/>
      <c r="AT1210" s="164"/>
      <c r="AU1210" s="165"/>
      <c r="AV1210" s="166"/>
      <c r="AW1210" s="167"/>
      <c r="AX1210" s="146"/>
      <c r="AY1210" s="168"/>
    </row>
    <row r="1211" spans="1:51" ht="10.9" hidden="1" customHeight="1" x14ac:dyDescent="0.25">
      <c r="B1211" s="140">
        <v>18</v>
      </c>
      <c r="C1211" s="345" t="s">
        <v>468</v>
      </c>
      <c r="D1211" s="235"/>
      <c r="E1211" s="236"/>
      <c r="F1211" s="236"/>
      <c r="G1211" s="236"/>
      <c r="H1211" s="236"/>
      <c r="I1211" s="236"/>
      <c r="J1211" s="236"/>
      <c r="K1211" s="236"/>
      <c r="L1211" s="236"/>
      <c r="M1211" s="236"/>
      <c r="N1211" s="236"/>
      <c r="O1211" s="236">
        <v>232237</v>
      </c>
      <c r="P1211" s="237"/>
      <c r="Q1211" s="223">
        <f t="shared" si="984"/>
        <v>232237</v>
      </c>
      <c r="R1211" s="147">
        <f t="shared" si="985"/>
        <v>25546.07</v>
      </c>
      <c r="S1211" s="147">
        <f t="shared" si="986"/>
        <v>69.989232876712322</v>
      </c>
      <c r="T1211" s="148">
        <f t="shared" si="987"/>
        <v>15327.641999999996</v>
      </c>
      <c r="U1211" s="420"/>
      <c r="V1211" s="407"/>
      <c r="W1211" s="236"/>
      <c r="X1211" s="236"/>
      <c r="Y1211" s="408"/>
      <c r="Z1211" s="409"/>
      <c r="AA1211" s="409"/>
      <c r="AB1211" s="410"/>
      <c r="AC1211" s="155"/>
      <c r="AD1211" s="156"/>
      <c r="AE1211" s="156"/>
      <c r="AF1211" s="156"/>
      <c r="AG1211" s="156"/>
      <c r="AH1211" s="156"/>
      <c r="AI1211" s="156"/>
      <c r="AJ1211" s="156"/>
      <c r="AK1211" s="156"/>
      <c r="AL1211" s="156"/>
      <c r="AM1211" s="157"/>
      <c r="AN1211" s="158">
        <f t="shared" si="988"/>
        <v>4000</v>
      </c>
      <c r="AO1211" s="159"/>
      <c r="AP1211" s="160"/>
      <c r="AQ1211" s="161"/>
      <c r="AR1211" s="162"/>
      <c r="AS1211" s="163"/>
      <c r="AT1211" s="164"/>
      <c r="AU1211" s="165"/>
      <c r="AV1211" s="166"/>
      <c r="AW1211" s="167"/>
      <c r="AX1211" s="146"/>
      <c r="AY1211" s="168"/>
    </row>
    <row r="1212" spans="1:51" ht="10.9" hidden="1" customHeight="1" x14ac:dyDescent="0.25">
      <c r="B1212" s="140">
        <v>19</v>
      </c>
      <c r="C1212" s="355" t="s">
        <v>473</v>
      </c>
      <c r="D1212" s="235"/>
      <c r="E1212" s="236"/>
      <c r="F1212" s="236"/>
      <c r="G1212" s="236"/>
      <c r="H1212" s="236"/>
      <c r="I1212" s="236"/>
      <c r="J1212" s="236"/>
      <c r="K1212" s="236"/>
      <c r="L1212" s="236"/>
      <c r="M1212" s="236"/>
      <c r="N1212" s="236"/>
      <c r="O1212" s="236">
        <v>449881</v>
      </c>
      <c r="P1212" s="237"/>
      <c r="Q1212" s="223">
        <f t="shared" si="984"/>
        <v>449881</v>
      </c>
      <c r="R1212" s="147">
        <f t="shared" si="985"/>
        <v>49486.91</v>
      </c>
      <c r="S1212" s="147">
        <f t="shared" si="986"/>
        <v>135.58057534246575</v>
      </c>
      <c r="T1212" s="148">
        <f t="shared" si="987"/>
        <v>29692.145999999997</v>
      </c>
      <c r="U1212" s="420"/>
      <c r="V1212" s="407"/>
      <c r="W1212" s="236"/>
      <c r="X1212" s="236"/>
      <c r="Y1212" s="408"/>
      <c r="Z1212" s="409"/>
      <c r="AA1212" s="409"/>
      <c r="AB1212" s="410"/>
      <c r="AC1212" s="155"/>
      <c r="AD1212" s="156"/>
      <c r="AE1212" s="156"/>
      <c r="AF1212" s="156"/>
      <c r="AG1212" s="156"/>
      <c r="AH1212" s="156"/>
      <c r="AI1212" s="156"/>
      <c r="AJ1212" s="156"/>
      <c r="AK1212" s="156"/>
      <c r="AL1212" s="156"/>
      <c r="AM1212" s="157"/>
      <c r="AN1212" s="158">
        <f t="shared" si="988"/>
        <v>4000</v>
      </c>
      <c r="AO1212" s="159"/>
      <c r="AP1212" s="160"/>
      <c r="AQ1212" s="161"/>
      <c r="AR1212" s="162"/>
      <c r="AS1212" s="163"/>
      <c r="AT1212" s="164"/>
      <c r="AU1212" s="165"/>
      <c r="AV1212" s="166"/>
      <c r="AW1212" s="167"/>
      <c r="AX1212" s="146"/>
      <c r="AY1212" s="168"/>
    </row>
    <row r="1213" spans="1:51" ht="10.9" hidden="1" customHeight="1" x14ac:dyDescent="0.25">
      <c r="B1213" s="140">
        <v>20</v>
      </c>
      <c r="C1213" s="338" t="s">
        <v>474</v>
      </c>
      <c r="D1213" s="235"/>
      <c r="E1213" s="236"/>
      <c r="F1213" s="236"/>
      <c r="G1213" s="236"/>
      <c r="H1213" s="236"/>
      <c r="I1213" s="236"/>
      <c r="J1213" s="236"/>
      <c r="K1213" s="236"/>
      <c r="L1213" s="236"/>
      <c r="M1213" s="236"/>
      <c r="N1213" s="236"/>
      <c r="O1213" s="236">
        <v>234349</v>
      </c>
      <c r="P1213" s="237"/>
      <c r="Q1213" s="223">
        <f t="shared" si="984"/>
        <v>234349</v>
      </c>
      <c r="R1213" s="147">
        <f t="shared" si="985"/>
        <v>25778.39</v>
      </c>
      <c r="S1213" s="147">
        <f t="shared" si="986"/>
        <v>70.625726027397263</v>
      </c>
      <c r="T1213" s="148">
        <f t="shared" si="987"/>
        <v>15467.034</v>
      </c>
      <c r="U1213" s="420"/>
      <c r="V1213" s="407"/>
      <c r="W1213" s="236"/>
      <c r="X1213" s="236"/>
      <c r="Y1213" s="408"/>
      <c r="Z1213" s="409"/>
      <c r="AA1213" s="409"/>
      <c r="AB1213" s="410"/>
      <c r="AC1213" s="155"/>
      <c r="AD1213" s="156"/>
      <c r="AE1213" s="156"/>
      <c r="AF1213" s="156"/>
      <c r="AG1213" s="156"/>
      <c r="AH1213" s="156"/>
      <c r="AI1213" s="156"/>
      <c r="AJ1213" s="156"/>
      <c r="AK1213" s="156"/>
      <c r="AL1213" s="156"/>
      <c r="AM1213" s="157"/>
      <c r="AN1213" s="158">
        <f t="shared" si="988"/>
        <v>4000</v>
      </c>
      <c r="AO1213" s="159"/>
      <c r="AP1213" s="160"/>
      <c r="AQ1213" s="161"/>
      <c r="AR1213" s="162"/>
      <c r="AS1213" s="163"/>
      <c r="AT1213" s="164"/>
      <c r="AU1213" s="165"/>
      <c r="AV1213" s="166"/>
      <c r="AW1213" s="167"/>
      <c r="AX1213" s="146"/>
      <c r="AY1213" s="168"/>
    </row>
    <row r="1214" spans="1:51" ht="10.9" hidden="1" customHeight="1" x14ac:dyDescent="0.25">
      <c r="B1214" s="140">
        <v>21</v>
      </c>
      <c r="C1214" s="333" t="s">
        <v>472</v>
      </c>
      <c r="D1214" s="235"/>
      <c r="E1214" s="236"/>
      <c r="F1214" s="236"/>
      <c r="G1214" s="236"/>
      <c r="H1214" s="236"/>
      <c r="I1214" s="236"/>
      <c r="J1214" s="236"/>
      <c r="K1214" s="236"/>
      <c r="L1214" s="236"/>
      <c r="M1214" s="236"/>
      <c r="N1214" s="236"/>
      <c r="O1214" s="236">
        <v>342892</v>
      </c>
      <c r="P1214" s="237"/>
      <c r="Q1214" s="304">
        <f t="shared" si="984"/>
        <v>342892</v>
      </c>
      <c r="R1214" s="147">
        <f t="shared" si="985"/>
        <v>37718.120000000003</v>
      </c>
      <c r="S1214" s="147">
        <f t="shared" si="986"/>
        <v>103.33731506849315</v>
      </c>
      <c r="T1214" s="148">
        <f t="shared" si="987"/>
        <v>22630.871999999999</v>
      </c>
      <c r="U1214" s="420"/>
      <c r="V1214" s="407"/>
      <c r="W1214" s="236"/>
      <c r="X1214" s="236"/>
      <c r="Y1214" s="408"/>
      <c r="Z1214" s="409"/>
      <c r="AA1214" s="409"/>
      <c r="AB1214" s="410"/>
      <c r="AC1214" s="155"/>
      <c r="AD1214" s="156"/>
      <c r="AE1214" s="156"/>
      <c r="AF1214" s="156"/>
      <c r="AG1214" s="156"/>
      <c r="AH1214" s="156"/>
      <c r="AI1214" s="156"/>
      <c r="AJ1214" s="156"/>
      <c r="AK1214" s="156"/>
      <c r="AL1214" s="156"/>
      <c r="AM1214" s="157"/>
      <c r="AN1214" s="158">
        <f t="shared" si="988"/>
        <v>4000</v>
      </c>
      <c r="AO1214" s="159"/>
      <c r="AP1214" s="160"/>
      <c r="AQ1214" s="161"/>
      <c r="AR1214" s="162"/>
      <c r="AS1214" s="163"/>
      <c r="AT1214" s="164"/>
      <c r="AU1214" s="165"/>
      <c r="AV1214" s="166"/>
      <c r="AW1214" s="167"/>
      <c r="AX1214" s="146"/>
      <c r="AY1214" s="168"/>
    </row>
    <row r="1215" spans="1:51" ht="10.9" hidden="1" customHeight="1" x14ac:dyDescent="0.25">
      <c r="B1215" s="140"/>
      <c r="C1215" s="500"/>
      <c r="D1215" s="235"/>
      <c r="E1215" s="300"/>
      <c r="F1215" s="300"/>
      <c r="G1215" s="300"/>
      <c r="H1215" s="300"/>
      <c r="I1215" s="300"/>
      <c r="J1215" s="300"/>
      <c r="K1215" s="300"/>
      <c r="L1215" s="300"/>
      <c r="M1215" s="300"/>
      <c r="N1215" s="300"/>
      <c r="O1215" s="300"/>
      <c r="P1215" s="427"/>
      <c r="Q1215" s="304"/>
      <c r="R1215" s="231"/>
      <c r="S1215" s="167"/>
      <c r="T1215" s="146"/>
      <c r="U1215" s="501" t="s">
        <v>781</v>
      </c>
      <c r="V1215" s="502"/>
      <c r="W1215" s="237">
        <f>(S1214*40%)*364</f>
        <v>15045.913073972604</v>
      </c>
      <c r="X1215" s="237"/>
      <c r="Y1215" s="408"/>
      <c r="Z1215" s="503"/>
      <c r="AA1215" s="503"/>
      <c r="AB1215" s="504"/>
      <c r="AC1215" s="411">
        <f>W1215*52%</f>
        <v>7823.8747984657548</v>
      </c>
      <c r="AD1215" s="412">
        <f>W1215*25%</f>
        <v>3761.4782684931511</v>
      </c>
      <c r="AE1215" s="412">
        <f>W1215*9%</f>
        <v>1354.1321766575343</v>
      </c>
      <c r="AF1215" s="412">
        <f>W1215*5%</f>
        <v>752.2956536986303</v>
      </c>
      <c r="AG1215" s="412">
        <f>W1215*3%</f>
        <v>451.37739221917809</v>
      </c>
      <c r="AH1215" s="412">
        <f>W1215*1%</f>
        <v>150.45913073972605</v>
      </c>
      <c r="AI1215" s="412">
        <f>W1215*2%</f>
        <v>300.9182614794521</v>
      </c>
      <c r="AJ1215" s="412">
        <f>W1215*1%</f>
        <v>150.45913073972605</v>
      </c>
      <c r="AK1215" s="412">
        <f>W1215*4%</f>
        <v>601.8365229589042</v>
      </c>
      <c r="AL1215" s="412">
        <f>W1215*1%</f>
        <v>150.45913073972605</v>
      </c>
      <c r="AM1215" s="413">
        <f>SUM(AD1215:AI1215)</f>
        <v>6770.6608832876718</v>
      </c>
      <c r="AN1215" s="158">
        <f t="shared" si="988"/>
        <v>4000</v>
      </c>
      <c r="AO1215" s="159">
        <v>0.2</v>
      </c>
      <c r="AP1215" s="160">
        <f>AM1215*AN1215*$AP$5</f>
        <v>113389611.94459529</v>
      </c>
      <c r="AQ1215" s="161">
        <f>AP1215*$AQ$5</f>
        <v>31497.116948823401</v>
      </c>
      <c r="AR1215" s="162">
        <f>AQ1215*$AR$5</f>
        <v>6299.4233897646809</v>
      </c>
      <c r="AS1215" s="163"/>
      <c r="AT1215" s="233"/>
      <c r="AU1215" s="187"/>
      <c r="AV1215" s="414">
        <f>AR1215/$AV$5</f>
        <v>0.89889032388194645</v>
      </c>
      <c r="AW1215" s="415"/>
      <c r="AX1215" s="146">
        <f>SUM(AU1215:AV1215)</f>
        <v>0.89889032388194645</v>
      </c>
      <c r="AY1215" s="168"/>
    </row>
    <row r="1216" spans="1:51" s="263" customFormat="1" ht="17.25" hidden="1" customHeight="1" x14ac:dyDescent="0.25">
      <c r="A1216" s="173"/>
      <c r="B1216" s="225"/>
      <c r="C1216" s="352" t="s">
        <v>476</v>
      </c>
      <c r="D1216" s="240">
        <f t="shared" ref="D1216:M1216" si="989">SUM(D1194:D1214)</f>
        <v>0</v>
      </c>
      <c r="E1216" s="240">
        <f t="shared" si="989"/>
        <v>0</v>
      </c>
      <c r="F1216" s="240">
        <f t="shared" si="989"/>
        <v>0</v>
      </c>
      <c r="G1216" s="240">
        <f t="shared" si="989"/>
        <v>0</v>
      </c>
      <c r="H1216" s="240">
        <f t="shared" si="989"/>
        <v>0</v>
      </c>
      <c r="I1216" s="240">
        <f t="shared" si="989"/>
        <v>0</v>
      </c>
      <c r="J1216" s="240">
        <f t="shared" si="989"/>
        <v>0</v>
      </c>
      <c r="K1216" s="240">
        <f t="shared" si="989"/>
        <v>0</v>
      </c>
      <c r="L1216" s="240">
        <f t="shared" si="989"/>
        <v>0</v>
      </c>
      <c r="M1216" s="240">
        <f t="shared" si="989"/>
        <v>0</v>
      </c>
      <c r="N1216" s="240">
        <v>4683827</v>
      </c>
      <c r="O1216" s="240">
        <f>SUM(O1194:O1214)</f>
        <v>4776485</v>
      </c>
      <c r="P1216" s="240">
        <f>SUM(P1194:P1214)</f>
        <v>0</v>
      </c>
      <c r="Q1216" s="304">
        <f>MAX(D1216:P1216)</f>
        <v>4776485</v>
      </c>
      <c r="R1216" s="304">
        <f>MAX(E1216:Q1216)</f>
        <v>4776485</v>
      </c>
      <c r="S1216" s="304">
        <f>MAX(F1216:R1216)</f>
        <v>4776485</v>
      </c>
      <c r="T1216" s="304">
        <f>MAX(G1216:S1216)</f>
        <v>4776485</v>
      </c>
      <c r="U1216" s="157">
        <f>SUM(U1194:U1215)</f>
        <v>0</v>
      </c>
      <c r="V1216" s="157">
        <f t="shared" ref="V1216:AX1216" si="990">SUM(V1194:V1215)</f>
        <v>0</v>
      </c>
      <c r="W1216" s="157">
        <f t="shared" si="990"/>
        <v>15045.913073972604</v>
      </c>
      <c r="X1216" s="157">
        <f t="shared" si="990"/>
        <v>0</v>
      </c>
      <c r="Y1216" s="157">
        <f t="shared" si="990"/>
        <v>0</v>
      </c>
      <c r="Z1216" s="157">
        <f t="shared" si="990"/>
        <v>0</v>
      </c>
      <c r="AA1216" s="157">
        <f t="shared" si="990"/>
        <v>0</v>
      </c>
      <c r="AB1216" s="157">
        <f t="shared" si="990"/>
        <v>0</v>
      </c>
      <c r="AC1216" s="157">
        <f t="shared" si="990"/>
        <v>7823.8747984657548</v>
      </c>
      <c r="AD1216" s="157">
        <f t="shared" si="990"/>
        <v>3761.4782684931511</v>
      </c>
      <c r="AE1216" s="157">
        <f t="shared" si="990"/>
        <v>1354.1321766575343</v>
      </c>
      <c r="AF1216" s="157">
        <f t="shared" si="990"/>
        <v>752.2956536986303</v>
      </c>
      <c r="AG1216" s="157">
        <f t="shared" si="990"/>
        <v>451.37739221917809</v>
      </c>
      <c r="AH1216" s="157">
        <f t="shared" si="990"/>
        <v>150.45913073972605</v>
      </c>
      <c r="AI1216" s="157">
        <f t="shared" si="990"/>
        <v>300.9182614794521</v>
      </c>
      <c r="AJ1216" s="157">
        <f t="shared" si="990"/>
        <v>150.45913073972605</v>
      </c>
      <c r="AK1216" s="157">
        <f t="shared" si="990"/>
        <v>601.8365229589042</v>
      </c>
      <c r="AL1216" s="157">
        <f t="shared" si="990"/>
        <v>150.45913073972605</v>
      </c>
      <c r="AM1216" s="157">
        <f t="shared" si="990"/>
        <v>6770.6608832876718</v>
      </c>
      <c r="AN1216" s="157"/>
      <c r="AO1216" s="157"/>
      <c r="AP1216" s="157">
        <f t="shared" si="990"/>
        <v>113389611.94459529</v>
      </c>
      <c r="AQ1216" s="157">
        <f t="shared" si="990"/>
        <v>31497.116948823401</v>
      </c>
      <c r="AR1216" s="157">
        <f t="shared" si="990"/>
        <v>6299.4233897646809</v>
      </c>
      <c r="AS1216" s="157">
        <f t="shared" si="990"/>
        <v>0</v>
      </c>
      <c r="AT1216" s="157">
        <f t="shared" si="990"/>
        <v>0</v>
      </c>
      <c r="AU1216" s="157">
        <f t="shared" si="990"/>
        <v>0</v>
      </c>
      <c r="AV1216" s="157">
        <f t="shared" si="990"/>
        <v>0.89889032388194645</v>
      </c>
      <c r="AW1216" s="157">
        <f t="shared" si="990"/>
        <v>0</v>
      </c>
      <c r="AX1216" s="157">
        <f t="shared" si="990"/>
        <v>0.89889032388194645</v>
      </c>
      <c r="AY1216" s="189"/>
    </row>
    <row r="1217" spans="1:51" s="139" customFormat="1" ht="10.9" hidden="1" customHeight="1" x14ac:dyDescent="0.25">
      <c r="B1217" s="247"/>
      <c r="C1217" s="152"/>
      <c r="D1217" s="247"/>
      <c r="E1217" s="151"/>
      <c r="F1217" s="151"/>
      <c r="G1217" s="151"/>
      <c r="H1217" s="151"/>
      <c r="I1217" s="151"/>
      <c r="J1217" s="151"/>
      <c r="K1217" s="151"/>
      <c r="L1217" s="151"/>
      <c r="M1217" s="151"/>
      <c r="N1217" s="151"/>
      <c r="O1217" s="151"/>
      <c r="P1217" s="248"/>
      <c r="Q1217" s="249"/>
      <c r="R1217" s="250"/>
      <c r="S1217" s="250"/>
      <c r="T1217" s="251"/>
      <c r="U1217" s="199"/>
      <c r="V1217" s="179"/>
      <c r="W1217" s="249"/>
      <c r="X1217" s="249"/>
      <c r="Y1217" s="152"/>
      <c r="Z1217" s="153"/>
      <c r="AA1217" s="153"/>
      <c r="AB1217" s="154"/>
      <c r="AC1217" s="247"/>
      <c r="AD1217" s="252"/>
      <c r="AE1217" s="252"/>
      <c r="AF1217" s="252"/>
      <c r="AG1217" s="252"/>
      <c r="AH1217" s="252"/>
      <c r="AI1217" s="252"/>
      <c r="AJ1217" s="252"/>
      <c r="AK1217" s="252"/>
      <c r="AL1217" s="252"/>
      <c r="AM1217" s="214"/>
      <c r="AN1217" s="203"/>
      <c r="AO1217" s="204"/>
      <c r="AP1217" s="203"/>
      <c r="AQ1217" s="205"/>
      <c r="AR1217" s="206"/>
      <c r="AS1217" s="253"/>
      <c r="AT1217" s="254"/>
      <c r="AU1217" s="255"/>
      <c r="AV1217" s="256"/>
      <c r="AW1217" s="257"/>
      <c r="AX1217" s="214"/>
      <c r="AY1217" s="212"/>
    </row>
    <row r="1218" spans="1:51" s="289" customFormat="1" ht="20.85" hidden="1" customHeight="1" x14ac:dyDescent="0.25">
      <c r="A1218" s="269"/>
      <c r="B1218" s="272"/>
      <c r="C1218" s="356" t="s">
        <v>477</v>
      </c>
      <c r="D1218" s="272">
        <f>D1191+D1216</f>
        <v>0</v>
      </c>
      <c r="E1218" s="272">
        <f t="shared" ref="E1218:AX1218" si="991">E1191+E1216</f>
        <v>0</v>
      </c>
      <c r="F1218" s="272">
        <f t="shared" si="991"/>
        <v>0</v>
      </c>
      <c r="G1218" s="272">
        <f t="shared" si="991"/>
        <v>0</v>
      </c>
      <c r="H1218" s="272">
        <f t="shared" si="991"/>
        <v>0</v>
      </c>
      <c r="I1218" s="272">
        <f t="shared" si="991"/>
        <v>0</v>
      </c>
      <c r="J1218" s="272">
        <f t="shared" si="991"/>
        <v>0</v>
      </c>
      <c r="K1218" s="272">
        <f t="shared" si="991"/>
        <v>4292491</v>
      </c>
      <c r="L1218" s="272">
        <f t="shared" si="991"/>
        <v>4363756</v>
      </c>
      <c r="M1218" s="272">
        <f t="shared" si="991"/>
        <v>4434012</v>
      </c>
      <c r="N1218" s="272">
        <f t="shared" si="991"/>
        <v>9184039</v>
      </c>
      <c r="O1218" s="272">
        <f t="shared" si="991"/>
        <v>9358888</v>
      </c>
      <c r="P1218" s="272">
        <f t="shared" si="991"/>
        <v>0</v>
      </c>
      <c r="Q1218" s="272">
        <f t="shared" si="991"/>
        <v>9358888</v>
      </c>
      <c r="R1218" s="272">
        <f t="shared" si="991"/>
        <v>5393951.3640000001</v>
      </c>
      <c r="S1218" s="272">
        <f t="shared" si="991"/>
        <v>4778176.6886684932</v>
      </c>
      <c r="T1218" s="272">
        <f t="shared" si="991"/>
        <v>5205128.1638000002</v>
      </c>
      <c r="U1218" s="272">
        <f t="shared" si="991"/>
        <v>0</v>
      </c>
      <c r="V1218" s="272">
        <f t="shared" si="991"/>
        <v>17.2</v>
      </c>
      <c r="W1218" s="272">
        <f t="shared" si="991"/>
        <v>163588.88267397261</v>
      </c>
      <c r="X1218" s="272">
        <f t="shared" si="991"/>
        <v>0</v>
      </c>
      <c r="Y1218" s="272">
        <f t="shared" si="991"/>
        <v>0</v>
      </c>
      <c r="Z1218" s="272">
        <f t="shared" si="991"/>
        <v>0</v>
      </c>
      <c r="AA1218" s="272">
        <f t="shared" si="991"/>
        <v>0</v>
      </c>
      <c r="AB1218" s="272">
        <f t="shared" si="991"/>
        <v>0</v>
      </c>
      <c r="AC1218" s="272">
        <f t="shared" si="991"/>
        <v>85066.218990465757</v>
      </c>
      <c r="AD1218" s="272">
        <f t="shared" si="991"/>
        <v>40897.220668493152</v>
      </c>
      <c r="AE1218" s="272">
        <f t="shared" si="991"/>
        <v>14722.999440657535</v>
      </c>
      <c r="AF1218" s="272">
        <f t="shared" si="991"/>
        <v>8179.4441336986301</v>
      </c>
      <c r="AG1218" s="272">
        <f t="shared" si="991"/>
        <v>4907.6664802191772</v>
      </c>
      <c r="AH1218" s="272">
        <f t="shared" si="991"/>
        <v>1635.888826739726</v>
      </c>
      <c r="AI1218" s="272">
        <f t="shared" si="991"/>
        <v>3271.7776534794521</v>
      </c>
      <c r="AJ1218" s="272">
        <f t="shared" si="991"/>
        <v>1635.888826739726</v>
      </c>
      <c r="AK1218" s="272">
        <f t="shared" si="991"/>
        <v>6543.5553069589041</v>
      </c>
      <c r="AL1218" s="272">
        <f t="shared" si="991"/>
        <v>1635.888826739726</v>
      </c>
      <c r="AM1218" s="272">
        <f t="shared" si="991"/>
        <v>73614.997203287669</v>
      </c>
      <c r="AN1218" s="272"/>
      <c r="AO1218" s="272"/>
      <c r="AP1218" s="272">
        <f t="shared" si="991"/>
        <v>1232845081.1628993</v>
      </c>
      <c r="AQ1218" s="272">
        <f t="shared" si="991"/>
        <v>342456.99438625161</v>
      </c>
      <c r="AR1218" s="272">
        <f t="shared" si="991"/>
        <v>68491.398877250322</v>
      </c>
      <c r="AS1218" s="272">
        <f t="shared" si="991"/>
        <v>0</v>
      </c>
      <c r="AT1218" s="272">
        <f t="shared" si="991"/>
        <v>0</v>
      </c>
      <c r="AU1218" s="272">
        <f t="shared" si="991"/>
        <v>0</v>
      </c>
      <c r="AV1218" s="272">
        <f t="shared" si="991"/>
        <v>9.7733160498359481</v>
      </c>
      <c r="AW1218" s="272">
        <f t="shared" si="991"/>
        <v>0</v>
      </c>
      <c r="AX1218" s="272">
        <f t="shared" si="991"/>
        <v>9.7733160498359481</v>
      </c>
      <c r="AY1218" s="288"/>
    </row>
    <row r="1219" spans="1:51" s="139" customFormat="1" ht="10.9" hidden="1" customHeight="1" x14ac:dyDescent="0.25">
      <c r="Q1219" s="310"/>
      <c r="R1219" s="310"/>
      <c r="S1219" s="310"/>
      <c r="T1219" s="310"/>
      <c r="U1219" s="311"/>
      <c r="V1219" s="312"/>
      <c r="W1219" s="310"/>
      <c r="X1219" s="310"/>
      <c r="Z1219" s="86"/>
      <c r="AA1219" s="86"/>
      <c r="AB1219" s="313"/>
      <c r="AD1219" s="314"/>
      <c r="AE1219" s="314"/>
      <c r="AF1219" s="314"/>
      <c r="AG1219" s="314"/>
      <c r="AH1219" s="314"/>
      <c r="AI1219" s="314"/>
      <c r="AJ1219" s="314"/>
      <c r="AK1219" s="314"/>
      <c r="AL1219" s="314"/>
      <c r="AM1219" s="315"/>
      <c r="AN1219" s="310"/>
      <c r="AO1219" s="316"/>
      <c r="AP1219" s="310"/>
      <c r="AQ1219" s="317"/>
      <c r="AR1219" s="317"/>
      <c r="AS1219" s="318"/>
      <c r="AT1219" s="318"/>
      <c r="AU1219" s="319"/>
      <c r="AV1219" s="310"/>
      <c r="AW1219" s="310"/>
      <c r="AX1219" s="310"/>
      <c r="AY1219" s="310"/>
    </row>
    <row r="1220" spans="1:51" s="139" customFormat="1" ht="10.9" hidden="1" customHeight="1" x14ac:dyDescent="0.25">
      <c r="Q1220" s="310"/>
      <c r="R1220" s="310"/>
      <c r="S1220" s="310"/>
      <c r="T1220" s="310"/>
      <c r="U1220" s="311"/>
      <c r="V1220" s="312"/>
      <c r="W1220" s="310"/>
      <c r="X1220" s="310"/>
      <c r="Z1220" s="86"/>
      <c r="AA1220" s="86"/>
      <c r="AB1220" s="313"/>
      <c r="AD1220" s="314"/>
      <c r="AE1220" s="314"/>
      <c r="AF1220" s="314"/>
      <c r="AG1220" s="314"/>
      <c r="AH1220" s="314"/>
      <c r="AI1220" s="314"/>
      <c r="AJ1220" s="314"/>
      <c r="AK1220" s="314"/>
      <c r="AL1220" s="314"/>
      <c r="AM1220" s="315"/>
      <c r="AN1220" s="310"/>
      <c r="AO1220" s="316"/>
      <c r="AP1220" s="310"/>
      <c r="AQ1220" s="317"/>
      <c r="AR1220" s="317"/>
      <c r="AS1220" s="318"/>
      <c r="AT1220" s="318"/>
      <c r="AU1220" s="319"/>
      <c r="AV1220" s="310"/>
      <c r="AW1220" s="310"/>
      <c r="AX1220" s="310"/>
      <c r="AY1220" s="310"/>
    </row>
    <row r="1221" spans="1:51" s="326" customFormat="1" ht="24.75" hidden="1" customHeight="1" x14ac:dyDescent="0.25">
      <c r="A1221" s="290"/>
      <c r="B1221" s="291" t="s">
        <v>478</v>
      </c>
      <c r="C1221" s="320"/>
      <c r="D1221" s="321"/>
      <c r="E1221" s="321"/>
      <c r="F1221" s="321"/>
      <c r="G1221" s="321"/>
      <c r="H1221" s="321"/>
      <c r="I1221" s="321"/>
      <c r="J1221" s="321"/>
      <c r="K1221" s="321"/>
      <c r="L1221" s="321"/>
      <c r="M1221" s="321"/>
      <c r="N1221" s="321"/>
      <c r="O1221" s="321"/>
      <c r="P1221" s="321"/>
      <c r="Q1221" s="321"/>
      <c r="R1221" s="321"/>
      <c r="S1221" s="322"/>
      <c r="T1221" s="321"/>
      <c r="U1221" s="321"/>
      <c r="V1221" s="321"/>
      <c r="W1221" s="321"/>
      <c r="X1221" s="321"/>
      <c r="Y1221" s="321"/>
      <c r="Z1221" s="321"/>
      <c r="AA1221" s="321"/>
      <c r="AB1221" s="323"/>
      <c r="AC1221" s="323"/>
      <c r="AD1221" s="323"/>
      <c r="AE1221" s="323"/>
      <c r="AF1221" s="323"/>
      <c r="AG1221" s="323"/>
      <c r="AH1221" s="323"/>
      <c r="AI1221" s="323"/>
      <c r="AJ1221" s="323"/>
      <c r="AK1221" s="323"/>
      <c r="AL1221" s="323"/>
      <c r="AM1221" s="323"/>
      <c r="AN1221" s="324"/>
      <c r="AO1221" s="321"/>
      <c r="AP1221" s="325"/>
      <c r="AQ1221" s="325"/>
      <c r="AR1221" s="325"/>
      <c r="AS1221" s="325"/>
      <c r="AT1221" s="325"/>
      <c r="AU1221" s="325"/>
      <c r="AV1221" s="325"/>
      <c r="AW1221" s="325"/>
      <c r="AX1221" s="325"/>
      <c r="AY1221" s="325"/>
    </row>
    <row r="1222" spans="1:51" s="139" customFormat="1" ht="15" hidden="1" customHeight="1" x14ac:dyDescent="0.25">
      <c r="A1222" s="1"/>
      <c r="B1222" s="126"/>
      <c r="C1222" s="352" t="s">
        <v>479</v>
      </c>
      <c r="D1222" s="122"/>
      <c r="E1222" s="123"/>
      <c r="F1222" s="123"/>
      <c r="G1222" s="123"/>
      <c r="H1222" s="123"/>
      <c r="I1222" s="123"/>
      <c r="J1222" s="123"/>
      <c r="K1222" s="123"/>
      <c r="L1222" s="123"/>
      <c r="M1222" s="123"/>
      <c r="N1222" s="123"/>
      <c r="O1222" s="123"/>
      <c r="P1222" s="213"/>
      <c r="Q1222" s="76"/>
      <c r="R1222" s="108"/>
      <c r="S1222" s="108"/>
      <c r="T1222" s="94"/>
      <c r="U1222" s="120"/>
      <c r="V1222" s="67"/>
      <c r="W1222" s="123"/>
      <c r="X1222" s="123"/>
      <c r="Y1222" s="125"/>
      <c r="Z1222" s="126"/>
      <c r="AA1222" s="126"/>
      <c r="AB1222" s="127"/>
      <c r="AC1222" s="62"/>
      <c r="AD1222" s="215"/>
      <c r="AE1222" s="215"/>
      <c r="AF1222" s="215"/>
      <c r="AG1222" s="215"/>
      <c r="AH1222" s="215"/>
      <c r="AI1222" s="215"/>
      <c r="AJ1222" s="215"/>
      <c r="AK1222" s="215"/>
      <c r="AL1222" s="215"/>
      <c r="AM1222" s="125"/>
      <c r="AN1222" s="75"/>
      <c r="AO1222" s="216"/>
      <c r="AP1222" s="75"/>
      <c r="AQ1222" s="51"/>
      <c r="AR1222" s="217"/>
      <c r="AS1222" s="218"/>
      <c r="AT1222" s="219"/>
      <c r="AU1222" s="220"/>
      <c r="AV1222" s="135"/>
      <c r="AW1222" s="136"/>
      <c r="AX1222" s="137"/>
      <c r="AY1222" s="138"/>
    </row>
    <row r="1223" spans="1:51" s="139" customFormat="1" ht="11.25" hidden="1" x14ac:dyDescent="0.25">
      <c r="A1223" s="1"/>
      <c r="B1223" s="357">
        <v>1</v>
      </c>
      <c r="C1223" s="141" t="s">
        <v>480</v>
      </c>
      <c r="D1223" s="142"/>
      <c r="E1223" s="143"/>
      <c r="F1223" s="143"/>
      <c r="G1223" s="143"/>
      <c r="H1223" s="143"/>
      <c r="I1223" s="143"/>
      <c r="J1223" s="143"/>
      <c r="K1223" s="143"/>
      <c r="L1223" s="143"/>
      <c r="M1223" s="143"/>
      <c r="N1223" s="222"/>
      <c r="O1223" s="222">
        <v>215904</v>
      </c>
      <c r="P1223" s="145"/>
      <c r="Q1223" s="223">
        <f t="shared" ref="Q1223:Q1239" si="992">MAX(D1223:P1223)</f>
        <v>215904</v>
      </c>
      <c r="R1223" s="147">
        <f t="shared" ref="R1223:R1239" si="993">Q1223*$R$10</f>
        <v>23749.439999999999</v>
      </c>
      <c r="S1223" s="147">
        <f t="shared" ref="S1223:S1234" si="994">R1223/$S$5</f>
        <v>65.066958904109583</v>
      </c>
      <c r="T1223" s="148">
        <f t="shared" ref="T1223:T1234" si="995">S1223*$T$5*$T$10</f>
        <v>14249.663999999999</v>
      </c>
      <c r="U1223" s="420"/>
      <c r="V1223" s="407"/>
      <c r="W1223" s="236"/>
      <c r="X1223" s="236"/>
      <c r="Y1223" s="408"/>
      <c r="Z1223" s="409"/>
      <c r="AA1223" s="409"/>
      <c r="AB1223" s="410"/>
      <c r="AC1223" s="155"/>
      <c r="AD1223" s="156"/>
      <c r="AE1223" s="156"/>
      <c r="AF1223" s="156"/>
      <c r="AG1223" s="156"/>
      <c r="AH1223" s="156"/>
      <c r="AI1223" s="156"/>
      <c r="AJ1223" s="156"/>
      <c r="AK1223" s="156"/>
      <c r="AL1223" s="156"/>
      <c r="AM1223" s="157"/>
      <c r="AN1223" s="158">
        <f t="shared" ref="AN1223:AN1238" si="996">$AN$641</f>
        <v>4000</v>
      </c>
      <c r="AO1223" s="159"/>
      <c r="AP1223" s="160"/>
      <c r="AQ1223" s="161"/>
      <c r="AR1223" s="162"/>
      <c r="AS1223" s="163"/>
      <c r="AT1223" s="164"/>
      <c r="AU1223" s="165"/>
      <c r="AV1223" s="166"/>
      <c r="AW1223" s="167"/>
      <c r="AX1223" s="146"/>
      <c r="AY1223" s="168"/>
    </row>
    <row r="1224" spans="1:51" s="139" customFormat="1" ht="11.25" hidden="1" x14ac:dyDescent="0.25">
      <c r="A1224" s="1"/>
      <c r="B1224" s="357">
        <v>2</v>
      </c>
      <c r="C1224" s="169" t="s">
        <v>481</v>
      </c>
      <c r="D1224" s="142"/>
      <c r="E1224" s="143"/>
      <c r="F1224" s="143"/>
      <c r="G1224" s="143"/>
      <c r="H1224" s="143"/>
      <c r="I1224" s="143"/>
      <c r="J1224" s="143"/>
      <c r="K1224" s="143"/>
      <c r="L1224" s="143"/>
      <c r="M1224" s="143"/>
      <c r="N1224" s="222"/>
      <c r="O1224" s="222">
        <v>57648</v>
      </c>
      <c r="P1224" s="145"/>
      <c r="Q1224" s="223">
        <f t="shared" si="992"/>
        <v>57648</v>
      </c>
      <c r="R1224" s="147">
        <f t="shared" si="993"/>
        <v>6341.28</v>
      </c>
      <c r="S1224" s="147">
        <f t="shared" si="994"/>
        <v>17.373369863013696</v>
      </c>
      <c r="T1224" s="148">
        <f t="shared" si="995"/>
        <v>3804.7679999999991</v>
      </c>
      <c r="U1224" s="420"/>
      <c r="V1224" s="407"/>
      <c r="W1224" s="236"/>
      <c r="X1224" s="236"/>
      <c r="Y1224" s="408"/>
      <c r="Z1224" s="409"/>
      <c r="AA1224" s="409"/>
      <c r="AB1224" s="410"/>
      <c r="AC1224" s="155"/>
      <c r="AD1224" s="156"/>
      <c r="AE1224" s="156"/>
      <c r="AF1224" s="156"/>
      <c r="AG1224" s="156"/>
      <c r="AH1224" s="156"/>
      <c r="AI1224" s="156"/>
      <c r="AJ1224" s="156"/>
      <c r="AK1224" s="156"/>
      <c r="AL1224" s="156"/>
      <c r="AM1224" s="157"/>
      <c r="AN1224" s="158">
        <f t="shared" si="996"/>
        <v>4000</v>
      </c>
      <c r="AO1224" s="159"/>
      <c r="AP1224" s="160"/>
      <c r="AQ1224" s="161"/>
      <c r="AR1224" s="162"/>
      <c r="AS1224" s="163"/>
      <c r="AT1224" s="164"/>
      <c r="AU1224" s="165"/>
      <c r="AV1224" s="166"/>
      <c r="AW1224" s="167"/>
      <c r="AX1224" s="146"/>
      <c r="AY1224" s="168"/>
    </row>
    <row r="1225" spans="1:51" s="139" customFormat="1" ht="11.25" hidden="1" x14ac:dyDescent="0.25">
      <c r="A1225" s="1"/>
      <c r="B1225" s="357">
        <v>3</v>
      </c>
      <c r="C1225" s="169" t="s">
        <v>482</v>
      </c>
      <c r="D1225" s="142"/>
      <c r="E1225" s="143"/>
      <c r="F1225" s="143"/>
      <c r="G1225" s="143"/>
      <c r="H1225" s="143"/>
      <c r="I1225" s="143"/>
      <c r="J1225" s="143"/>
      <c r="K1225" s="143"/>
      <c r="L1225" s="143"/>
      <c r="M1225" s="143"/>
      <c r="N1225" s="222"/>
      <c r="O1225" s="222">
        <v>64370</v>
      </c>
      <c r="P1225" s="145"/>
      <c r="Q1225" s="223">
        <f t="shared" si="992"/>
        <v>64370</v>
      </c>
      <c r="R1225" s="147">
        <f t="shared" si="993"/>
        <v>7080.7</v>
      </c>
      <c r="S1225" s="147">
        <f t="shared" si="994"/>
        <v>19.399178082191781</v>
      </c>
      <c r="T1225" s="148">
        <f t="shared" si="995"/>
        <v>4248.42</v>
      </c>
      <c r="U1225" s="420"/>
      <c r="V1225" s="407"/>
      <c r="W1225" s="236"/>
      <c r="X1225" s="236"/>
      <c r="Y1225" s="408"/>
      <c r="Z1225" s="409"/>
      <c r="AA1225" s="409"/>
      <c r="AB1225" s="410"/>
      <c r="AC1225" s="155"/>
      <c r="AD1225" s="156"/>
      <c r="AE1225" s="156"/>
      <c r="AF1225" s="156"/>
      <c r="AG1225" s="156"/>
      <c r="AH1225" s="156"/>
      <c r="AI1225" s="156"/>
      <c r="AJ1225" s="156"/>
      <c r="AK1225" s="156"/>
      <c r="AL1225" s="156"/>
      <c r="AM1225" s="157"/>
      <c r="AN1225" s="158">
        <f t="shared" si="996"/>
        <v>4000</v>
      </c>
      <c r="AO1225" s="159"/>
      <c r="AP1225" s="160"/>
      <c r="AQ1225" s="161"/>
      <c r="AR1225" s="162"/>
      <c r="AS1225" s="163"/>
      <c r="AT1225" s="164"/>
      <c r="AU1225" s="165"/>
      <c r="AV1225" s="166"/>
      <c r="AW1225" s="167"/>
      <c r="AX1225" s="146"/>
      <c r="AY1225" s="168"/>
    </row>
    <row r="1226" spans="1:51" s="139" customFormat="1" ht="11.25" hidden="1" x14ac:dyDescent="0.25">
      <c r="A1226" s="1"/>
      <c r="B1226" s="357">
        <v>4</v>
      </c>
      <c r="C1226" s="169" t="s">
        <v>483</v>
      </c>
      <c r="D1226" s="142"/>
      <c r="E1226" s="143"/>
      <c r="F1226" s="143"/>
      <c r="G1226" s="143"/>
      <c r="H1226" s="143"/>
      <c r="I1226" s="143"/>
      <c r="J1226" s="143"/>
      <c r="K1226" s="143"/>
      <c r="L1226" s="143"/>
      <c r="M1226" s="143"/>
      <c r="N1226" s="222"/>
      <c r="O1226" s="222">
        <v>71564</v>
      </c>
      <c r="P1226" s="145"/>
      <c r="Q1226" s="223">
        <f t="shared" si="992"/>
        <v>71564</v>
      </c>
      <c r="R1226" s="147">
        <f t="shared" si="993"/>
        <v>7872.04</v>
      </c>
      <c r="S1226" s="147">
        <f t="shared" si="994"/>
        <v>21.567232876712328</v>
      </c>
      <c r="T1226" s="148">
        <f t="shared" si="995"/>
        <v>4723.2240000000002</v>
      </c>
      <c r="U1226" s="420"/>
      <c r="V1226" s="407"/>
      <c r="W1226" s="236"/>
      <c r="X1226" s="236"/>
      <c r="Y1226" s="408"/>
      <c r="Z1226" s="409"/>
      <c r="AA1226" s="409"/>
      <c r="AB1226" s="410"/>
      <c r="AC1226" s="155"/>
      <c r="AD1226" s="156"/>
      <c r="AE1226" s="156"/>
      <c r="AF1226" s="156"/>
      <c r="AG1226" s="156"/>
      <c r="AH1226" s="156"/>
      <c r="AI1226" s="156"/>
      <c r="AJ1226" s="156"/>
      <c r="AK1226" s="156"/>
      <c r="AL1226" s="156"/>
      <c r="AM1226" s="157"/>
      <c r="AN1226" s="158">
        <f t="shared" si="996"/>
        <v>4000</v>
      </c>
      <c r="AO1226" s="159"/>
      <c r="AP1226" s="160"/>
      <c r="AQ1226" s="161"/>
      <c r="AR1226" s="162"/>
      <c r="AS1226" s="163"/>
      <c r="AT1226" s="164"/>
      <c r="AU1226" s="165"/>
      <c r="AV1226" s="166"/>
      <c r="AW1226" s="167"/>
      <c r="AX1226" s="146"/>
      <c r="AY1226" s="168"/>
    </row>
    <row r="1227" spans="1:51" s="139" customFormat="1" ht="11.25" hidden="1" x14ac:dyDescent="0.25">
      <c r="A1227" s="1"/>
      <c r="B1227" s="357">
        <v>5</v>
      </c>
      <c r="C1227" s="170" t="s">
        <v>484</v>
      </c>
      <c r="D1227" s="142"/>
      <c r="E1227" s="143"/>
      <c r="F1227" s="143"/>
      <c r="G1227" s="143"/>
      <c r="H1227" s="143"/>
      <c r="I1227" s="143"/>
      <c r="J1227" s="143"/>
      <c r="K1227" s="143"/>
      <c r="L1227" s="143"/>
      <c r="M1227" s="143"/>
      <c r="N1227" s="222"/>
      <c r="O1227" s="222">
        <v>127520</v>
      </c>
      <c r="P1227" s="145"/>
      <c r="Q1227" s="223">
        <f t="shared" si="992"/>
        <v>127520</v>
      </c>
      <c r="R1227" s="147">
        <f t="shared" si="993"/>
        <v>14027.2</v>
      </c>
      <c r="S1227" s="147">
        <f t="shared" si="994"/>
        <v>38.430684931506853</v>
      </c>
      <c r="T1227" s="148">
        <f t="shared" si="995"/>
        <v>8416.32</v>
      </c>
      <c r="U1227" s="420"/>
      <c r="V1227" s="407"/>
      <c r="W1227" s="236"/>
      <c r="X1227" s="236"/>
      <c r="Y1227" s="408"/>
      <c r="Z1227" s="409"/>
      <c r="AA1227" s="409"/>
      <c r="AB1227" s="410"/>
      <c r="AC1227" s="155"/>
      <c r="AD1227" s="156"/>
      <c r="AE1227" s="156"/>
      <c r="AF1227" s="156"/>
      <c r="AG1227" s="156"/>
      <c r="AH1227" s="156"/>
      <c r="AI1227" s="156"/>
      <c r="AJ1227" s="156"/>
      <c r="AK1227" s="156"/>
      <c r="AL1227" s="156"/>
      <c r="AM1227" s="157"/>
      <c r="AN1227" s="158">
        <f t="shared" si="996"/>
        <v>4000</v>
      </c>
      <c r="AO1227" s="159"/>
      <c r="AP1227" s="160"/>
      <c r="AQ1227" s="161"/>
      <c r="AR1227" s="162"/>
      <c r="AS1227" s="163"/>
      <c r="AT1227" s="164"/>
      <c r="AU1227" s="165"/>
      <c r="AV1227" s="166"/>
      <c r="AW1227" s="167"/>
      <c r="AX1227" s="146"/>
      <c r="AY1227" s="168"/>
    </row>
    <row r="1228" spans="1:51" s="139" customFormat="1" ht="11.25" hidden="1" x14ac:dyDescent="0.25">
      <c r="A1228" s="1"/>
      <c r="B1228" s="357">
        <v>6</v>
      </c>
      <c r="C1228" s="170" t="s">
        <v>485</v>
      </c>
      <c r="D1228" s="142"/>
      <c r="E1228" s="143"/>
      <c r="F1228" s="143"/>
      <c r="G1228" s="143"/>
      <c r="H1228" s="143"/>
      <c r="I1228" s="143"/>
      <c r="J1228" s="143"/>
      <c r="K1228" s="143"/>
      <c r="L1228" s="143"/>
      <c r="M1228" s="143"/>
      <c r="N1228" s="222"/>
      <c r="O1228" s="222">
        <v>64516</v>
      </c>
      <c r="P1228" s="145"/>
      <c r="Q1228" s="223">
        <f t="shared" si="992"/>
        <v>64516</v>
      </c>
      <c r="R1228" s="147">
        <f t="shared" si="993"/>
        <v>7096.76</v>
      </c>
      <c r="S1228" s="147">
        <f t="shared" si="994"/>
        <v>19.443178082191782</v>
      </c>
      <c r="T1228" s="148">
        <f t="shared" si="995"/>
        <v>4258.0559999999996</v>
      </c>
      <c r="U1228" s="420"/>
      <c r="V1228" s="407"/>
      <c r="W1228" s="236"/>
      <c r="X1228" s="236"/>
      <c r="Y1228" s="408"/>
      <c r="Z1228" s="409"/>
      <c r="AA1228" s="409"/>
      <c r="AB1228" s="410"/>
      <c r="AC1228" s="155"/>
      <c r="AD1228" s="156"/>
      <c r="AE1228" s="156"/>
      <c r="AF1228" s="156"/>
      <c r="AG1228" s="156"/>
      <c r="AH1228" s="156"/>
      <c r="AI1228" s="156"/>
      <c r="AJ1228" s="156"/>
      <c r="AK1228" s="156"/>
      <c r="AL1228" s="156"/>
      <c r="AM1228" s="157"/>
      <c r="AN1228" s="158">
        <f t="shared" si="996"/>
        <v>4000</v>
      </c>
      <c r="AO1228" s="159"/>
      <c r="AP1228" s="160"/>
      <c r="AQ1228" s="161"/>
      <c r="AR1228" s="162"/>
      <c r="AS1228" s="163"/>
      <c r="AT1228" s="164"/>
      <c r="AU1228" s="165"/>
      <c r="AV1228" s="166"/>
      <c r="AW1228" s="167"/>
      <c r="AX1228" s="146"/>
      <c r="AY1228" s="168"/>
    </row>
    <row r="1229" spans="1:51" s="139" customFormat="1" ht="11.25" hidden="1" x14ac:dyDescent="0.25">
      <c r="A1229" s="1"/>
      <c r="B1229" s="357">
        <v>7</v>
      </c>
      <c r="C1229" s="170" t="s">
        <v>486</v>
      </c>
      <c r="D1229" s="142"/>
      <c r="E1229" s="143"/>
      <c r="F1229" s="143"/>
      <c r="G1229" s="143"/>
      <c r="H1229" s="143"/>
      <c r="I1229" s="143"/>
      <c r="J1229" s="143"/>
      <c r="K1229" s="143"/>
      <c r="L1229" s="143"/>
      <c r="M1229" s="143"/>
      <c r="N1229" s="222"/>
      <c r="O1229" s="222">
        <v>84378</v>
      </c>
      <c r="P1229" s="145"/>
      <c r="Q1229" s="223">
        <f t="shared" si="992"/>
        <v>84378</v>
      </c>
      <c r="R1229" s="147">
        <f t="shared" si="993"/>
        <v>9281.58</v>
      </c>
      <c r="S1229" s="147">
        <f t="shared" si="994"/>
        <v>25.428986301369864</v>
      </c>
      <c r="T1229" s="148">
        <f t="shared" si="995"/>
        <v>5568.9479999999994</v>
      </c>
      <c r="U1229" s="420"/>
      <c r="V1229" s="407"/>
      <c r="W1229" s="236"/>
      <c r="X1229" s="236"/>
      <c r="Y1229" s="408"/>
      <c r="Z1229" s="409"/>
      <c r="AA1229" s="409"/>
      <c r="AB1229" s="410"/>
      <c r="AC1229" s="155"/>
      <c r="AD1229" s="156"/>
      <c r="AE1229" s="156"/>
      <c r="AF1229" s="156"/>
      <c r="AG1229" s="156"/>
      <c r="AH1229" s="156"/>
      <c r="AI1229" s="156"/>
      <c r="AJ1229" s="156"/>
      <c r="AK1229" s="156"/>
      <c r="AL1229" s="156"/>
      <c r="AM1229" s="157"/>
      <c r="AN1229" s="158">
        <f t="shared" si="996"/>
        <v>4000</v>
      </c>
      <c r="AO1229" s="159"/>
      <c r="AP1229" s="160"/>
      <c r="AQ1229" s="161"/>
      <c r="AR1229" s="162"/>
      <c r="AS1229" s="163"/>
      <c r="AT1229" s="164"/>
      <c r="AU1229" s="165"/>
      <c r="AV1229" s="166"/>
      <c r="AW1229" s="167"/>
      <c r="AX1229" s="146"/>
      <c r="AY1229" s="168"/>
    </row>
    <row r="1230" spans="1:51" s="139" customFormat="1" ht="11.25" hidden="1" x14ac:dyDescent="0.25">
      <c r="A1230" s="1"/>
      <c r="B1230" s="357">
        <v>8</v>
      </c>
      <c r="C1230" s="170" t="s">
        <v>487</v>
      </c>
      <c r="D1230" s="142"/>
      <c r="E1230" s="143"/>
      <c r="F1230" s="143"/>
      <c r="G1230" s="143"/>
      <c r="H1230" s="143"/>
      <c r="I1230" s="143"/>
      <c r="J1230" s="143"/>
      <c r="K1230" s="143"/>
      <c r="L1230" s="143"/>
      <c r="M1230" s="143"/>
      <c r="N1230" s="222"/>
      <c r="O1230" s="222">
        <v>313892</v>
      </c>
      <c r="P1230" s="145"/>
      <c r="Q1230" s="223">
        <f t="shared" si="992"/>
        <v>313892</v>
      </c>
      <c r="R1230" s="147">
        <f t="shared" si="993"/>
        <v>34528.120000000003</v>
      </c>
      <c r="S1230" s="147">
        <f t="shared" si="994"/>
        <v>94.597589041095901</v>
      </c>
      <c r="T1230" s="148">
        <f t="shared" si="995"/>
        <v>20716.871999999999</v>
      </c>
      <c r="U1230" s="420"/>
      <c r="V1230" s="407"/>
      <c r="W1230" s="236"/>
      <c r="X1230" s="236"/>
      <c r="Y1230" s="408"/>
      <c r="Z1230" s="409"/>
      <c r="AA1230" s="409"/>
      <c r="AB1230" s="410"/>
      <c r="AC1230" s="155"/>
      <c r="AD1230" s="156"/>
      <c r="AE1230" s="156"/>
      <c r="AF1230" s="156"/>
      <c r="AG1230" s="156"/>
      <c r="AH1230" s="156"/>
      <c r="AI1230" s="156"/>
      <c r="AJ1230" s="156"/>
      <c r="AK1230" s="156"/>
      <c r="AL1230" s="156"/>
      <c r="AM1230" s="157"/>
      <c r="AN1230" s="158">
        <f t="shared" si="996"/>
        <v>4000</v>
      </c>
      <c r="AO1230" s="159"/>
      <c r="AP1230" s="160"/>
      <c r="AQ1230" s="161"/>
      <c r="AR1230" s="162"/>
      <c r="AS1230" s="163"/>
      <c r="AT1230" s="164"/>
      <c r="AU1230" s="165"/>
      <c r="AV1230" s="166"/>
      <c r="AW1230" s="167"/>
      <c r="AX1230" s="146"/>
      <c r="AY1230" s="168"/>
    </row>
    <row r="1231" spans="1:51" s="139" customFormat="1" ht="11.25" hidden="1" x14ac:dyDescent="0.25">
      <c r="A1231" s="1"/>
      <c r="B1231" s="357">
        <v>9</v>
      </c>
      <c r="C1231" s="170" t="s">
        <v>488</v>
      </c>
      <c r="D1231" s="142"/>
      <c r="E1231" s="143"/>
      <c r="F1231" s="143"/>
      <c r="G1231" s="143"/>
      <c r="H1231" s="143"/>
      <c r="I1231" s="143"/>
      <c r="J1231" s="143"/>
      <c r="K1231" s="143"/>
      <c r="L1231" s="143"/>
      <c r="M1231" s="143"/>
      <c r="N1231" s="222"/>
      <c r="O1231" s="222">
        <v>197755</v>
      </c>
      <c r="P1231" s="145"/>
      <c r="Q1231" s="223">
        <f t="shared" si="992"/>
        <v>197755</v>
      </c>
      <c r="R1231" s="147">
        <f t="shared" si="993"/>
        <v>21753.05</v>
      </c>
      <c r="S1231" s="147">
        <f t="shared" si="994"/>
        <v>59.597397260273972</v>
      </c>
      <c r="T1231" s="148">
        <f t="shared" si="995"/>
        <v>13051.83</v>
      </c>
      <c r="U1231" s="420"/>
      <c r="V1231" s="407"/>
      <c r="W1231" s="236"/>
      <c r="X1231" s="236"/>
      <c r="Y1231" s="408"/>
      <c r="Z1231" s="409"/>
      <c r="AA1231" s="409"/>
      <c r="AB1231" s="410"/>
      <c r="AC1231" s="155"/>
      <c r="AD1231" s="156"/>
      <c r="AE1231" s="156"/>
      <c r="AF1231" s="156"/>
      <c r="AG1231" s="156"/>
      <c r="AH1231" s="156"/>
      <c r="AI1231" s="156"/>
      <c r="AJ1231" s="156"/>
      <c r="AK1231" s="156"/>
      <c r="AL1231" s="156"/>
      <c r="AM1231" s="157"/>
      <c r="AN1231" s="158">
        <f t="shared" si="996"/>
        <v>4000</v>
      </c>
      <c r="AO1231" s="159"/>
      <c r="AP1231" s="160"/>
      <c r="AQ1231" s="161"/>
      <c r="AR1231" s="162"/>
      <c r="AS1231" s="163"/>
      <c r="AT1231" s="164"/>
      <c r="AU1231" s="165"/>
      <c r="AV1231" s="166"/>
      <c r="AW1231" s="167"/>
      <c r="AX1231" s="146"/>
      <c r="AY1231" s="168"/>
    </row>
    <row r="1232" spans="1:51" s="139" customFormat="1" ht="11.25" hidden="1" x14ac:dyDescent="0.25">
      <c r="A1232" s="1"/>
      <c r="B1232" s="357">
        <v>10</v>
      </c>
      <c r="C1232" s="170" t="s">
        <v>489</v>
      </c>
      <c r="D1232" s="142"/>
      <c r="E1232" s="143"/>
      <c r="F1232" s="143"/>
      <c r="G1232" s="143"/>
      <c r="H1232" s="143"/>
      <c r="I1232" s="143"/>
      <c r="J1232" s="143"/>
      <c r="K1232" s="143"/>
      <c r="L1232" s="143"/>
      <c r="M1232" s="143"/>
      <c r="N1232" s="222"/>
      <c r="O1232" s="222">
        <v>101575</v>
      </c>
      <c r="P1232" s="145"/>
      <c r="Q1232" s="223">
        <f t="shared" si="992"/>
        <v>101575</v>
      </c>
      <c r="R1232" s="147">
        <f t="shared" si="993"/>
        <v>11173.25</v>
      </c>
      <c r="S1232" s="147">
        <f t="shared" si="994"/>
        <v>30.611643835616437</v>
      </c>
      <c r="T1232" s="148">
        <f t="shared" si="995"/>
        <v>6703.95</v>
      </c>
      <c r="U1232" s="420"/>
      <c r="V1232" s="407"/>
      <c r="W1232" s="236"/>
      <c r="X1232" s="236"/>
      <c r="Y1232" s="408"/>
      <c r="Z1232" s="409"/>
      <c r="AA1232" s="409"/>
      <c r="AB1232" s="410"/>
      <c r="AC1232" s="155"/>
      <c r="AD1232" s="156"/>
      <c r="AE1232" s="156"/>
      <c r="AF1232" s="156"/>
      <c r="AG1232" s="156"/>
      <c r="AH1232" s="156"/>
      <c r="AI1232" s="156"/>
      <c r="AJ1232" s="156"/>
      <c r="AK1232" s="156"/>
      <c r="AL1232" s="156"/>
      <c r="AM1232" s="157"/>
      <c r="AN1232" s="158">
        <f t="shared" si="996"/>
        <v>4000</v>
      </c>
      <c r="AO1232" s="159"/>
      <c r="AP1232" s="160"/>
      <c r="AQ1232" s="161"/>
      <c r="AR1232" s="162"/>
      <c r="AS1232" s="163"/>
      <c r="AT1232" s="164"/>
      <c r="AU1232" s="165"/>
      <c r="AV1232" s="166"/>
      <c r="AW1232" s="167"/>
      <c r="AX1232" s="146"/>
      <c r="AY1232" s="168"/>
    </row>
    <row r="1233" spans="1:51" s="139" customFormat="1" ht="11.25" hidden="1" x14ac:dyDescent="0.25">
      <c r="A1233" s="1"/>
      <c r="B1233" s="357">
        <v>11</v>
      </c>
      <c r="C1233" s="170" t="s">
        <v>490</v>
      </c>
      <c r="D1233" s="142"/>
      <c r="E1233" s="143"/>
      <c r="F1233" s="143"/>
      <c r="G1233" s="143"/>
      <c r="H1233" s="143"/>
      <c r="I1233" s="143"/>
      <c r="J1233" s="143"/>
      <c r="K1233" s="143"/>
      <c r="L1233" s="143"/>
      <c r="M1233" s="143"/>
      <c r="N1233" s="222"/>
      <c r="O1233" s="222">
        <v>191036</v>
      </c>
      <c r="P1233" s="145"/>
      <c r="Q1233" s="223">
        <f t="shared" si="992"/>
        <v>191036</v>
      </c>
      <c r="R1233" s="147">
        <f t="shared" si="993"/>
        <v>21013.96</v>
      </c>
      <c r="S1233" s="147">
        <f t="shared" si="994"/>
        <v>57.572493150684927</v>
      </c>
      <c r="T1233" s="148">
        <f t="shared" si="995"/>
        <v>12608.375999999998</v>
      </c>
      <c r="U1233" s="420"/>
      <c r="V1233" s="407"/>
      <c r="W1233" s="236"/>
      <c r="X1233" s="236"/>
      <c r="Y1233" s="408"/>
      <c r="Z1233" s="409"/>
      <c r="AA1233" s="409"/>
      <c r="AB1233" s="410"/>
      <c r="AC1233" s="155"/>
      <c r="AD1233" s="156"/>
      <c r="AE1233" s="156"/>
      <c r="AF1233" s="156"/>
      <c r="AG1233" s="156"/>
      <c r="AH1233" s="156"/>
      <c r="AI1233" s="156"/>
      <c r="AJ1233" s="156"/>
      <c r="AK1233" s="156"/>
      <c r="AL1233" s="156"/>
      <c r="AM1233" s="157"/>
      <c r="AN1233" s="158">
        <f t="shared" si="996"/>
        <v>4000</v>
      </c>
      <c r="AO1233" s="159"/>
      <c r="AP1233" s="160"/>
      <c r="AQ1233" s="161"/>
      <c r="AR1233" s="162"/>
      <c r="AS1233" s="163"/>
      <c r="AT1233" s="164"/>
      <c r="AU1233" s="165"/>
      <c r="AV1233" s="166"/>
      <c r="AW1233" s="167"/>
      <c r="AX1233" s="146"/>
      <c r="AY1233" s="168"/>
    </row>
    <row r="1234" spans="1:51" s="139" customFormat="1" ht="11.25" hidden="1" x14ac:dyDescent="0.25">
      <c r="A1234" s="1"/>
      <c r="B1234" s="357">
        <v>12</v>
      </c>
      <c r="C1234" s="170" t="s">
        <v>491</v>
      </c>
      <c r="D1234" s="142"/>
      <c r="E1234" s="143"/>
      <c r="F1234" s="143"/>
      <c r="G1234" s="143"/>
      <c r="H1234" s="143"/>
      <c r="I1234" s="143"/>
      <c r="J1234" s="143"/>
      <c r="K1234" s="143"/>
      <c r="L1234" s="143"/>
      <c r="M1234" s="143"/>
      <c r="N1234" s="222"/>
      <c r="O1234" s="222">
        <v>189920</v>
      </c>
      <c r="P1234" s="145"/>
      <c r="Q1234" s="223">
        <f t="shared" si="992"/>
        <v>189920</v>
      </c>
      <c r="R1234" s="147">
        <f t="shared" si="993"/>
        <v>20891.2</v>
      </c>
      <c r="S1234" s="147">
        <f t="shared" si="994"/>
        <v>57.236164383561643</v>
      </c>
      <c r="T1234" s="148">
        <f t="shared" si="995"/>
        <v>12534.72</v>
      </c>
      <c r="U1234" s="420"/>
      <c r="V1234" s="407"/>
      <c r="W1234" s="236"/>
      <c r="X1234" s="236"/>
      <c r="Y1234" s="408"/>
      <c r="Z1234" s="409"/>
      <c r="AA1234" s="409"/>
      <c r="AB1234" s="410"/>
      <c r="AC1234" s="155"/>
      <c r="AD1234" s="156"/>
      <c r="AE1234" s="156"/>
      <c r="AF1234" s="156"/>
      <c r="AG1234" s="156"/>
      <c r="AH1234" s="156"/>
      <c r="AI1234" s="156"/>
      <c r="AJ1234" s="156"/>
      <c r="AK1234" s="156"/>
      <c r="AL1234" s="156"/>
      <c r="AM1234" s="157"/>
      <c r="AN1234" s="158">
        <f t="shared" si="996"/>
        <v>4000</v>
      </c>
      <c r="AO1234" s="159"/>
      <c r="AP1234" s="160"/>
      <c r="AQ1234" s="161"/>
      <c r="AR1234" s="162"/>
      <c r="AS1234" s="163"/>
      <c r="AT1234" s="164"/>
      <c r="AU1234" s="165"/>
      <c r="AV1234" s="166"/>
      <c r="AW1234" s="167"/>
      <c r="AX1234" s="146"/>
      <c r="AY1234" s="168"/>
    </row>
    <row r="1235" spans="1:51" s="139" customFormat="1" ht="11.25" hidden="1" x14ac:dyDescent="0.25">
      <c r="A1235" s="1"/>
      <c r="B1235" s="357"/>
      <c r="C1235" s="170"/>
      <c r="D1235" s="142"/>
      <c r="E1235" s="143"/>
      <c r="F1235" s="143"/>
      <c r="G1235" s="143"/>
      <c r="H1235" s="143"/>
      <c r="I1235" s="143"/>
      <c r="J1235" s="143"/>
      <c r="K1235" s="143"/>
      <c r="L1235" s="143"/>
      <c r="M1235" s="143"/>
      <c r="N1235" s="222"/>
      <c r="O1235" s="222"/>
      <c r="P1235" s="145"/>
      <c r="Q1235" s="223"/>
      <c r="R1235" s="147"/>
      <c r="S1235" s="147"/>
      <c r="T1235" s="148"/>
      <c r="U1235" s="420" t="s">
        <v>782</v>
      </c>
      <c r="V1235" s="407"/>
      <c r="W1235" s="236">
        <f>(126*0.25)*365</f>
        <v>11497.5</v>
      </c>
      <c r="X1235" s="236"/>
      <c r="Y1235" s="408"/>
      <c r="Z1235" s="409"/>
      <c r="AA1235" s="409"/>
      <c r="AB1235" s="410"/>
      <c r="AC1235" s="411">
        <f>W1235*52%</f>
        <v>5978.7</v>
      </c>
      <c r="AD1235" s="412">
        <f>W1235*25%</f>
        <v>2874.375</v>
      </c>
      <c r="AE1235" s="412">
        <f>W1235*9%</f>
        <v>1034.7749999999999</v>
      </c>
      <c r="AF1235" s="412">
        <f>W1235*5%</f>
        <v>574.875</v>
      </c>
      <c r="AG1235" s="412">
        <f>W1235*3%</f>
        <v>344.92500000000001</v>
      </c>
      <c r="AH1235" s="412">
        <f>W1235*1%</f>
        <v>114.97500000000001</v>
      </c>
      <c r="AI1235" s="412">
        <f>W1235*2%</f>
        <v>229.95000000000002</v>
      </c>
      <c r="AJ1235" s="412">
        <f>W1235*1%</f>
        <v>114.97500000000001</v>
      </c>
      <c r="AK1235" s="412">
        <f>W1235*4%</f>
        <v>459.90000000000003</v>
      </c>
      <c r="AL1235" s="412">
        <f>W1235*1%</f>
        <v>114.97500000000001</v>
      </c>
      <c r="AM1235" s="413">
        <f>SUM(AD1235:AI1235)</f>
        <v>5173.875</v>
      </c>
      <c r="AN1235" s="158">
        <f t="shared" si="996"/>
        <v>4000</v>
      </c>
      <c r="AO1235" s="159">
        <v>0.2</v>
      </c>
      <c r="AP1235" s="160">
        <f>AM1235*AN1235*$AP$5</f>
        <v>86647919.399999991</v>
      </c>
      <c r="AQ1235" s="161">
        <f>AP1235*$AQ$5</f>
        <v>24068.868425509318</v>
      </c>
      <c r="AR1235" s="162">
        <f>AQ1235*$AR$5</f>
        <v>4813.7736851018635</v>
      </c>
      <c r="AS1235" s="163"/>
      <c r="AT1235" s="233"/>
      <c r="AU1235" s="187"/>
      <c r="AV1235" s="414">
        <f>AR1235/$AV$5</f>
        <v>0.68689692995174989</v>
      </c>
      <c r="AW1235" s="415"/>
      <c r="AX1235" s="146">
        <f>SUM(AU1235:AV1235)</f>
        <v>0.68689692995174989</v>
      </c>
      <c r="AY1235" s="168"/>
    </row>
    <row r="1236" spans="1:51" s="139" customFormat="1" ht="11.25" hidden="1" x14ac:dyDescent="0.25">
      <c r="A1236" s="1"/>
      <c r="B1236" s="357">
        <v>13</v>
      </c>
      <c r="C1236" s="170" t="s">
        <v>492</v>
      </c>
      <c r="D1236" s="142"/>
      <c r="E1236" s="143"/>
      <c r="F1236" s="143"/>
      <c r="G1236" s="143"/>
      <c r="H1236" s="143"/>
      <c r="I1236" s="143"/>
      <c r="J1236" s="143"/>
      <c r="K1236" s="143"/>
      <c r="L1236" s="143"/>
      <c r="M1236" s="143"/>
      <c r="N1236" s="222"/>
      <c r="O1236" s="222">
        <v>108891</v>
      </c>
      <c r="P1236" s="145"/>
      <c r="Q1236" s="223">
        <f t="shared" si="992"/>
        <v>108891</v>
      </c>
      <c r="R1236" s="147">
        <f t="shared" si="993"/>
        <v>11978.01</v>
      </c>
      <c r="S1236" s="147">
        <f>R1236/$S$5</f>
        <v>32.816465753424659</v>
      </c>
      <c r="T1236" s="148">
        <f>S1236*$T$5*$T$10</f>
        <v>7186.8059999999996</v>
      </c>
      <c r="U1236" s="420"/>
      <c r="V1236" s="407"/>
      <c r="W1236" s="236"/>
      <c r="X1236" s="236"/>
      <c r="Y1236" s="408"/>
      <c r="Z1236" s="409"/>
      <c r="AA1236" s="409"/>
      <c r="AB1236" s="410"/>
      <c r="AC1236" s="155"/>
      <c r="AD1236" s="156"/>
      <c r="AE1236" s="156"/>
      <c r="AF1236" s="156"/>
      <c r="AG1236" s="156"/>
      <c r="AH1236" s="156"/>
      <c r="AI1236" s="156"/>
      <c r="AJ1236" s="156"/>
      <c r="AK1236" s="156"/>
      <c r="AL1236" s="156"/>
      <c r="AM1236" s="157"/>
      <c r="AN1236" s="158">
        <f t="shared" si="996"/>
        <v>4000</v>
      </c>
      <c r="AO1236" s="159"/>
      <c r="AP1236" s="160"/>
      <c r="AQ1236" s="161"/>
      <c r="AR1236" s="162"/>
      <c r="AS1236" s="163"/>
      <c r="AT1236" s="164"/>
      <c r="AU1236" s="165"/>
      <c r="AV1236" s="166"/>
      <c r="AW1236" s="167"/>
      <c r="AX1236" s="146"/>
      <c r="AY1236" s="168"/>
    </row>
    <row r="1237" spans="1:51" s="139" customFormat="1" ht="11.25" hidden="1" x14ac:dyDescent="0.25">
      <c r="A1237" s="1"/>
      <c r="B1237" s="357">
        <v>14</v>
      </c>
      <c r="C1237" s="232" t="s">
        <v>493</v>
      </c>
      <c r="D1237" s="142"/>
      <c r="E1237" s="143"/>
      <c r="F1237" s="143"/>
      <c r="G1237" s="143"/>
      <c r="H1237" s="143"/>
      <c r="I1237" s="143"/>
      <c r="J1237" s="143"/>
      <c r="K1237" s="143"/>
      <c r="L1237" s="143"/>
      <c r="M1237" s="143"/>
      <c r="N1237" s="222"/>
      <c r="O1237" s="222">
        <v>415114</v>
      </c>
      <c r="P1237" s="145"/>
      <c r="Q1237" s="304">
        <f t="shared" si="992"/>
        <v>415114</v>
      </c>
      <c r="R1237" s="147">
        <f>Q1237*$R$8</f>
        <v>68078.695999999996</v>
      </c>
      <c r="S1237" s="147">
        <f>R1237/$S$5</f>
        <v>186.51697534246574</v>
      </c>
      <c r="T1237" s="148">
        <f>S1237*$T$5*$T$9</f>
        <v>47655.087199999994</v>
      </c>
      <c r="U1237" s="420"/>
      <c r="V1237" s="407"/>
      <c r="W1237" s="236"/>
      <c r="X1237" s="236"/>
      <c r="Y1237" s="408"/>
      <c r="Z1237" s="409"/>
      <c r="AA1237" s="409"/>
      <c r="AB1237" s="410"/>
      <c r="AC1237" s="155"/>
      <c r="AD1237" s="156"/>
      <c r="AE1237" s="156"/>
      <c r="AF1237" s="156"/>
      <c r="AG1237" s="156"/>
      <c r="AH1237" s="156"/>
      <c r="AI1237" s="156"/>
      <c r="AJ1237" s="156"/>
      <c r="AK1237" s="156"/>
      <c r="AL1237" s="156"/>
      <c r="AM1237" s="157"/>
      <c r="AN1237" s="158">
        <f t="shared" si="996"/>
        <v>4000</v>
      </c>
      <c r="AO1237" s="159"/>
      <c r="AP1237" s="160"/>
      <c r="AQ1237" s="161"/>
      <c r="AR1237" s="162"/>
      <c r="AS1237" s="163"/>
      <c r="AT1237" s="164"/>
      <c r="AU1237" s="165"/>
      <c r="AV1237" s="166"/>
      <c r="AW1237" s="167"/>
      <c r="AX1237" s="146"/>
      <c r="AY1237" s="168"/>
    </row>
    <row r="1238" spans="1:51" s="139" customFormat="1" ht="11.25" hidden="1" x14ac:dyDescent="0.25">
      <c r="A1238" s="1"/>
      <c r="B1238" s="357"/>
      <c r="C1238" s="232"/>
      <c r="D1238" s="142"/>
      <c r="E1238" s="143"/>
      <c r="F1238" s="143"/>
      <c r="G1238" s="143"/>
      <c r="H1238" s="143"/>
      <c r="I1238" s="143"/>
      <c r="J1238" s="143"/>
      <c r="K1238" s="143"/>
      <c r="L1238" s="143"/>
      <c r="M1238" s="143"/>
      <c r="N1238" s="222"/>
      <c r="O1238" s="222"/>
      <c r="P1238" s="145"/>
      <c r="Q1238" s="304"/>
      <c r="R1238" s="147"/>
      <c r="S1238" s="147"/>
      <c r="T1238" s="148"/>
      <c r="U1238" s="420" t="s">
        <v>783</v>
      </c>
      <c r="V1238" s="407">
        <v>5</v>
      </c>
      <c r="W1238" s="236">
        <f>(605*0.25)*365</f>
        <v>55206.25</v>
      </c>
      <c r="X1238" s="236"/>
      <c r="Y1238" s="408"/>
      <c r="Z1238" s="409"/>
      <c r="AA1238" s="409"/>
      <c r="AB1238" s="410"/>
      <c r="AC1238" s="411">
        <f>W1238*52%</f>
        <v>28707.25</v>
      </c>
      <c r="AD1238" s="412">
        <f>W1238*25%</f>
        <v>13801.5625</v>
      </c>
      <c r="AE1238" s="412">
        <f>W1238*9%</f>
        <v>4968.5625</v>
      </c>
      <c r="AF1238" s="412">
        <f>W1238*5%</f>
        <v>2760.3125</v>
      </c>
      <c r="AG1238" s="412">
        <f>W1238*3%</f>
        <v>1656.1875</v>
      </c>
      <c r="AH1238" s="412">
        <f>W1238*1%</f>
        <v>552.0625</v>
      </c>
      <c r="AI1238" s="412">
        <f>W1238*2%</f>
        <v>1104.125</v>
      </c>
      <c r="AJ1238" s="412">
        <f>W1238*1%</f>
        <v>552.0625</v>
      </c>
      <c r="AK1238" s="412">
        <f>W1238*4%</f>
        <v>2208.25</v>
      </c>
      <c r="AL1238" s="412">
        <f>W1238*1%</f>
        <v>552.0625</v>
      </c>
      <c r="AM1238" s="413">
        <f>SUM(AD1238:AI1238)</f>
        <v>24842.8125</v>
      </c>
      <c r="AN1238" s="158">
        <f t="shared" si="996"/>
        <v>4000</v>
      </c>
      <c r="AO1238" s="159">
        <v>0.2</v>
      </c>
      <c r="AP1238" s="160">
        <f>AM1238*AN1238*$AP$5</f>
        <v>416047549.5</v>
      </c>
      <c r="AQ1238" s="161">
        <f>AP1238*$AQ$5</f>
        <v>115568.7729955011</v>
      </c>
      <c r="AR1238" s="162">
        <f>AQ1238*$AR$5</f>
        <v>23113.754599100223</v>
      </c>
      <c r="AS1238" s="163"/>
      <c r="AT1238" s="233"/>
      <c r="AU1238" s="187"/>
      <c r="AV1238" s="414">
        <f>AR1238/$AV$5</f>
        <v>3.2981955763556252</v>
      </c>
      <c r="AW1238" s="415"/>
      <c r="AX1238" s="146">
        <f>SUM(AU1238:AV1238)</f>
        <v>3.2981955763556252</v>
      </c>
      <c r="AY1238" s="168"/>
    </row>
    <row r="1239" spans="1:51" s="139" customFormat="1" ht="11.25" hidden="1" x14ac:dyDescent="0.25">
      <c r="A1239" s="1"/>
      <c r="B1239" s="357">
        <v>15</v>
      </c>
      <c r="C1239" s="170" t="s">
        <v>494</v>
      </c>
      <c r="D1239" s="142"/>
      <c r="E1239" s="143"/>
      <c r="F1239" s="143"/>
      <c r="G1239" s="143"/>
      <c r="H1239" s="143"/>
      <c r="I1239" s="143"/>
      <c r="J1239" s="143"/>
      <c r="K1239" s="143"/>
      <c r="L1239" s="143"/>
      <c r="M1239" s="143"/>
      <c r="N1239" s="222"/>
      <c r="O1239" s="222">
        <v>92583</v>
      </c>
      <c r="P1239" s="145"/>
      <c r="Q1239" s="223">
        <f t="shared" si="992"/>
        <v>92583</v>
      </c>
      <c r="R1239" s="147">
        <f t="shared" si="993"/>
        <v>10184.129999999999</v>
      </c>
      <c r="S1239" s="147">
        <f>R1239/$S$5</f>
        <v>27.90172602739726</v>
      </c>
      <c r="T1239" s="148">
        <f>S1239*$T$5*$T$10</f>
        <v>6110.4779999999992</v>
      </c>
      <c r="U1239" s="420"/>
      <c r="V1239" s="407"/>
      <c r="W1239" s="236"/>
      <c r="X1239" s="236"/>
      <c r="Y1239" s="408"/>
      <c r="Z1239" s="409"/>
      <c r="AA1239" s="409"/>
      <c r="AB1239" s="410"/>
      <c r="AC1239" s="155"/>
      <c r="AD1239" s="156"/>
      <c r="AE1239" s="156"/>
      <c r="AF1239" s="156"/>
      <c r="AG1239" s="156"/>
      <c r="AH1239" s="156"/>
      <c r="AI1239" s="156"/>
      <c r="AJ1239" s="156"/>
      <c r="AK1239" s="156"/>
      <c r="AL1239" s="156"/>
      <c r="AM1239" s="157"/>
      <c r="AN1239" s="158">
        <f>$AN$5</f>
        <v>2200</v>
      </c>
      <c r="AO1239" s="159"/>
      <c r="AP1239" s="160"/>
      <c r="AQ1239" s="161"/>
      <c r="AR1239" s="162"/>
      <c r="AS1239" s="163"/>
      <c r="AT1239" s="164"/>
      <c r="AU1239" s="165"/>
      <c r="AV1239" s="166"/>
      <c r="AW1239" s="167"/>
      <c r="AX1239" s="146"/>
      <c r="AY1239" s="168"/>
    </row>
    <row r="1240" spans="1:51" s="190" customFormat="1" ht="16.7" hidden="1" customHeight="1" x14ac:dyDescent="0.25">
      <c r="A1240" s="173"/>
      <c r="B1240" s="120"/>
      <c r="C1240" s="121" t="s">
        <v>495</v>
      </c>
      <c r="D1240" s="240">
        <f t="shared" ref="D1240:AX1240" si="997">SUM(D1223:D1239)</f>
        <v>0</v>
      </c>
      <c r="E1240" s="240">
        <f t="shared" si="997"/>
        <v>0</v>
      </c>
      <c r="F1240" s="240">
        <f t="shared" si="997"/>
        <v>0</v>
      </c>
      <c r="G1240" s="240">
        <f t="shared" si="997"/>
        <v>0</v>
      </c>
      <c r="H1240" s="240">
        <f t="shared" si="997"/>
        <v>0</v>
      </c>
      <c r="I1240" s="240">
        <f t="shared" si="997"/>
        <v>0</v>
      </c>
      <c r="J1240" s="240">
        <f t="shared" si="997"/>
        <v>0</v>
      </c>
      <c r="K1240" s="240">
        <f t="shared" si="997"/>
        <v>0</v>
      </c>
      <c r="L1240" s="240">
        <f t="shared" si="997"/>
        <v>0</v>
      </c>
      <c r="M1240" s="240">
        <f t="shared" si="997"/>
        <v>0</v>
      </c>
      <c r="N1240" s="240">
        <f t="shared" si="997"/>
        <v>0</v>
      </c>
      <c r="O1240" s="240">
        <f t="shared" si="997"/>
        <v>2296666</v>
      </c>
      <c r="P1240" s="240">
        <f t="shared" si="997"/>
        <v>0</v>
      </c>
      <c r="Q1240" s="240">
        <f t="shared" si="997"/>
        <v>2296666</v>
      </c>
      <c r="R1240" s="240">
        <f t="shared" si="997"/>
        <v>275049.41599999997</v>
      </c>
      <c r="S1240" s="240">
        <f t="shared" si="997"/>
        <v>753.5600438356164</v>
      </c>
      <c r="T1240" s="240">
        <f t="shared" si="997"/>
        <v>171837.51919999998</v>
      </c>
      <c r="U1240" s="240">
        <f t="shared" si="997"/>
        <v>0</v>
      </c>
      <c r="V1240" s="240">
        <f t="shared" si="997"/>
        <v>5</v>
      </c>
      <c r="W1240" s="240">
        <f t="shared" si="997"/>
        <v>66703.75</v>
      </c>
      <c r="X1240" s="240">
        <f t="shared" si="997"/>
        <v>0</v>
      </c>
      <c r="Y1240" s="240">
        <f t="shared" si="997"/>
        <v>0</v>
      </c>
      <c r="Z1240" s="240">
        <f t="shared" si="997"/>
        <v>0</v>
      </c>
      <c r="AA1240" s="240">
        <f t="shared" si="997"/>
        <v>0</v>
      </c>
      <c r="AB1240" s="240">
        <f t="shared" si="997"/>
        <v>0</v>
      </c>
      <c r="AC1240" s="240">
        <f t="shared" si="997"/>
        <v>34685.949999999997</v>
      </c>
      <c r="AD1240" s="240">
        <f t="shared" si="997"/>
        <v>16675.9375</v>
      </c>
      <c r="AE1240" s="240">
        <f t="shared" si="997"/>
        <v>6003.3374999999996</v>
      </c>
      <c r="AF1240" s="240">
        <f t="shared" si="997"/>
        <v>3335.1875</v>
      </c>
      <c r="AG1240" s="240">
        <f t="shared" si="997"/>
        <v>2001.1125</v>
      </c>
      <c r="AH1240" s="240">
        <f t="shared" si="997"/>
        <v>667.03750000000002</v>
      </c>
      <c r="AI1240" s="240">
        <f t="shared" si="997"/>
        <v>1334.075</v>
      </c>
      <c r="AJ1240" s="240">
        <f t="shared" si="997"/>
        <v>667.03750000000002</v>
      </c>
      <c r="AK1240" s="240">
        <f t="shared" si="997"/>
        <v>2668.15</v>
      </c>
      <c r="AL1240" s="240">
        <f t="shared" si="997"/>
        <v>667.03750000000002</v>
      </c>
      <c r="AM1240" s="240">
        <f t="shared" si="997"/>
        <v>30016.6875</v>
      </c>
      <c r="AN1240" s="240"/>
      <c r="AO1240" s="240"/>
      <c r="AP1240" s="240">
        <f t="shared" si="997"/>
        <v>502695468.89999998</v>
      </c>
      <c r="AQ1240" s="240">
        <f t="shared" si="997"/>
        <v>139637.64142101043</v>
      </c>
      <c r="AR1240" s="240">
        <f t="shared" si="997"/>
        <v>27927.528284202086</v>
      </c>
      <c r="AS1240" s="240">
        <f t="shared" si="997"/>
        <v>0</v>
      </c>
      <c r="AT1240" s="240">
        <f t="shared" si="997"/>
        <v>0</v>
      </c>
      <c r="AU1240" s="240">
        <f t="shared" si="997"/>
        <v>0</v>
      </c>
      <c r="AV1240" s="240">
        <f t="shared" si="997"/>
        <v>3.985092506307375</v>
      </c>
      <c r="AW1240" s="240">
        <f t="shared" si="997"/>
        <v>0</v>
      </c>
      <c r="AX1240" s="240">
        <f t="shared" si="997"/>
        <v>3.985092506307375</v>
      </c>
      <c r="AY1240" s="189"/>
    </row>
    <row r="1241" spans="1:51" hidden="1" x14ac:dyDescent="0.25"/>
    <row r="1242" spans="1:51" s="139" customFormat="1" ht="15" hidden="1" customHeight="1" x14ac:dyDescent="0.25">
      <c r="A1242" s="1"/>
      <c r="B1242" s="126"/>
      <c r="C1242" s="352" t="s">
        <v>496</v>
      </c>
      <c r="D1242" s="122"/>
      <c r="E1242" s="123"/>
      <c r="F1242" s="123"/>
      <c r="G1242" s="123"/>
      <c r="H1242" s="123"/>
      <c r="I1242" s="123"/>
      <c r="J1242" s="123"/>
      <c r="K1242" s="123"/>
      <c r="L1242" s="123"/>
      <c r="M1242" s="123"/>
      <c r="N1242" s="123"/>
      <c r="O1242" s="123"/>
      <c r="P1242" s="213"/>
      <c r="Q1242" s="76"/>
      <c r="R1242" s="108"/>
      <c r="S1242" s="108"/>
      <c r="T1242" s="94"/>
      <c r="U1242" s="120"/>
      <c r="V1242" s="67"/>
      <c r="W1242" s="123"/>
      <c r="X1242" s="123"/>
      <c r="Y1242" s="125"/>
      <c r="Z1242" s="126"/>
      <c r="AA1242" s="126"/>
      <c r="AB1242" s="127"/>
      <c r="AC1242" s="62"/>
      <c r="AD1242" s="215"/>
      <c r="AE1242" s="215"/>
      <c r="AF1242" s="215"/>
      <c r="AG1242" s="215"/>
      <c r="AH1242" s="215"/>
      <c r="AI1242" s="215"/>
      <c r="AJ1242" s="215"/>
      <c r="AK1242" s="215"/>
      <c r="AL1242" s="215"/>
      <c r="AM1242" s="125"/>
      <c r="AN1242" s="75"/>
      <c r="AO1242" s="216"/>
      <c r="AP1242" s="75"/>
      <c r="AQ1242" s="51"/>
      <c r="AR1242" s="217"/>
      <c r="AS1242" s="218"/>
      <c r="AT1242" s="219"/>
      <c r="AU1242" s="220"/>
      <c r="AV1242" s="135"/>
      <c r="AW1242" s="136"/>
      <c r="AX1242" s="137"/>
      <c r="AY1242" s="138"/>
    </row>
    <row r="1243" spans="1:51" s="139" customFormat="1" ht="11.25" hidden="1" x14ac:dyDescent="0.25">
      <c r="A1243" s="1"/>
      <c r="B1243" s="140">
        <v>1</v>
      </c>
      <c r="C1243" s="330" t="s">
        <v>497</v>
      </c>
      <c r="D1243" s="142">
        <v>90538</v>
      </c>
      <c r="E1243" s="143"/>
      <c r="F1243" s="143"/>
      <c r="G1243" s="143"/>
      <c r="H1243" s="143"/>
      <c r="I1243" s="143"/>
      <c r="J1243" s="143"/>
      <c r="K1243" s="143"/>
      <c r="L1243" s="143"/>
      <c r="M1243" s="143"/>
      <c r="N1243" s="222">
        <v>129253</v>
      </c>
      <c r="O1243" s="222"/>
      <c r="P1243" s="145"/>
      <c r="Q1243" s="223">
        <f t="shared" ref="Q1243:Q1248" si="998">MAX(D1243:P1243)</f>
        <v>129253</v>
      </c>
      <c r="R1243" s="147">
        <f t="shared" ref="R1243:R1248" si="999">Q1243*$R$10</f>
        <v>14217.83</v>
      </c>
      <c r="S1243" s="147">
        <f t="shared" ref="S1243:S1248" si="1000">R1243/$S$5</f>
        <v>38.952958904109586</v>
      </c>
      <c r="T1243" s="148">
        <f>S1243*$T$5*$T$10</f>
        <v>8530.6979999999985</v>
      </c>
      <c r="U1243" s="420"/>
      <c r="V1243" s="407"/>
      <c r="W1243" s="236"/>
      <c r="X1243" s="236"/>
      <c r="Y1243" s="408"/>
      <c r="Z1243" s="409"/>
      <c r="AA1243" s="409"/>
      <c r="AB1243" s="410"/>
      <c r="AC1243" s="155"/>
      <c r="AD1243" s="156"/>
      <c r="AE1243" s="156"/>
      <c r="AF1243" s="156"/>
      <c r="AG1243" s="156"/>
      <c r="AH1243" s="156"/>
      <c r="AI1243" s="156"/>
      <c r="AJ1243" s="156"/>
      <c r="AK1243" s="156"/>
      <c r="AL1243" s="156"/>
      <c r="AM1243" s="157"/>
      <c r="AN1243" s="158">
        <f t="shared" ref="AN1243:AN1249" si="1001">$AN$641</f>
        <v>4000</v>
      </c>
      <c r="AO1243" s="159"/>
      <c r="AP1243" s="160"/>
      <c r="AQ1243" s="161"/>
      <c r="AR1243" s="162"/>
      <c r="AS1243" s="163"/>
      <c r="AT1243" s="164"/>
      <c r="AU1243" s="165"/>
      <c r="AV1243" s="166"/>
      <c r="AW1243" s="167"/>
      <c r="AX1243" s="146"/>
      <c r="AY1243" s="168"/>
    </row>
    <row r="1244" spans="1:51" s="139" customFormat="1" ht="11.25" hidden="1" x14ac:dyDescent="0.25">
      <c r="A1244" s="1"/>
      <c r="B1244" s="140">
        <v>2</v>
      </c>
      <c r="C1244" s="330" t="s">
        <v>498</v>
      </c>
      <c r="D1244" s="142">
        <v>114766</v>
      </c>
      <c r="E1244" s="143"/>
      <c r="F1244" s="143"/>
      <c r="G1244" s="143"/>
      <c r="H1244" s="143"/>
      <c r="I1244" s="143"/>
      <c r="J1244" s="143"/>
      <c r="K1244" s="143"/>
      <c r="L1244" s="143"/>
      <c r="M1244" s="143"/>
      <c r="N1244" s="222">
        <v>141915</v>
      </c>
      <c r="O1244" s="222"/>
      <c r="P1244" s="145"/>
      <c r="Q1244" s="223">
        <f t="shared" si="998"/>
        <v>141915</v>
      </c>
      <c r="R1244" s="147">
        <f t="shared" si="999"/>
        <v>15610.65</v>
      </c>
      <c r="S1244" s="147">
        <f t="shared" si="1000"/>
        <v>42.768904109589037</v>
      </c>
      <c r="T1244" s="148">
        <f>S1244*$T$5*$T$10</f>
        <v>9366.3899999999976</v>
      </c>
      <c r="U1244" s="420"/>
      <c r="V1244" s="407"/>
      <c r="W1244" s="236"/>
      <c r="X1244" s="236"/>
      <c r="Y1244" s="408"/>
      <c r="Z1244" s="409"/>
      <c r="AA1244" s="409"/>
      <c r="AB1244" s="410"/>
      <c r="AC1244" s="155"/>
      <c r="AD1244" s="156"/>
      <c r="AE1244" s="156"/>
      <c r="AF1244" s="156"/>
      <c r="AG1244" s="156"/>
      <c r="AH1244" s="156"/>
      <c r="AI1244" s="156"/>
      <c r="AJ1244" s="156"/>
      <c r="AK1244" s="156"/>
      <c r="AL1244" s="156"/>
      <c r="AM1244" s="157"/>
      <c r="AN1244" s="158">
        <f t="shared" si="1001"/>
        <v>4000</v>
      </c>
      <c r="AO1244" s="159"/>
      <c r="AP1244" s="160"/>
      <c r="AQ1244" s="161"/>
      <c r="AR1244" s="162"/>
      <c r="AS1244" s="163"/>
      <c r="AT1244" s="164"/>
      <c r="AU1244" s="165"/>
      <c r="AV1244" s="166"/>
      <c r="AW1244" s="167"/>
      <c r="AX1244" s="146"/>
      <c r="AY1244" s="168"/>
    </row>
    <row r="1245" spans="1:51" s="139" customFormat="1" ht="11.25" hidden="1" x14ac:dyDescent="0.25">
      <c r="A1245" s="1"/>
      <c r="B1245" s="140">
        <v>3</v>
      </c>
      <c r="C1245" s="330" t="s">
        <v>499</v>
      </c>
      <c r="D1245" s="142">
        <v>309663</v>
      </c>
      <c r="E1245" s="143"/>
      <c r="F1245" s="143"/>
      <c r="G1245" s="143"/>
      <c r="H1245" s="143"/>
      <c r="I1245" s="143"/>
      <c r="J1245" s="143"/>
      <c r="K1245" s="143"/>
      <c r="L1245" s="143"/>
      <c r="M1245" s="143"/>
      <c r="N1245" s="222">
        <v>355988</v>
      </c>
      <c r="O1245" s="222"/>
      <c r="P1245" s="145"/>
      <c r="Q1245" s="223">
        <f t="shared" si="998"/>
        <v>355988</v>
      </c>
      <c r="R1245" s="147">
        <f t="shared" si="999"/>
        <v>39158.68</v>
      </c>
      <c r="S1245" s="147">
        <f t="shared" si="1000"/>
        <v>107.28405479452054</v>
      </c>
      <c r="T1245" s="148">
        <f>S1245*$T$5*$T$10</f>
        <v>23495.207999999999</v>
      </c>
      <c r="U1245" s="420"/>
      <c r="V1245" s="407"/>
      <c r="W1245" s="236"/>
      <c r="X1245" s="236"/>
      <c r="Y1245" s="408"/>
      <c r="Z1245" s="409"/>
      <c r="AA1245" s="409"/>
      <c r="AB1245" s="410"/>
      <c r="AC1245" s="155"/>
      <c r="AD1245" s="156"/>
      <c r="AE1245" s="156"/>
      <c r="AF1245" s="156"/>
      <c r="AG1245" s="156"/>
      <c r="AH1245" s="156"/>
      <c r="AI1245" s="156"/>
      <c r="AJ1245" s="156"/>
      <c r="AK1245" s="156"/>
      <c r="AL1245" s="156"/>
      <c r="AM1245" s="157"/>
      <c r="AN1245" s="158">
        <f t="shared" si="1001"/>
        <v>4000</v>
      </c>
      <c r="AO1245" s="159"/>
      <c r="AP1245" s="160"/>
      <c r="AQ1245" s="161"/>
      <c r="AR1245" s="162"/>
      <c r="AS1245" s="163"/>
      <c r="AT1245" s="164"/>
      <c r="AU1245" s="165"/>
      <c r="AV1245" s="166"/>
      <c r="AW1245" s="167"/>
      <c r="AX1245" s="146"/>
      <c r="AY1245" s="168"/>
    </row>
    <row r="1246" spans="1:51" s="139" customFormat="1" ht="11.25" hidden="1" x14ac:dyDescent="0.25">
      <c r="A1246" s="1"/>
      <c r="B1246" s="140">
        <v>4</v>
      </c>
      <c r="C1246" s="330" t="s">
        <v>500</v>
      </c>
      <c r="D1246" s="142">
        <v>86781</v>
      </c>
      <c r="E1246" s="143"/>
      <c r="F1246" s="143"/>
      <c r="G1246" s="143"/>
      <c r="H1246" s="143"/>
      <c r="I1246" s="143"/>
      <c r="J1246" s="143"/>
      <c r="K1246" s="143"/>
      <c r="L1246" s="143"/>
      <c r="M1246" s="143"/>
      <c r="N1246" s="222">
        <v>104133</v>
      </c>
      <c r="O1246" s="222"/>
      <c r="P1246" s="145"/>
      <c r="Q1246" s="223">
        <f t="shared" si="998"/>
        <v>104133</v>
      </c>
      <c r="R1246" s="147">
        <f t="shared" si="999"/>
        <v>11454.63</v>
      </c>
      <c r="S1246" s="147">
        <f t="shared" si="1000"/>
        <v>31.382547945205477</v>
      </c>
      <c r="T1246" s="148">
        <f>S1246*$T$5*$T$10</f>
        <v>6872.7779999999993</v>
      </c>
      <c r="U1246" s="420"/>
      <c r="V1246" s="407"/>
      <c r="W1246" s="236"/>
      <c r="X1246" s="236"/>
      <c r="Y1246" s="408"/>
      <c r="Z1246" s="409"/>
      <c r="AA1246" s="409"/>
      <c r="AB1246" s="410"/>
      <c r="AC1246" s="155"/>
      <c r="AD1246" s="156"/>
      <c r="AE1246" s="156"/>
      <c r="AF1246" s="156"/>
      <c r="AG1246" s="156"/>
      <c r="AH1246" s="156"/>
      <c r="AI1246" s="156"/>
      <c r="AJ1246" s="156"/>
      <c r="AK1246" s="156"/>
      <c r="AL1246" s="156"/>
      <c r="AM1246" s="157"/>
      <c r="AN1246" s="158">
        <f t="shared" si="1001"/>
        <v>4000</v>
      </c>
      <c r="AO1246" s="159"/>
      <c r="AP1246" s="160"/>
      <c r="AQ1246" s="161"/>
      <c r="AR1246" s="162"/>
      <c r="AS1246" s="163"/>
      <c r="AT1246" s="164"/>
      <c r="AU1246" s="165"/>
      <c r="AV1246" s="166"/>
      <c r="AW1246" s="167"/>
      <c r="AX1246" s="146"/>
      <c r="AY1246" s="168"/>
    </row>
    <row r="1247" spans="1:51" s="139" customFormat="1" ht="11.25" hidden="1" x14ac:dyDescent="0.25">
      <c r="A1247" s="1"/>
      <c r="B1247" s="140">
        <v>5</v>
      </c>
      <c r="C1247" s="330" t="s">
        <v>501</v>
      </c>
      <c r="D1247" s="142">
        <v>93505</v>
      </c>
      <c r="E1247" s="143"/>
      <c r="F1247" s="143"/>
      <c r="G1247" s="143"/>
      <c r="H1247" s="143"/>
      <c r="I1247" s="143"/>
      <c r="J1247" s="143"/>
      <c r="K1247" s="143"/>
      <c r="L1247" s="143"/>
      <c r="M1247" s="143"/>
      <c r="N1247" s="222">
        <v>128748</v>
      </c>
      <c r="O1247" s="222"/>
      <c r="P1247" s="145"/>
      <c r="Q1247" s="223">
        <f t="shared" si="998"/>
        <v>128748</v>
      </c>
      <c r="R1247" s="147">
        <f t="shared" si="999"/>
        <v>14162.28</v>
      </c>
      <c r="S1247" s="147">
        <f t="shared" si="1000"/>
        <v>38.80076712328767</v>
      </c>
      <c r="T1247" s="148">
        <f>S1247*$T$5*$T$10</f>
        <v>8497.3679999999986</v>
      </c>
      <c r="U1247" s="420"/>
      <c r="V1247" s="407"/>
      <c r="W1247" s="236"/>
      <c r="X1247" s="236"/>
      <c r="Y1247" s="408"/>
      <c r="Z1247" s="409"/>
      <c r="AA1247" s="409"/>
      <c r="AB1247" s="410"/>
      <c r="AC1247" s="155"/>
      <c r="AD1247" s="156"/>
      <c r="AE1247" s="156"/>
      <c r="AF1247" s="156"/>
      <c r="AG1247" s="156"/>
      <c r="AH1247" s="156"/>
      <c r="AI1247" s="156"/>
      <c r="AJ1247" s="156"/>
      <c r="AK1247" s="156"/>
      <c r="AL1247" s="156"/>
      <c r="AM1247" s="157"/>
      <c r="AN1247" s="158">
        <f t="shared" si="1001"/>
        <v>4000</v>
      </c>
      <c r="AO1247" s="159"/>
      <c r="AP1247" s="160"/>
      <c r="AQ1247" s="161"/>
      <c r="AR1247" s="162"/>
      <c r="AS1247" s="163"/>
      <c r="AT1247" s="164"/>
      <c r="AU1247" s="165"/>
      <c r="AV1247" s="166"/>
      <c r="AW1247" s="167"/>
      <c r="AX1247" s="146"/>
      <c r="AY1247" s="168"/>
    </row>
    <row r="1248" spans="1:51" s="139" customFormat="1" ht="11.25" hidden="1" x14ac:dyDescent="0.25">
      <c r="A1248" s="1"/>
      <c r="B1248" s="140">
        <v>6</v>
      </c>
      <c r="C1248" s="330" t="s">
        <v>502</v>
      </c>
      <c r="D1248" s="142">
        <v>134931</v>
      </c>
      <c r="E1248" s="143"/>
      <c r="F1248" s="143"/>
      <c r="G1248" s="143"/>
      <c r="H1248" s="143"/>
      <c r="I1248" s="143"/>
      <c r="J1248" s="143"/>
      <c r="K1248" s="143"/>
      <c r="L1248" s="143"/>
      <c r="M1248" s="143"/>
      <c r="N1248" s="222">
        <v>180127</v>
      </c>
      <c r="O1248" s="222"/>
      <c r="P1248" s="145"/>
      <c r="Q1248" s="223">
        <f t="shared" si="998"/>
        <v>180127</v>
      </c>
      <c r="R1248" s="147">
        <f t="shared" si="999"/>
        <v>19813.97</v>
      </c>
      <c r="S1248" s="147">
        <f t="shared" si="1000"/>
        <v>54.284849315068499</v>
      </c>
      <c r="T1248" s="148">
        <f>S1248*$T$5*$T$8</f>
        <v>15851.176000000001</v>
      </c>
      <c r="U1248" s="420"/>
      <c r="V1248" s="407"/>
      <c r="W1248" s="236"/>
      <c r="X1248" s="236"/>
      <c r="Y1248" s="408"/>
      <c r="Z1248" s="409"/>
      <c r="AA1248" s="409"/>
      <c r="AB1248" s="410"/>
      <c r="AC1248" s="155"/>
      <c r="AD1248" s="156"/>
      <c r="AE1248" s="156"/>
      <c r="AF1248" s="156"/>
      <c r="AG1248" s="156"/>
      <c r="AH1248" s="156"/>
      <c r="AI1248" s="156"/>
      <c r="AJ1248" s="156"/>
      <c r="AK1248" s="156"/>
      <c r="AL1248" s="156"/>
      <c r="AM1248" s="157"/>
      <c r="AN1248" s="158">
        <f t="shared" si="1001"/>
        <v>4000</v>
      </c>
      <c r="AO1248" s="159"/>
      <c r="AP1248" s="160"/>
      <c r="AQ1248" s="161"/>
      <c r="AR1248" s="162"/>
      <c r="AS1248" s="163"/>
      <c r="AT1248" s="164"/>
      <c r="AU1248" s="165"/>
      <c r="AV1248" s="166"/>
      <c r="AW1248" s="167"/>
      <c r="AX1248" s="146"/>
      <c r="AY1248" s="168"/>
    </row>
    <row r="1249" spans="1:51" s="139" customFormat="1" ht="11.25" hidden="1" x14ac:dyDescent="0.25">
      <c r="A1249" s="1"/>
      <c r="B1249" s="140"/>
      <c r="C1249" s="499"/>
      <c r="D1249" s="142"/>
      <c r="E1249" s="485"/>
      <c r="F1249" s="485"/>
      <c r="G1249" s="485"/>
      <c r="H1249" s="485"/>
      <c r="I1249" s="485"/>
      <c r="J1249" s="485"/>
      <c r="K1249" s="485"/>
      <c r="L1249" s="485"/>
      <c r="M1249" s="485"/>
      <c r="N1249" s="430"/>
      <c r="O1249" s="430"/>
      <c r="P1249" s="487"/>
      <c r="Q1249" s="166"/>
      <c r="R1249" s="167"/>
      <c r="S1249" s="167"/>
      <c r="T1249" s="167"/>
      <c r="U1249" s="420" t="s">
        <v>784</v>
      </c>
      <c r="V1249" s="407">
        <v>2</v>
      </c>
      <c r="W1249" s="300">
        <f>(186*0.25)*365</f>
        <v>16972.5</v>
      </c>
      <c r="X1249" s="300"/>
      <c r="Y1249" s="427"/>
      <c r="Z1249" s="431"/>
      <c r="AA1249" s="431"/>
      <c r="AB1249" s="432"/>
      <c r="AC1249" s="411">
        <f>W1249*52%</f>
        <v>8825.7000000000007</v>
      </c>
      <c r="AD1249" s="412">
        <f>W1249*25%</f>
        <v>4243.125</v>
      </c>
      <c r="AE1249" s="412">
        <f>W1249*9%</f>
        <v>1527.5249999999999</v>
      </c>
      <c r="AF1249" s="412">
        <f>W1249*5%</f>
        <v>848.625</v>
      </c>
      <c r="AG1249" s="412">
        <f>W1249*3%</f>
        <v>509.17499999999995</v>
      </c>
      <c r="AH1249" s="412">
        <f>W1249*1%</f>
        <v>169.72499999999999</v>
      </c>
      <c r="AI1249" s="412">
        <f>W1249*2%</f>
        <v>339.45</v>
      </c>
      <c r="AJ1249" s="412">
        <f>W1249*1%</f>
        <v>169.72499999999999</v>
      </c>
      <c r="AK1249" s="412">
        <f>W1249*4%</f>
        <v>678.9</v>
      </c>
      <c r="AL1249" s="412">
        <f>W1249*1%</f>
        <v>169.72499999999999</v>
      </c>
      <c r="AM1249" s="413">
        <f>SUM(AD1249:AI1249)</f>
        <v>7637.625</v>
      </c>
      <c r="AN1249" s="158">
        <f t="shared" si="1001"/>
        <v>4000</v>
      </c>
      <c r="AO1249" s="159">
        <v>0.2</v>
      </c>
      <c r="AP1249" s="160">
        <f>AM1249*AN1249*$AP$5</f>
        <v>127908833.39999999</v>
      </c>
      <c r="AQ1249" s="161">
        <f>AP1249*$AQ$5</f>
        <v>35530.234342418516</v>
      </c>
      <c r="AR1249" s="162">
        <f>AQ1249*$AR$5</f>
        <v>7106.0468684837033</v>
      </c>
      <c r="AS1249" s="163"/>
      <c r="AT1249" s="233"/>
      <c r="AU1249" s="187"/>
      <c r="AV1249" s="414">
        <f>AR1249/$AV$5</f>
        <v>1.0139907061192499</v>
      </c>
      <c r="AW1249" s="415"/>
      <c r="AX1249" s="146">
        <f>SUM(AU1249:AV1249)</f>
        <v>1.0139907061192499</v>
      </c>
      <c r="AY1249" s="168"/>
    </row>
    <row r="1250" spans="1:51" s="190" customFormat="1" ht="16.7" hidden="1" customHeight="1" x14ac:dyDescent="0.25">
      <c r="A1250" s="173"/>
      <c r="B1250" s="120"/>
      <c r="C1250" s="121" t="s">
        <v>503</v>
      </c>
      <c r="D1250" s="240">
        <f t="shared" ref="D1250:T1250" si="1002">SUM(D1243:D1248)</f>
        <v>830184</v>
      </c>
      <c r="E1250" s="240">
        <f t="shared" si="1002"/>
        <v>0</v>
      </c>
      <c r="F1250" s="240">
        <f t="shared" si="1002"/>
        <v>0</v>
      </c>
      <c r="G1250" s="240">
        <f t="shared" si="1002"/>
        <v>0</v>
      </c>
      <c r="H1250" s="240">
        <f t="shared" si="1002"/>
        <v>0</v>
      </c>
      <c r="I1250" s="240">
        <f t="shared" si="1002"/>
        <v>0</v>
      </c>
      <c r="J1250" s="240">
        <f t="shared" si="1002"/>
        <v>0</v>
      </c>
      <c r="K1250" s="240">
        <f t="shared" si="1002"/>
        <v>0</v>
      </c>
      <c r="L1250" s="240">
        <f t="shared" si="1002"/>
        <v>0</v>
      </c>
      <c r="M1250" s="240">
        <f t="shared" si="1002"/>
        <v>0</v>
      </c>
      <c r="N1250" s="240">
        <f t="shared" si="1002"/>
        <v>1040164</v>
      </c>
      <c r="O1250" s="240">
        <f t="shared" si="1002"/>
        <v>0</v>
      </c>
      <c r="P1250" s="240">
        <f t="shared" si="1002"/>
        <v>0</v>
      </c>
      <c r="Q1250" s="240">
        <f t="shared" si="1002"/>
        <v>1040164</v>
      </c>
      <c r="R1250" s="240">
        <f t="shared" si="1002"/>
        <v>114418.04000000001</v>
      </c>
      <c r="S1250" s="240">
        <f t="shared" si="1002"/>
        <v>313.47408219178089</v>
      </c>
      <c r="T1250" s="240">
        <f t="shared" si="1002"/>
        <v>72613.618000000002</v>
      </c>
      <c r="U1250" s="240">
        <f>SUM(U1243:U1249)</f>
        <v>0</v>
      </c>
      <c r="V1250" s="240">
        <f t="shared" ref="V1250:AX1250" si="1003">SUM(V1243:V1249)</f>
        <v>2</v>
      </c>
      <c r="W1250" s="240">
        <f t="shared" si="1003"/>
        <v>16972.5</v>
      </c>
      <c r="X1250" s="240">
        <f t="shared" si="1003"/>
        <v>0</v>
      </c>
      <c r="Y1250" s="240">
        <f t="shared" si="1003"/>
        <v>0</v>
      </c>
      <c r="Z1250" s="240">
        <f t="shared" si="1003"/>
        <v>0</v>
      </c>
      <c r="AA1250" s="240">
        <f t="shared" si="1003"/>
        <v>0</v>
      </c>
      <c r="AB1250" s="240">
        <f t="shared" si="1003"/>
        <v>0</v>
      </c>
      <c r="AC1250" s="240">
        <f t="shared" si="1003"/>
        <v>8825.7000000000007</v>
      </c>
      <c r="AD1250" s="240">
        <f t="shared" si="1003"/>
        <v>4243.125</v>
      </c>
      <c r="AE1250" s="240">
        <f t="shared" si="1003"/>
        <v>1527.5249999999999</v>
      </c>
      <c r="AF1250" s="240">
        <f t="shared" si="1003"/>
        <v>848.625</v>
      </c>
      <c r="AG1250" s="240">
        <f t="shared" si="1003"/>
        <v>509.17499999999995</v>
      </c>
      <c r="AH1250" s="240">
        <f t="shared" si="1003"/>
        <v>169.72499999999999</v>
      </c>
      <c r="AI1250" s="240">
        <f t="shared" si="1003"/>
        <v>339.45</v>
      </c>
      <c r="AJ1250" s="240">
        <f t="shared" si="1003"/>
        <v>169.72499999999999</v>
      </c>
      <c r="AK1250" s="240">
        <f t="shared" si="1003"/>
        <v>678.9</v>
      </c>
      <c r="AL1250" s="240">
        <f t="shared" si="1003"/>
        <v>169.72499999999999</v>
      </c>
      <c r="AM1250" s="240">
        <f t="shared" si="1003"/>
        <v>7637.625</v>
      </c>
      <c r="AN1250" s="240"/>
      <c r="AO1250" s="240"/>
      <c r="AP1250" s="240">
        <f t="shared" si="1003"/>
        <v>127908833.39999999</v>
      </c>
      <c r="AQ1250" s="240">
        <f t="shared" si="1003"/>
        <v>35530.234342418516</v>
      </c>
      <c r="AR1250" s="240">
        <f t="shared" si="1003"/>
        <v>7106.0468684837033</v>
      </c>
      <c r="AS1250" s="240">
        <f t="shared" si="1003"/>
        <v>0</v>
      </c>
      <c r="AT1250" s="240">
        <f t="shared" si="1003"/>
        <v>0</v>
      </c>
      <c r="AU1250" s="240">
        <f t="shared" si="1003"/>
        <v>0</v>
      </c>
      <c r="AV1250" s="240">
        <f t="shared" si="1003"/>
        <v>1.0139907061192499</v>
      </c>
      <c r="AW1250" s="240">
        <f t="shared" si="1003"/>
        <v>0</v>
      </c>
      <c r="AX1250" s="240">
        <f t="shared" si="1003"/>
        <v>1.0139907061192499</v>
      </c>
      <c r="AY1250" s="189"/>
    </row>
    <row r="1251" spans="1:51" hidden="1" x14ac:dyDescent="0.25"/>
    <row r="1252" spans="1:51" s="139" customFormat="1" ht="15" hidden="1" customHeight="1" x14ac:dyDescent="0.25">
      <c r="A1252" s="1"/>
      <c r="B1252" s="126"/>
      <c r="C1252" s="352" t="s">
        <v>504</v>
      </c>
      <c r="D1252" s="122"/>
      <c r="E1252" s="123"/>
      <c r="F1252" s="123"/>
      <c r="G1252" s="123"/>
      <c r="H1252" s="123"/>
      <c r="I1252" s="123"/>
      <c r="J1252" s="123"/>
      <c r="K1252" s="123"/>
      <c r="L1252" s="123"/>
      <c r="M1252" s="123"/>
      <c r="N1252" s="123"/>
      <c r="O1252" s="123"/>
      <c r="P1252" s="213"/>
      <c r="Q1252" s="76"/>
      <c r="R1252" s="108"/>
      <c r="S1252" s="108"/>
      <c r="T1252" s="94"/>
      <c r="U1252" s="120"/>
      <c r="V1252" s="67"/>
      <c r="W1252" s="123"/>
      <c r="X1252" s="123"/>
      <c r="Y1252" s="125"/>
      <c r="Z1252" s="126"/>
      <c r="AA1252" s="126"/>
      <c r="AB1252" s="127"/>
      <c r="AC1252" s="62"/>
      <c r="AD1252" s="215"/>
      <c r="AE1252" s="215"/>
      <c r="AF1252" s="215"/>
      <c r="AG1252" s="215"/>
      <c r="AH1252" s="215"/>
      <c r="AI1252" s="215"/>
      <c r="AJ1252" s="215"/>
      <c r="AK1252" s="215"/>
      <c r="AL1252" s="215"/>
      <c r="AM1252" s="125"/>
      <c r="AN1252" s="75"/>
      <c r="AO1252" s="216"/>
      <c r="AP1252" s="75"/>
      <c r="AQ1252" s="51"/>
      <c r="AR1252" s="217"/>
      <c r="AS1252" s="218"/>
      <c r="AT1252" s="219"/>
      <c r="AU1252" s="220"/>
      <c r="AV1252" s="135"/>
      <c r="AW1252" s="136"/>
      <c r="AX1252" s="137"/>
      <c r="AY1252" s="138"/>
    </row>
    <row r="1253" spans="1:51" s="139" customFormat="1" ht="11.25" hidden="1" x14ac:dyDescent="0.25">
      <c r="A1253" s="1"/>
      <c r="B1253" s="140">
        <v>1</v>
      </c>
      <c r="C1253" s="170" t="s">
        <v>505</v>
      </c>
      <c r="D1253" s="142"/>
      <c r="E1253" s="143"/>
      <c r="F1253" s="143"/>
      <c r="G1253" s="143"/>
      <c r="H1253" s="143"/>
      <c r="I1253" s="143"/>
      <c r="J1253" s="143"/>
      <c r="K1253" s="143"/>
      <c r="L1253" s="143"/>
      <c r="M1253" s="143"/>
      <c r="N1253" s="222"/>
      <c r="O1253" s="222">
        <v>329609</v>
      </c>
      <c r="P1253" s="145"/>
      <c r="Q1253" s="223">
        <f t="shared" ref="Q1253:Q1263" si="1004">MAX(D1253:P1253)</f>
        <v>329609</v>
      </c>
      <c r="R1253" s="147">
        <f t="shared" ref="R1253:R1263" si="1005">Q1253*$R$10</f>
        <v>36256.99</v>
      </c>
      <c r="S1253" s="147">
        <f t="shared" ref="S1253:S1263" si="1006">R1253/$S$5</f>
        <v>99.334219178082179</v>
      </c>
      <c r="T1253" s="148">
        <f t="shared" ref="T1253:T1263" si="1007">S1253*$T$5*$T$10</f>
        <v>21754.194</v>
      </c>
      <c r="U1253" s="420"/>
      <c r="V1253" s="407"/>
      <c r="W1253" s="236"/>
      <c r="X1253" s="236"/>
      <c r="Y1253" s="408"/>
      <c r="Z1253" s="409"/>
      <c r="AA1253" s="409"/>
      <c r="AB1253" s="410"/>
      <c r="AC1253" s="155"/>
      <c r="AD1253" s="156"/>
      <c r="AE1253" s="156"/>
      <c r="AF1253" s="156"/>
      <c r="AG1253" s="156"/>
      <c r="AH1253" s="156"/>
      <c r="AI1253" s="156"/>
      <c r="AJ1253" s="156"/>
      <c r="AK1253" s="156"/>
      <c r="AL1253" s="156"/>
      <c r="AM1253" s="157"/>
      <c r="AN1253" s="158">
        <f t="shared" ref="AN1253:AN1263" si="1008">$AN$641</f>
        <v>4000</v>
      </c>
      <c r="AO1253" s="159"/>
      <c r="AP1253" s="160"/>
      <c r="AQ1253" s="161"/>
      <c r="AR1253" s="162"/>
      <c r="AS1253" s="163"/>
      <c r="AT1253" s="164"/>
      <c r="AU1253" s="165"/>
      <c r="AV1253" s="166"/>
      <c r="AW1253" s="167"/>
      <c r="AX1253" s="146"/>
      <c r="AY1253" s="168"/>
    </row>
    <row r="1254" spans="1:51" s="139" customFormat="1" ht="11.25" hidden="1" x14ac:dyDescent="0.25">
      <c r="A1254" s="1"/>
      <c r="B1254" s="140">
        <v>2</v>
      </c>
      <c r="C1254" s="170" t="s">
        <v>506</v>
      </c>
      <c r="D1254" s="142"/>
      <c r="E1254" s="143"/>
      <c r="F1254" s="143"/>
      <c r="G1254" s="143"/>
      <c r="H1254" s="143"/>
      <c r="I1254" s="143"/>
      <c r="J1254" s="143"/>
      <c r="K1254" s="143"/>
      <c r="L1254" s="143"/>
      <c r="M1254" s="143"/>
      <c r="N1254" s="222"/>
      <c r="O1254" s="222">
        <v>174800</v>
      </c>
      <c r="P1254" s="145"/>
      <c r="Q1254" s="223">
        <f t="shared" si="1004"/>
        <v>174800</v>
      </c>
      <c r="R1254" s="147">
        <f t="shared" si="1005"/>
        <v>19228</v>
      </c>
      <c r="S1254" s="147">
        <f t="shared" si="1006"/>
        <v>52.679452054794524</v>
      </c>
      <c r="T1254" s="148">
        <f t="shared" si="1007"/>
        <v>11536.8</v>
      </c>
      <c r="U1254" s="420"/>
      <c r="V1254" s="407"/>
      <c r="W1254" s="236"/>
      <c r="X1254" s="236"/>
      <c r="Y1254" s="408"/>
      <c r="Z1254" s="409"/>
      <c r="AA1254" s="409"/>
      <c r="AB1254" s="410"/>
      <c r="AC1254" s="155"/>
      <c r="AD1254" s="156"/>
      <c r="AE1254" s="156"/>
      <c r="AF1254" s="156"/>
      <c r="AG1254" s="156"/>
      <c r="AH1254" s="156"/>
      <c r="AI1254" s="156"/>
      <c r="AJ1254" s="156"/>
      <c r="AK1254" s="156"/>
      <c r="AL1254" s="156"/>
      <c r="AM1254" s="157"/>
      <c r="AN1254" s="158">
        <f t="shared" si="1008"/>
        <v>4000</v>
      </c>
      <c r="AO1254" s="159"/>
      <c r="AP1254" s="160"/>
      <c r="AQ1254" s="161"/>
      <c r="AR1254" s="162"/>
      <c r="AS1254" s="163"/>
      <c r="AT1254" s="164"/>
      <c r="AU1254" s="165"/>
      <c r="AV1254" s="166"/>
      <c r="AW1254" s="167"/>
      <c r="AX1254" s="146"/>
      <c r="AY1254" s="168"/>
    </row>
    <row r="1255" spans="1:51" s="139" customFormat="1" ht="11.25" hidden="1" x14ac:dyDescent="0.25">
      <c r="A1255" s="1"/>
      <c r="B1255" s="140">
        <v>3</v>
      </c>
      <c r="C1255" s="170" t="s">
        <v>507</v>
      </c>
      <c r="D1255" s="142"/>
      <c r="E1255" s="143"/>
      <c r="F1255" s="143"/>
      <c r="G1255" s="143"/>
      <c r="H1255" s="143"/>
      <c r="I1255" s="143"/>
      <c r="J1255" s="143"/>
      <c r="K1255" s="143"/>
      <c r="L1255" s="143"/>
      <c r="M1255" s="143"/>
      <c r="N1255" s="222"/>
      <c r="O1255" s="222">
        <v>134776</v>
      </c>
      <c r="P1255" s="145"/>
      <c r="Q1255" s="223">
        <f t="shared" si="1004"/>
        <v>134776</v>
      </c>
      <c r="R1255" s="147">
        <f t="shared" si="1005"/>
        <v>14825.36</v>
      </c>
      <c r="S1255" s="147">
        <f t="shared" si="1006"/>
        <v>40.617424657534251</v>
      </c>
      <c r="T1255" s="148">
        <f t="shared" si="1007"/>
        <v>8895.2160000000003</v>
      </c>
      <c r="U1255" s="420"/>
      <c r="V1255" s="407"/>
      <c r="W1255" s="236"/>
      <c r="X1255" s="236"/>
      <c r="Y1255" s="408"/>
      <c r="Z1255" s="409"/>
      <c r="AA1255" s="409"/>
      <c r="AB1255" s="410"/>
      <c r="AC1255" s="155"/>
      <c r="AD1255" s="156"/>
      <c r="AE1255" s="156"/>
      <c r="AF1255" s="156"/>
      <c r="AG1255" s="156"/>
      <c r="AH1255" s="156"/>
      <c r="AI1255" s="156"/>
      <c r="AJ1255" s="156"/>
      <c r="AK1255" s="156"/>
      <c r="AL1255" s="156"/>
      <c r="AM1255" s="157"/>
      <c r="AN1255" s="158">
        <f t="shared" si="1008"/>
        <v>4000</v>
      </c>
      <c r="AO1255" s="159"/>
      <c r="AP1255" s="160"/>
      <c r="AQ1255" s="161"/>
      <c r="AR1255" s="162"/>
      <c r="AS1255" s="163"/>
      <c r="AT1255" s="164"/>
      <c r="AU1255" s="165"/>
      <c r="AV1255" s="166"/>
      <c r="AW1255" s="167"/>
      <c r="AX1255" s="146"/>
      <c r="AY1255" s="168"/>
    </row>
    <row r="1256" spans="1:51" s="139" customFormat="1" ht="11.25" hidden="1" x14ac:dyDescent="0.25">
      <c r="A1256" s="1"/>
      <c r="B1256" s="140">
        <v>4</v>
      </c>
      <c r="C1256" s="170" t="s">
        <v>508</v>
      </c>
      <c r="D1256" s="142"/>
      <c r="E1256" s="143"/>
      <c r="F1256" s="143"/>
      <c r="G1256" s="143"/>
      <c r="H1256" s="143"/>
      <c r="I1256" s="143"/>
      <c r="J1256" s="143"/>
      <c r="K1256" s="143"/>
      <c r="L1256" s="143"/>
      <c r="M1256" s="143"/>
      <c r="N1256" s="222"/>
      <c r="O1256" s="222">
        <v>282752</v>
      </c>
      <c r="P1256" s="145"/>
      <c r="Q1256" s="223">
        <f t="shared" si="1004"/>
        <v>282752</v>
      </c>
      <c r="R1256" s="147">
        <f t="shared" si="1005"/>
        <v>31102.720000000001</v>
      </c>
      <c r="S1256" s="147">
        <f t="shared" si="1006"/>
        <v>85.212931506849316</v>
      </c>
      <c r="T1256" s="148">
        <f t="shared" si="1007"/>
        <v>18661.632000000001</v>
      </c>
      <c r="U1256" s="420"/>
      <c r="V1256" s="407"/>
      <c r="W1256" s="236"/>
      <c r="X1256" s="236"/>
      <c r="Y1256" s="408"/>
      <c r="Z1256" s="409"/>
      <c r="AA1256" s="409"/>
      <c r="AB1256" s="410"/>
      <c r="AC1256" s="155"/>
      <c r="AD1256" s="156"/>
      <c r="AE1256" s="156"/>
      <c r="AF1256" s="156"/>
      <c r="AG1256" s="156"/>
      <c r="AH1256" s="156"/>
      <c r="AI1256" s="156"/>
      <c r="AJ1256" s="156"/>
      <c r="AK1256" s="156"/>
      <c r="AL1256" s="156"/>
      <c r="AM1256" s="157"/>
      <c r="AN1256" s="158">
        <f t="shared" si="1008"/>
        <v>4000</v>
      </c>
      <c r="AO1256" s="159"/>
      <c r="AP1256" s="160"/>
      <c r="AQ1256" s="161"/>
      <c r="AR1256" s="162"/>
      <c r="AS1256" s="163"/>
      <c r="AT1256" s="164"/>
      <c r="AU1256" s="165"/>
      <c r="AV1256" s="166"/>
      <c r="AW1256" s="167"/>
      <c r="AX1256" s="146"/>
      <c r="AY1256" s="168"/>
    </row>
    <row r="1257" spans="1:51" s="139" customFormat="1" ht="11.25" hidden="1" x14ac:dyDescent="0.25">
      <c r="A1257" s="1"/>
      <c r="B1257" s="140">
        <v>5</v>
      </c>
      <c r="C1257" s="170" t="s">
        <v>509</v>
      </c>
      <c r="D1257" s="142"/>
      <c r="E1257" s="143"/>
      <c r="F1257" s="143"/>
      <c r="G1257" s="143"/>
      <c r="H1257" s="143"/>
      <c r="I1257" s="143"/>
      <c r="J1257" s="143"/>
      <c r="K1257" s="143"/>
      <c r="L1257" s="143"/>
      <c r="M1257" s="143"/>
      <c r="N1257" s="222"/>
      <c r="O1257" s="222">
        <v>210136</v>
      </c>
      <c r="P1257" s="145"/>
      <c r="Q1257" s="223">
        <f t="shared" si="1004"/>
        <v>210136</v>
      </c>
      <c r="R1257" s="147">
        <f t="shared" si="1005"/>
        <v>23114.959999999999</v>
      </c>
      <c r="S1257" s="147">
        <f t="shared" si="1006"/>
        <v>63.328657534246574</v>
      </c>
      <c r="T1257" s="148">
        <f t="shared" si="1007"/>
        <v>13868.975999999999</v>
      </c>
      <c r="U1257" s="420"/>
      <c r="V1257" s="407"/>
      <c r="W1257" s="236"/>
      <c r="X1257" s="236"/>
      <c r="Y1257" s="408"/>
      <c r="Z1257" s="409"/>
      <c r="AA1257" s="409"/>
      <c r="AB1257" s="410"/>
      <c r="AC1257" s="155"/>
      <c r="AD1257" s="156"/>
      <c r="AE1257" s="156"/>
      <c r="AF1257" s="156"/>
      <c r="AG1257" s="156"/>
      <c r="AH1257" s="156"/>
      <c r="AI1257" s="156"/>
      <c r="AJ1257" s="156"/>
      <c r="AK1257" s="156"/>
      <c r="AL1257" s="156"/>
      <c r="AM1257" s="157"/>
      <c r="AN1257" s="158">
        <f t="shared" si="1008"/>
        <v>4000</v>
      </c>
      <c r="AO1257" s="159"/>
      <c r="AP1257" s="160"/>
      <c r="AQ1257" s="161"/>
      <c r="AR1257" s="162"/>
      <c r="AS1257" s="163"/>
      <c r="AT1257" s="164"/>
      <c r="AU1257" s="165"/>
      <c r="AV1257" s="166"/>
      <c r="AW1257" s="167"/>
      <c r="AX1257" s="146"/>
      <c r="AY1257" s="168"/>
    </row>
    <row r="1258" spans="1:51" s="139" customFormat="1" ht="11.25" hidden="1" x14ac:dyDescent="0.25">
      <c r="A1258" s="1"/>
      <c r="B1258" s="140">
        <v>6</v>
      </c>
      <c r="C1258" s="170" t="s">
        <v>510</v>
      </c>
      <c r="D1258" s="142"/>
      <c r="E1258" s="143"/>
      <c r="F1258" s="143"/>
      <c r="G1258" s="143"/>
      <c r="H1258" s="143"/>
      <c r="I1258" s="143"/>
      <c r="J1258" s="143"/>
      <c r="K1258" s="143"/>
      <c r="L1258" s="143"/>
      <c r="M1258" s="143"/>
      <c r="N1258" s="222"/>
      <c r="O1258" s="222">
        <v>421234</v>
      </c>
      <c r="P1258" s="145"/>
      <c r="Q1258" s="223">
        <f t="shared" si="1004"/>
        <v>421234</v>
      </c>
      <c r="R1258" s="147">
        <f t="shared" si="1005"/>
        <v>46335.74</v>
      </c>
      <c r="S1258" s="147">
        <f t="shared" si="1006"/>
        <v>126.94723287671232</v>
      </c>
      <c r="T1258" s="148">
        <f t="shared" si="1007"/>
        <v>27801.444</v>
      </c>
      <c r="U1258" s="420"/>
      <c r="V1258" s="407"/>
      <c r="W1258" s="236"/>
      <c r="X1258" s="236"/>
      <c r="Y1258" s="408"/>
      <c r="Z1258" s="409"/>
      <c r="AA1258" s="409"/>
      <c r="AB1258" s="410"/>
      <c r="AC1258" s="155"/>
      <c r="AD1258" s="156"/>
      <c r="AE1258" s="156"/>
      <c r="AF1258" s="156"/>
      <c r="AG1258" s="156"/>
      <c r="AH1258" s="156"/>
      <c r="AI1258" s="156"/>
      <c r="AJ1258" s="156"/>
      <c r="AK1258" s="156"/>
      <c r="AL1258" s="156"/>
      <c r="AM1258" s="157"/>
      <c r="AN1258" s="158">
        <f t="shared" si="1008"/>
        <v>4000</v>
      </c>
      <c r="AO1258" s="159"/>
      <c r="AP1258" s="160"/>
      <c r="AQ1258" s="161"/>
      <c r="AR1258" s="162"/>
      <c r="AS1258" s="163"/>
      <c r="AT1258" s="164"/>
      <c r="AU1258" s="165"/>
      <c r="AV1258" s="166"/>
      <c r="AW1258" s="167"/>
      <c r="AX1258" s="146"/>
      <c r="AY1258" s="168"/>
    </row>
    <row r="1259" spans="1:51" s="139" customFormat="1" ht="11.25" hidden="1" x14ac:dyDescent="0.25">
      <c r="A1259" s="1"/>
      <c r="B1259" s="140">
        <v>7</v>
      </c>
      <c r="C1259" s="170" t="s">
        <v>511</v>
      </c>
      <c r="D1259" s="142"/>
      <c r="E1259" s="143"/>
      <c r="F1259" s="143"/>
      <c r="G1259" s="143"/>
      <c r="H1259" s="143"/>
      <c r="I1259" s="143"/>
      <c r="J1259" s="143"/>
      <c r="K1259" s="143"/>
      <c r="L1259" s="143"/>
      <c r="M1259" s="143"/>
      <c r="N1259" s="222"/>
      <c r="O1259" s="222">
        <v>213096</v>
      </c>
      <c r="P1259" s="145"/>
      <c r="Q1259" s="223">
        <f t="shared" si="1004"/>
        <v>213096</v>
      </c>
      <c r="R1259" s="147">
        <f t="shared" si="1005"/>
        <v>23440.560000000001</v>
      </c>
      <c r="S1259" s="147">
        <f t="shared" si="1006"/>
        <v>64.220712328767121</v>
      </c>
      <c r="T1259" s="148">
        <f t="shared" si="1007"/>
        <v>14064.335999999998</v>
      </c>
      <c r="U1259" s="420"/>
      <c r="V1259" s="407"/>
      <c r="W1259" s="236"/>
      <c r="X1259" s="236"/>
      <c r="Y1259" s="408"/>
      <c r="Z1259" s="409"/>
      <c r="AA1259" s="409"/>
      <c r="AB1259" s="410"/>
      <c r="AC1259" s="155"/>
      <c r="AD1259" s="156"/>
      <c r="AE1259" s="156"/>
      <c r="AF1259" s="156"/>
      <c r="AG1259" s="156"/>
      <c r="AH1259" s="156"/>
      <c r="AI1259" s="156"/>
      <c r="AJ1259" s="156"/>
      <c r="AK1259" s="156"/>
      <c r="AL1259" s="156"/>
      <c r="AM1259" s="157"/>
      <c r="AN1259" s="158">
        <f t="shared" si="1008"/>
        <v>4000</v>
      </c>
      <c r="AO1259" s="159"/>
      <c r="AP1259" s="160"/>
      <c r="AQ1259" s="161"/>
      <c r="AR1259" s="162"/>
      <c r="AS1259" s="163"/>
      <c r="AT1259" s="164"/>
      <c r="AU1259" s="165"/>
      <c r="AV1259" s="166"/>
      <c r="AW1259" s="167"/>
      <c r="AX1259" s="146"/>
      <c r="AY1259" s="168"/>
    </row>
    <row r="1260" spans="1:51" s="139" customFormat="1" ht="11.25" hidden="1" x14ac:dyDescent="0.25">
      <c r="A1260" s="1"/>
      <c r="B1260" s="140">
        <v>8</v>
      </c>
      <c r="C1260" s="170" t="s">
        <v>512</v>
      </c>
      <c r="D1260" s="142"/>
      <c r="E1260" s="143"/>
      <c r="F1260" s="143"/>
      <c r="G1260" s="143"/>
      <c r="H1260" s="143"/>
      <c r="I1260" s="143"/>
      <c r="J1260" s="143"/>
      <c r="K1260" s="143"/>
      <c r="L1260" s="143"/>
      <c r="M1260" s="143"/>
      <c r="N1260" s="222"/>
      <c r="O1260" s="222">
        <v>219005</v>
      </c>
      <c r="P1260" s="145"/>
      <c r="Q1260" s="223">
        <f t="shared" si="1004"/>
        <v>219005</v>
      </c>
      <c r="R1260" s="147">
        <f t="shared" si="1005"/>
        <v>24090.55</v>
      </c>
      <c r="S1260" s="147">
        <f t="shared" si="1006"/>
        <v>66.001506849315064</v>
      </c>
      <c r="T1260" s="148">
        <f t="shared" si="1007"/>
        <v>14454.33</v>
      </c>
      <c r="U1260" s="420"/>
      <c r="V1260" s="407"/>
      <c r="W1260" s="236"/>
      <c r="X1260" s="236"/>
      <c r="Y1260" s="408"/>
      <c r="Z1260" s="409"/>
      <c r="AA1260" s="409"/>
      <c r="AB1260" s="410"/>
      <c r="AC1260" s="155"/>
      <c r="AD1260" s="156"/>
      <c r="AE1260" s="156"/>
      <c r="AF1260" s="156"/>
      <c r="AG1260" s="156"/>
      <c r="AH1260" s="156"/>
      <c r="AI1260" s="156"/>
      <c r="AJ1260" s="156"/>
      <c r="AK1260" s="156"/>
      <c r="AL1260" s="156"/>
      <c r="AM1260" s="157"/>
      <c r="AN1260" s="158">
        <f t="shared" si="1008"/>
        <v>4000</v>
      </c>
      <c r="AO1260" s="159"/>
      <c r="AP1260" s="160"/>
      <c r="AQ1260" s="161"/>
      <c r="AR1260" s="162"/>
      <c r="AS1260" s="163"/>
      <c r="AT1260" s="164"/>
      <c r="AU1260" s="165"/>
      <c r="AV1260" s="166"/>
      <c r="AW1260" s="167"/>
      <c r="AX1260" s="146"/>
      <c r="AY1260" s="168"/>
    </row>
    <row r="1261" spans="1:51" s="139" customFormat="1" ht="11.25" hidden="1" x14ac:dyDescent="0.25">
      <c r="A1261" s="1"/>
      <c r="B1261" s="140">
        <v>9</v>
      </c>
      <c r="C1261" s="170" t="s">
        <v>513</v>
      </c>
      <c r="D1261" s="142"/>
      <c r="E1261" s="143"/>
      <c r="F1261" s="143"/>
      <c r="G1261" s="143"/>
      <c r="H1261" s="143"/>
      <c r="I1261" s="143"/>
      <c r="J1261" s="143"/>
      <c r="K1261" s="143"/>
      <c r="L1261" s="143"/>
      <c r="M1261" s="143"/>
      <c r="N1261" s="222"/>
      <c r="O1261" s="222">
        <v>140358</v>
      </c>
      <c r="P1261" s="145"/>
      <c r="Q1261" s="223">
        <f t="shared" si="1004"/>
        <v>140358</v>
      </c>
      <c r="R1261" s="147">
        <f t="shared" si="1005"/>
        <v>15439.38</v>
      </c>
      <c r="S1261" s="147">
        <f t="shared" si="1006"/>
        <v>42.299671232876712</v>
      </c>
      <c r="T1261" s="148">
        <f t="shared" si="1007"/>
        <v>9263.6279999999988</v>
      </c>
      <c r="U1261" s="420"/>
      <c r="V1261" s="407"/>
      <c r="W1261" s="236"/>
      <c r="X1261" s="236"/>
      <c r="Y1261" s="408"/>
      <c r="Z1261" s="409"/>
      <c r="AA1261" s="409"/>
      <c r="AB1261" s="410"/>
      <c r="AC1261" s="155"/>
      <c r="AD1261" s="156"/>
      <c r="AE1261" s="156"/>
      <c r="AF1261" s="156"/>
      <c r="AG1261" s="156"/>
      <c r="AH1261" s="156"/>
      <c r="AI1261" s="156"/>
      <c r="AJ1261" s="156"/>
      <c r="AK1261" s="156"/>
      <c r="AL1261" s="156"/>
      <c r="AM1261" s="157"/>
      <c r="AN1261" s="158">
        <f t="shared" si="1008"/>
        <v>4000</v>
      </c>
      <c r="AO1261" s="159"/>
      <c r="AP1261" s="160"/>
      <c r="AQ1261" s="161"/>
      <c r="AR1261" s="162"/>
      <c r="AS1261" s="163"/>
      <c r="AT1261" s="164"/>
      <c r="AU1261" s="165"/>
      <c r="AV1261" s="166"/>
      <c r="AW1261" s="167"/>
      <c r="AX1261" s="146"/>
      <c r="AY1261" s="168"/>
    </row>
    <row r="1262" spans="1:51" s="139" customFormat="1" ht="11.25" hidden="1" x14ac:dyDescent="0.25">
      <c r="A1262" s="1"/>
      <c r="B1262" s="140">
        <v>10</v>
      </c>
      <c r="C1262" s="170" t="s">
        <v>514</v>
      </c>
      <c r="D1262" s="142"/>
      <c r="E1262" s="143"/>
      <c r="F1262" s="143"/>
      <c r="G1262" s="143"/>
      <c r="H1262" s="143"/>
      <c r="I1262" s="143"/>
      <c r="J1262" s="143"/>
      <c r="K1262" s="143"/>
      <c r="L1262" s="143"/>
      <c r="M1262" s="143"/>
      <c r="N1262" s="222"/>
      <c r="O1262" s="222">
        <v>215202</v>
      </c>
      <c r="P1262" s="145"/>
      <c r="Q1262" s="223">
        <f t="shared" si="1004"/>
        <v>215202</v>
      </c>
      <c r="R1262" s="147">
        <f t="shared" si="1005"/>
        <v>23672.22</v>
      </c>
      <c r="S1262" s="147">
        <f t="shared" si="1006"/>
        <v>64.855397260273975</v>
      </c>
      <c r="T1262" s="148">
        <f t="shared" si="1007"/>
        <v>14203.332</v>
      </c>
      <c r="U1262" s="420"/>
      <c r="V1262" s="407"/>
      <c r="W1262" s="236"/>
      <c r="X1262" s="236"/>
      <c r="Y1262" s="408"/>
      <c r="Z1262" s="409"/>
      <c r="AA1262" s="409"/>
      <c r="AB1262" s="410"/>
      <c r="AC1262" s="155"/>
      <c r="AD1262" s="156"/>
      <c r="AE1262" s="156"/>
      <c r="AF1262" s="156"/>
      <c r="AG1262" s="156"/>
      <c r="AH1262" s="156"/>
      <c r="AI1262" s="156"/>
      <c r="AJ1262" s="156"/>
      <c r="AK1262" s="156"/>
      <c r="AL1262" s="156"/>
      <c r="AM1262" s="157"/>
      <c r="AN1262" s="158">
        <f t="shared" si="1008"/>
        <v>4000</v>
      </c>
      <c r="AO1262" s="159"/>
      <c r="AP1262" s="160"/>
      <c r="AQ1262" s="161"/>
      <c r="AR1262" s="162"/>
      <c r="AS1262" s="163"/>
      <c r="AT1262" s="164"/>
      <c r="AU1262" s="165"/>
      <c r="AV1262" s="166"/>
      <c r="AW1262" s="167"/>
      <c r="AX1262" s="146"/>
      <c r="AY1262" s="168"/>
    </row>
    <row r="1263" spans="1:51" s="139" customFormat="1" ht="11.25" hidden="1" x14ac:dyDescent="0.25">
      <c r="A1263" s="1"/>
      <c r="B1263" s="140">
        <v>11</v>
      </c>
      <c r="C1263" s="170" t="s">
        <v>515</v>
      </c>
      <c r="D1263" s="142"/>
      <c r="E1263" s="143"/>
      <c r="F1263" s="143"/>
      <c r="G1263" s="143"/>
      <c r="H1263" s="143"/>
      <c r="I1263" s="143"/>
      <c r="J1263" s="143"/>
      <c r="K1263" s="143"/>
      <c r="L1263" s="143"/>
      <c r="M1263" s="143"/>
      <c r="N1263" s="222"/>
      <c r="O1263" s="222">
        <v>342754</v>
      </c>
      <c r="P1263" s="145"/>
      <c r="Q1263" s="223">
        <f t="shared" si="1004"/>
        <v>342754</v>
      </c>
      <c r="R1263" s="147">
        <f t="shared" si="1005"/>
        <v>37702.94</v>
      </c>
      <c r="S1263" s="147">
        <f t="shared" si="1006"/>
        <v>103.29572602739727</v>
      </c>
      <c r="T1263" s="148">
        <f t="shared" si="1007"/>
        <v>22621.763999999999</v>
      </c>
      <c r="U1263" s="420"/>
      <c r="V1263" s="407"/>
      <c r="W1263" s="236"/>
      <c r="X1263" s="236"/>
      <c r="Y1263" s="408"/>
      <c r="Z1263" s="409"/>
      <c r="AA1263" s="409"/>
      <c r="AB1263" s="410"/>
      <c r="AC1263" s="155"/>
      <c r="AD1263" s="156"/>
      <c r="AE1263" s="156"/>
      <c r="AF1263" s="156"/>
      <c r="AG1263" s="156"/>
      <c r="AH1263" s="156"/>
      <c r="AI1263" s="156"/>
      <c r="AJ1263" s="156"/>
      <c r="AK1263" s="156"/>
      <c r="AL1263" s="156"/>
      <c r="AM1263" s="157"/>
      <c r="AN1263" s="158">
        <f t="shared" si="1008"/>
        <v>4000</v>
      </c>
      <c r="AO1263" s="159"/>
      <c r="AP1263" s="160"/>
      <c r="AQ1263" s="161"/>
      <c r="AR1263" s="162"/>
      <c r="AS1263" s="163"/>
      <c r="AT1263" s="164"/>
      <c r="AU1263" s="165"/>
      <c r="AV1263" s="166"/>
      <c r="AW1263" s="167"/>
      <c r="AX1263" s="146"/>
      <c r="AY1263" s="168"/>
    </row>
    <row r="1264" spans="1:51" s="190" customFormat="1" ht="16.7" hidden="1" customHeight="1" x14ac:dyDescent="0.25">
      <c r="A1264" s="173"/>
      <c r="B1264" s="120"/>
      <c r="C1264" s="121" t="s">
        <v>495</v>
      </c>
      <c r="D1264" s="240">
        <f t="shared" ref="D1264:AX1264" si="1009">SUM(D1253:D1263)</f>
        <v>0</v>
      </c>
      <c r="E1264" s="240">
        <f t="shared" si="1009"/>
        <v>0</v>
      </c>
      <c r="F1264" s="240">
        <f t="shared" si="1009"/>
        <v>0</v>
      </c>
      <c r="G1264" s="240">
        <f t="shared" si="1009"/>
        <v>0</v>
      </c>
      <c r="H1264" s="240">
        <f t="shared" si="1009"/>
        <v>0</v>
      </c>
      <c r="I1264" s="240">
        <f t="shared" si="1009"/>
        <v>0</v>
      </c>
      <c r="J1264" s="240">
        <f t="shared" si="1009"/>
        <v>0</v>
      </c>
      <c r="K1264" s="240">
        <f t="shared" si="1009"/>
        <v>0</v>
      </c>
      <c r="L1264" s="240">
        <f t="shared" si="1009"/>
        <v>0</v>
      </c>
      <c r="M1264" s="240">
        <f t="shared" si="1009"/>
        <v>0</v>
      </c>
      <c r="N1264" s="240">
        <f t="shared" si="1009"/>
        <v>0</v>
      </c>
      <c r="O1264" s="240">
        <f t="shared" si="1009"/>
        <v>2683722</v>
      </c>
      <c r="P1264" s="240">
        <f t="shared" si="1009"/>
        <v>0</v>
      </c>
      <c r="Q1264" s="240">
        <f t="shared" si="1009"/>
        <v>2683722</v>
      </c>
      <c r="R1264" s="240"/>
      <c r="S1264" s="240">
        <f t="shared" si="1009"/>
        <v>808.7929315068493</v>
      </c>
      <c r="T1264" s="240">
        <f t="shared" si="1009"/>
        <v>177125.652</v>
      </c>
      <c r="U1264" s="240">
        <f t="shared" si="1009"/>
        <v>0</v>
      </c>
      <c r="V1264" s="240">
        <f t="shared" si="1009"/>
        <v>0</v>
      </c>
      <c r="W1264" s="240">
        <f t="shared" si="1009"/>
        <v>0</v>
      </c>
      <c r="X1264" s="240">
        <f t="shared" si="1009"/>
        <v>0</v>
      </c>
      <c r="Y1264" s="240">
        <f t="shared" si="1009"/>
        <v>0</v>
      </c>
      <c r="Z1264" s="240">
        <f t="shared" si="1009"/>
        <v>0</v>
      </c>
      <c r="AA1264" s="240">
        <f t="shared" si="1009"/>
        <v>0</v>
      </c>
      <c r="AB1264" s="240">
        <f t="shared" si="1009"/>
        <v>0</v>
      </c>
      <c r="AC1264" s="240">
        <f t="shared" si="1009"/>
        <v>0</v>
      </c>
      <c r="AD1264" s="240">
        <f t="shared" si="1009"/>
        <v>0</v>
      </c>
      <c r="AE1264" s="240">
        <f t="shared" si="1009"/>
        <v>0</v>
      </c>
      <c r="AF1264" s="240">
        <f t="shared" si="1009"/>
        <v>0</v>
      </c>
      <c r="AG1264" s="240">
        <f t="shared" si="1009"/>
        <v>0</v>
      </c>
      <c r="AH1264" s="240">
        <f t="shared" si="1009"/>
        <v>0</v>
      </c>
      <c r="AI1264" s="240">
        <f t="shared" si="1009"/>
        <v>0</v>
      </c>
      <c r="AJ1264" s="240">
        <f t="shared" si="1009"/>
        <v>0</v>
      </c>
      <c r="AK1264" s="240">
        <f t="shared" si="1009"/>
        <v>0</v>
      </c>
      <c r="AL1264" s="240">
        <f t="shared" si="1009"/>
        <v>0</v>
      </c>
      <c r="AM1264" s="240">
        <f t="shared" si="1009"/>
        <v>0</v>
      </c>
      <c r="AN1264" s="240"/>
      <c r="AO1264" s="240"/>
      <c r="AP1264" s="240">
        <f t="shared" si="1009"/>
        <v>0</v>
      </c>
      <c r="AQ1264" s="240">
        <f t="shared" si="1009"/>
        <v>0</v>
      </c>
      <c r="AR1264" s="240">
        <f t="shared" si="1009"/>
        <v>0</v>
      </c>
      <c r="AS1264" s="240">
        <f t="shared" si="1009"/>
        <v>0</v>
      </c>
      <c r="AT1264" s="240">
        <f t="shared" si="1009"/>
        <v>0</v>
      </c>
      <c r="AU1264" s="240">
        <f t="shared" si="1009"/>
        <v>0</v>
      </c>
      <c r="AV1264" s="240">
        <f t="shared" si="1009"/>
        <v>0</v>
      </c>
      <c r="AW1264" s="240">
        <f t="shared" si="1009"/>
        <v>0</v>
      </c>
      <c r="AX1264" s="240">
        <f t="shared" si="1009"/>
        <v>0</v>
      </c>
      <c r="AY1264" s="189"/>
    </row>
    <row r="1265" spans="1:51" hidden="1" x14ac:dyDescent="0.25"/>
    <row r="1266" spans="1:51" s="139" customFormat="1" ht="15" hidden="1" customHeight="1" x14ac:dyDescent="0.25">
      <c r="A1266" s="1"/>
      <c r="B1266" s="126"/>
      <c r="C1266" s="352" t="s">
        <v>517</v>
      </c>
      <c r="D1266" s="122"/>
      <c r="E1266" s="123"/>
      <c r="F1266" s="123"/>
      <c r="G1266" s="123"/>
      <c r="H1266" s="123"/>
      <c r="I1266" s="123"/>
      <c r="J1266" s="123"/>
      <c r="K1266" s="123"/>
      <c r="L1266" s="123"/>
      <c r="M1266" s="123"/>
      <c r="N1266" s="123"/>
      <c r="O1266" s="123"/>
      <c r="P1266" s="213"/>
      <c r="Q1266" s="76"/>
      <c r="R1266" s="108"/>
      <c r="S1266" s="108"/>
      <c r="T1266" s="94"/>
      <c r="U1266" s="120"/>
      <c r="V1266" s="67"/>
      <c r="W1266" s="123"/>
      <c r="X1266" s="123"/>
      <c r="Y1266" s="125"/>
      <c r="Z1266" s="126"/>
      <c r="AA1266" s="126"/>
      <c r="AB1266" s="127"/>
      <c r="AC1266" s="62"/>
      <c r="AD1266" s="215"/>
      <c r="AE1266" s="215"/>
      <c r="AF1266" s="215"/>
      <c r="AG1266" s="215"/>
      <c r="AH1266" s="215"/>
      <c r="AI1266" s="215"/>
      <c r="AJ1266" s="215"/>
      <c r="AK1266" s="215"/>
      <c r="AL1266" s="215"/>
      <c r="AM1266" s="125"/>
      <c r="AN1266" s="75"/>
      <c r="AO1266" s="216"/>
      <c r="AP1266" s="75"/>
      <c r="AQ1266" s="51"/>
      <c r="AR1266" s="217"/>
      <c r="AS1266" s="218"/>
      <c r="AT1266" s="219"/>
      <c r="AU1266" s="220"/>
      <c r="AV1266" s="135"/>
      <c r="AW1266" s="136"/>
      <c r="AX1266" s="137"/>
      <c r="AY1266" s="138"/>
    </row>
    <row r="1267" spans="1:51" s="139" customFormat="1" ht="11.25" hidden="1" x14ac:dyDescent="0.25">
      <c r="A1267" s="1"/>
      <c r="B1267" s="140">
        <v>1</v>
      </c>
      <c r="C1267" s="358" t="s">
        <v>518</v>
      </c>
      <c r="D1267" s="142"/>
      <c r="E1267" s="143"/>
      <c r="F1267" s="143"/>
      <c r="G1267" s="143"/>
      <c r="H1267" s="143"/>
      <c r="I1267" s="143"/>
      <c r="J1267" s="143"/>
      <c r="K1267" s="143"/>
      <c r="L1267" s="143"/>
      <c r="M1267" s="143"/>
      <c r="N1267" s="222"/>
      <c r="O1267" s="222">
        <v>153869</v>
      </c>
      <c r="P1267" s="145"/>
      <c r="Q1267" s="223">
        <f t="shared" ref="Q1267:Q1272" si="1010">MAX(D1267:P1267)</f>
        <v>153869</v>
      </c>
      <c r="R1267" s="147">
        <f t="shared" ref="R1267:R1272" si="1011">Q1267*$R$10</f>
        <v>16925.59</v>
      </c>
      <c r="S1267" s="147">
        <f t="shared" ref="S1267:S1272" si="1012">R1267/$S$5</f>
        <v>46.371479452054793</v>
      </c>
      <c r="T1267" s="148">
        <f t="shared" ref="T1267:T1272" si="1013">S1267*$T$5*$T$10</f>
        <v>10155.353999999999</v>
      </c>
      <c r="U1267" s="420"/>
      <c r="V1267" s="407"/>
      <c r="W1267" s="236"/>
      <c r="X1267" s="236"/>
      <c r="Y1267" s="408"/>
      <c r="Z1267" s="409"/>
      <c r="AA1267" s="409"/>
      <c r="AB1267" s="410"/>
      <c r="AC1267" s="155"/>
      <c r="AD1267" s="156"/>
      <c r="AE1267" s="156"/>
      <c r="AF1267" s="156"/>
      <c r="AG1267" s="156"/>
      <c r="AH1267" s="156"/>
      <c r="AI1267" s="156"/>
      <c r="AJ1267" s="156"/>
      <c r="AK1267" s="156"/>
      <c r="AL1267" s="156"/>
      <c r="AM1267" s="157"/>
      <c r="AN1267" s="158">
        <f t="shared" ref="AN1267:AN1272" si="1014">$AN$641</f>
        <v>4000</v>
      </c>
      <c r="AO1267" s="159"/>
      <c r="AP1267" s="160"/>
      <c r="AQ1267" s="161"/>
      <c r="AR1267" s="162"/>
      <c r="AS1267" s="163"/>
      <c r="AT1267" s="164"/>
      <c r="AU1267" s="165"/>
      <c r="AV1267" s="166"/>
      <c r="AW1267" s="167"/>
      <c r="AX1267" s="146"/>
      <c r="AY1267" s="168"/>
    </row>
    <row r="1268" spans="1:51" s="139" customFormat="1" ht="11.25" hidden="1" x14ac:dyDescent="0.25">
      <c r="A1268" s="1"/>
      <c r="B1268" s="140">
        <v>2</v>
      </c>
      <c r="C1268" s="358" t="s">
        <v>519</v>
      </c>
      <c r="D1268" s="142"/>
      <c r="E1268" s="143"/>
      <c r="F1268" s="143"/>
      <c r="G1268" s="143"/>
      <c r="H1268" s="143"/>
      <c r="I1268" s="143"/>
      <c r="J1268" s="143"/>
      <c r="K1268" s="143"/>
      <c r="L1268" s="143"/>
      <c r="M1268" s="143"/>
      <c r="N1268" s="222"/>
      <c r="O1268" s="222">
        <v>142416</v>
      </c>
      <c r="P1268" s="145"/>
      <c r="Q1268" s="223">
        <f t="shared" si="1010"/>
        <v>142416</v>
      </c>
      <c r="R1268" s="147">
        <f t="shared" si="1011"/>
        <v>15665.76</v>
      </c>
      <c r="S1268" s="147">
        <f t="shared" si="1012"/>
        <v>42.919890410958907</v>
      </c>
      <c r="T1268" s="148">
        <f t="shared" si="1013"/>
        <v>9399.4560000000001</v>
      </c>
      <c r="U1268" s="420"/>
      <c r="V1268" s="407"/>
      <c r="W1268" s="236"/>
      <c r="X1268" s="236"/>
      <c r="Y1268" s="408"/>
      <c r="Z1268" s="409"/>
      <c r="AA1268" s="409"/>
      <c r="AB1268" s="410"/>
      <c r="AC1268" s="155"/>
      <c r="AD1268" s="156"/>
      <c r="AE1268" s="156"/>
      <c r="AF1268" s="156"/>
      <c r="AG1268" s="156"/>
      <c r="AH1268" s="156"/>
      <c r="AI1268" s="156"/>
      <c r="AJ1268" s="156"/>
      <c r="AK1268" s="156"/>
      <c r="AL1268" s="156"/>
      <c r="AM1268" s="157"/>
      <c r="AN1268" s="158">
        <f t="shared" si="1014"/>
        <v>4000</v>
      </c>
      <c r="AO1268" s="159"/>
      <c r="AP1268" s="160"/>
      <c r="AQ1268" s="161"/>
      <c r="AR1268" s="162"/>
      <c r="AS1268" s="163"/>
      <c r="AT1268" s="164"/>
      <c r="AU1268" s="165"/>
      <c r="AV1268" s="166"/>
      <c r="AW1268" s="167"/>
      <c r="AX1268" s="146"/>
      <c r="AY1268" s="168"/>
    </row>
    <row r="1269" spans="1:51" s="139" customFormat="1" ht="11.25" hidden="1" x14ac:dyDescent="0.25">
      <c r="A1269" s="1"/>
      <c r="B1269" s="140">
        <v>3</v>
      </c>
      <c r="C1269" s="358" t="s">
        <v>520</v>
      </c>
      <c r="D1269" s="142"/>
      <c r="E1269" s="143"/>
      <c r="F1269" s="143"/>
      <c r="G1269" s="143"/>
      <c r="H1269" s="143"/>
      <c r="I1269" s="143"/>
      <c r="J1269" s="143"/>
      <c r="K1269" s="143"/>
      <c r="L1269" s="143"/>
      <c r="M1269" s="143"/>
      <c r="N1269" s="222"/>
      <c r="O1269" s="222">
        <v>349571</v>
      </c>
      <c r="P1269" s="145"/>
      <c r="Q1269" s="223">
        <f t="shared" si="1010"/>
        <v>349571</v>
      </c>
      <c r="R1269" s="147">
        <f t="shared" si="1011"/>
        <v>38452.81</v>
      </c>
      <c r="S1269" s="147">
        <f t="shared" si="1012"/>
        <v>105.35016438356163</v>
      </c>
      <c r="T1269" s="148">
        <f t="shared" si="1013"/>
        <v>23071.685999999998</v>
      </c>
      <c r="U1269" s="420"/>
      <c r="V1269" s="407"/>
      <c r="W1269" s="236"/>
      <c r="X1269" s="236"/>
      <c r="Y1269" s="408"/>
      <c r="Z1269" s="409"/>
      <c r="AA1269" s="409"/>
      <c r="AB1269" s="410"/>
      <c r="AC1269" s="155"/>
      <c r="AD1269" s="156"/>
      <c r="AE1269" s="156"/>
      <c r="AF1269" s="156"/>
      <c r="AG1269" s="156"/>
      <c r="AH1269" s="156"/>
      <c r="AI1269" s="156"/>
      <c r="AJ1269" s="156"/>
      <c r="AK1269" s="156"/>
      <c r="AL1269" s="156"/>
      <c r="AM1269" s="157"/>
      <c r="AN1269" s="158">
        <f t="shared" si="1014"/>
        <v>4000</v>
      </c>
      <c r="AO1269" s="159"/>
      <c r="AP1269" s="160"/>
      <c r="AQ1269" s="161"/>
      <c r="AR1269" s="162"/>
      <c r="AS1269" s="163"/>
      <c r="AT1269" s="164"/>
      <c r="AU1269" s="165"/>
      <c r="AV1269" s="166"/>
      <c r="AW1269" s="167"/>
      <c r="AX1269" s="146"/>
      <c r="AY1269" s="168"/>
    </row>
    <row r="1270" spans="1:51" s="139" customFormat="1" ht="11.25" hidden="1" x14ac:dyDescent="0.25">
      <c r="A1270" s="1"/>
      <c r="B1270" s="140">
        <v>4</v>
      </c>
      <c r="C1270" s="358" t="s">
        <v>521</v>
      </c>
      <c r="D1270" s="142"/>
      <c r="E1270" s="143"/>
      <c r="F1270" s="143"/>
      <c r="G1270" s="143"/>
      <c r="H1270" s="143"/>
      <c r="I1270" s="143"/>
      <c r="J1270" s="143"/>
      <c r="K1270" s="143"/>
      <c r="L1270" s="143"/>
      <c r="M1270" s="143"/>
      <c r="N1270" s="222"/>
      <c r="O1270" s="222">
        <v>142075</v>
      </c>
      <c r="P1270" s="145"/>
      <c r="Q1270" s="223">
        <f t="shared" si="1010"/>
        <v>142075</v>
      </c>
      <c r="R1270" s="147">
        <f t="shared" si="1011"/>
        <v>15628.25</v>
      </c>
      <c r="S1270" s="147">
        <f t="shared" si="1012"/>
        <v>42.81712328767123</v>
      </c>
      <c r="T1270" s="148">
        <f t="shared" si="1013"/>
        <v>9376.9499999999989</v>
      </c>
      <c r="U1270" s="420"/>
      <c r="V1270" s="407"/>
      <c r="W1270" s="236"/>
      <c r="X1270" s="236"/>
      <c r="Y1270" s="408"/>
      <c r="Z1270" s="409"/>
      <c r="AA1270" s="409"/>
      <c r="AB1270" s="410"/>
      <c r="AC1270" s="155"/>
      <c r="AD1270" s="156"/>
      <c r="AE1270" s="156"/>
      <c r="AF1270" s="156"/>
      <c r="AG1270" s="156"/>
      <c r="AH1270" s="156"/>
      <c r="AI1270" s="156"/>
      <c r="AJ1270" s="156"/>
      <c r="AK1270" s="156"/>
      <c r="AL1270" s="156"/>
      <c r="AM1270" s="157"/>
      <c r="AN1270" s="158">
        <f t="shared" si="1014"/>
        <v>4000</v>
      </c>
      <c r="AO1270" s="159"/>
      <c r="AP1270" s="160"/>
      <c r="AQ1270" s="161"/>
      <c r="AR1270" s="162"/>
      <c r="AS1270" s="163"/>
      <c r="AT1270" s="164"/>
      <c r="AU1270" s="165"/>
      <c r="AV1270" s="166"/>
      <c r="AW1270" s="167"/>
      <c r="AX1270" s="146"/>
      <c r="AY1270" s="168"/>
    </row>
    <row r="1271" spans="1:51" s="139" customFormat="1" ht="11.25" hidden="1" x14ac:dyDescent="0.25">
      <c r="A1271" s="1"/>
      <c r="B1271" s="140">
        <v>5</v>
      </c>
      <c r="C1271" s="359" t="s">
        <v>522</v>
      </c>
      <c r="D1271" s="142"/>
      <c r="E1271" s="143"/>
      <c r="F1271" s="143"/>
      <c r="G1271" s="143"/>
      <c r="H1271" s="143"/>
      <c r="I1271" s="143"/>
      <c r="J1271" s="143"/>
      <c r="K1271" s="143"/>
      <c r="L1271" s="143"/>
      <c r="M1271" s="143"/>
      <c r="N1271" s="222"/>
      <c r="O1271" s="222">
        <v>401272</v>
      </c>
      <c r="P1271" s="145"/>
      <c r="Q1271" s="223">
        <f t="shared" si="1010"/>
        <v>401272</v>
      </c>
      <c r="R1271" s="147">
        <f t="shared" si="1011"/>
        <v>44139.92</v>
      </c>
      <c r="S1271" s="147">
        <f t="shared" si="1012"/>
        <v>120.93128767123287</v>
      </c>
      <c r="T1271" s="148">
        <f t="shared" si="1013"/>
        <v>26483.951999999997</v>
      </c>
      <c r="U1271" s="420"/>
      <c r="V1271" s="407"/>
      <c r="W1271" s="236"/>
      <c r="X1271" s="236"/>
      <c r="Y1271" s="408"/>
      <c r="Z1271" s="409"/>
      <c r="AA1271" s="409"/>
      <c r="AB1271" s="410"/>
      <c r="AC1271" s="155"/>
      <c r="AD1271" s="156"/>
      <c r="AE1271" s="156"/>
      <c r="AF1271" s="156"/>
      <c r="AG1271" s="156"/>
      <c r="AH1271" s="156"/>
      <c r="AI1271" s="156"/>
      <c r="AJ1271" s="156"/>
      <c r="AK1271" s="156"/>
      <c r="AL1271" s="156"/>
      <c r="AM1271" s="157"/>
      <c r="AN1271" s="158">
        <f t="shared" si="1014"/>
        <v>4000</v>
      </c>
      <c r="AO1271" s="159"/>
      <c r="AP1271" s="160"/>
      <c r="AQ1271" s="161"/>
      <c r="AR1271" s="162"/>
      <c r="AS1271" s="163"/>
      <c r="AT1271" s="164"/>
      <c r="AU1271" s="165"/>
      <c r="AV1271" s="166"/>
      <c r="AW1271" s="167"/>
      <c r="AX1271" s="146"/>
      <c r="AY1271" s="168"/>
    </row>
    <row r="1272" spans="1:51" s="139" customFormat="1" ht="11.25" hidden="1" x14ac:dyDescent="0.25">
      <c r="A1272" s="1"/>
      <c r="B1272" s="140">
        <v>6</v>
      </c>
      <c r="C1272" s="360" t="s">
        <v>523</v>
      </c>
      <c r="D1272" s="142"/>
      <c r="E1272" s="143"/>
      <c r="F1272" s="143"/>
      <c r="G1272" s="143"/>
      <c r="H1272" s="143"/>
      <c r="I1272" s="143"/>
      <c r="J1272" s="143"/>
      <c r="K1272" s="143"/>
      <c r="L1272" s="143"/>
      <c r="M1272" s="143"/>
      <c r="N1272" s="222"/>
      <c r="O1272" s="222"/>
      <c r="P1272" s="145"/>
      <c r="Q1272" s="223">
        <f t="shared" si="1010"/>
        <v>0</v>
      </c>
      <c r="R1272" s="147">
        <f t="shared" si="1011"/>
        <v>0</v>
      </c>
      <c r="S1272" s="147">
        <f t="shared" si="1012"/>
        <v>0</v>
      </c>
      <c r="T1272" s="148">
        <f t="shared" si="1013"/>
        <v>0</v>
      </c>
      <c r="U1272" s="420"/>
      <c r="V1272" s="407"/>
      <c r="W1272" s="236"/>
      <c r="X1272" s="236"/>
      <c r="Y1272" s="408"/>
      <c r="Z1272" s="409"/>
      <c r="AA1272" s="409"/>
      <c r="AB1272" s="410"/>
      <c r="AC1272" s="155"/>
      <c r="AD1272" s="156"/>
      <c r="AE1272" s="156"/>
      <c r="AF1272" s="156"/>
      <c r="AG1272" s="156"/>
      <c r="AH1272" s="156"/>
      <c r="AI1272" s="156"/>
      <c r="AJ1272" s="156"/>
      <c r="AK1272" s="156"/>
      <c r="AL1272" s="156"/>
      <c r="AM1272" s="157"/>
      <c r="AN1272" s="158">
        <f t="shared" si="1014"/>
        <v>4000</v>
      </c>
      <c r="AO1272" s="159"/>
      <c r="AP1272" s="160"/>
      <c r="AQ1272" s="161"/>
      <c r="AR1272" s="162"/>
      <c r="AS1272" s="163"/>
      <c r="AT1272" s="164"/>
      <c r="AU1272" s="165"/>
      <c r="AV1272" s="166"/>
      <c r="AW1272" s="167"/>
      <c r="AX1272" s="146"/>
      <c r="AY1272" s="168"/>
    </row>
    <row r="1273" spans="1:51" s="190" customFormat="1" ht="16.7" hidden="1" customHeight="1" x14ac:dyDescent="0.25">
      <c r="A1273" s="173"/>
      <c r="B1273" s="120"/>
      <c r="C1273" s="352" t="s">
        <v>524</v>
      </c>
      <c r="D1273" s="240">
        <f t="shared" ref="D1273:AX1273" si="1015">SUM(D1267:D1272)</f>
        <v>0</v>
      </c>
      <c r="E1273" s="240">
        <f t="shared" si="1015"/>
        <v>0</v>
      </c>
      <c r="F1273" s="240">
        <f t="shared" si="1015"/>
        <v>0</v>
      </c>
      <c r="G1273" s="240">
        <f t="shared" si="1015"/>
        <v>0</v>
      </c>
      <c r="H1273" s="240">
        <f t="shared" si="1015"/>
        <v>0</v>
      </c>
      <c r="I1273" s="240">
        <f t="shared" si="1015"/>
        <v>0</v>
      </c>
      <c r="J1273" s="240">
        <f t="shared" si="1015"/>
        <v>0</v>
      </c>
      <c r="K1273" s="240">
        <f t="shared" si="1015"/>
        <v>0</v>
      </c>
      <c r="L1273" s="240">
        <f t="shared" si="1015"/>
        <v>0</v>
      </c>
      <c r="M1273" s="240">
        <f t="shared" si="1015"/>
        <v>0</v>
      </c>
      <c r="N1273" s="240">
        <f t="shared" si="1015"/>
        <v>0</v>
      </c>
      <c r="O1273" s="240">
        <f t="shared" si="1015"/>
        <v>1189203</v>
      </c>
      <c r="P1273" s="240">
        <f t="shared" si="1015"/>
        <v>0</v>
      </c>
      <c r="Q1273" s="240">
        <f t="shared" si="1015"/>
        <v>1189203</v>
      </c>
      <c r="R1273" s="240">
        <f t="shared" si="1015"/>
        <v>130812.33</v>
      </c>
      <c r="S1273" s="240">
        <f t="shared" si="1015"/>
        <v>358.38994520547942</v>
      </c>
      <c r="T1273" s="240">
        <f t="shared" si="1015"/>
        <v>78487.397999999986</v>
      </c>
      <c r="U1273" s="240">
        <f t="shared" si="1015"/>
        <v>0</v>
      </c>
      <c r="V1273" s="240">
        <f t="shared" si="1015"/>
        <v>0</v>
      </c>
      <c r="W1273" s="240">
        <f t="shared" si="1015"/>
        <v>0</v>
      </c>
      <c r="X1273" s="240">
        <f t="shared" si="1015"/>
        <v>0</v>
      </c>
      <c r="Y1273" s="240">
        <f t="shared" si="1015"/>
        <v>0</v>
      </c>
      <c r="Z1273" s="240">
        <f t="shared" si="1015"/>
        <v>0</v>
      </c>
      <c r="AA1273" s="240">
        <f t="shared" si="1015"/>
        <v>0</v>
      </c>
      <c r="AB1273" s="240">
        <f t="shared" si="1015"/>
        <v>0</v>
      </c>
      <c r="AC1273" s="240">
        <f t="shared" si="1015"/>
        <v>0</v>
      </c>
      <c r="AD1273" s="240">
        <f t="shared" si="1015"/>
        <v>0</v>
      </c>
      <c r="AE1273" s="240">
        <f t="shared" si="1015"/>
        <v>0</v>
      </c>
      <c r="AF1273" s="240">
        <f t="shared" si="1015"/>
        <v>0</v>
      </c>
      <c r="AG1273" s="240">
        <f t="shared" si="1015"/>
        <v>0</v>
      </c>
      <c r="AH1273" s="240">
        <f t="shared" si="1015"/>
        <v>0</v>
      </c>
      <c r="AI1273" s="240">
        <f t="shared" si="1015"/>
        <v>0</v>
      </c>
      <c r="AJ1273" s="240">
        <f t="shared" si="1015"/>
        <v>0</v>
      </c>
      <c r="AK1273" s="240">
        <f t="shared" si="1015"/>
        <v>0</v>
      </c>
      <c r="AL1273" s="240">
        <f t="shared" si="1015"/>
        <v>0</v>
      </c>
      <c r="AM1273" s="240">
        <f t="shared" si="1015"/>
        <v>0</v>
      </c>
      <c r="AN1273" s="240"/>
      <c r="AO1273" s="240"/>
      <c r="AP1273" s="240">
        <f t="shared" si="1015"/>
        <v>0</v>
      </c>
      <c r="AQ1273" s="240">
        <f t="shared" si="1015"/>
        <v>0</v>
      </c>
      <c r="AR1273" s="240">
        <f t="shared" si="1015"/>
        <v>0</v>
      </c>
      <c r="AS1273" s="240">
        <f t="shared" si="1015"/>
        <v>0</v>
      </c>
      <c r="AT1273" s="240">
        <f t="shared" si="1015"/>
        <v>0</v>
      </c>
      <c r="AU1273" s="240">
        <f t="shared" si="1015"/>
        <v>0</v>
      </c>
      <c r="AV1273" s="240">
        <f t="shared" si="1015"/>
        <v>0</v>
      </c>
      <c r="AW1273" s="240">
        <f t="shared" si="1015"/>
        <v>0</v>
      </c>
      <c r="AX1273" s="240">
        <f t="shared" si="1015"/>
        <v>0</v>
      </c>
      <c r="AY1273" s="189"/>
    </row>
    <row r="1274" spans="1:51" hidden="1" x14ac:dyDescent="0.25"/>
    <row r="1275" spans="1:51" s="139" customFormat="1" ht="15" hidden="1" customHeight="1" x14ac:dyDescent="0.25">
      <c r="A1275" s="1"/>
      <c r="B1275" s="126"/>
      <c r="C1275" s="352" t="s">
        <v>525</v>
      </c>
      <c r="D1275" s="122"/>
      <c r="E1275" s="123"/>
      <c r="F1275" s="123"/>
      <c r="G1275" s="123"/>
      <c r="H1275" s="123"/>
      <c r="I1275" s="123"/>
      <c r="J1275" s="123"/>
      <c r="K1275" s="123"/>
      <c r="L1275" s="123"/>
      <c r="M1275" s="123"/>
      <c r="N1275" s="123"/>
      <c r="O1275" s="123"/>
      <c r="P1275" s="213"/>
      <c r="Q1275" s="76"/>
      <c r="R1275" s="108"/>
      <c r="S1275" s="108"/>
      <c r="T1275" s="94"/>
      <c r="U1275" s="120"/>
      <c r="V1275" s="67"/>
      <c r="W1275" s="123"/>
      <c r="X1275" s="123"/>
      <c r="Y1275" s="125"/>
      <c r="Z1275" s="126"/>
      <c r="AA1275" s="126"/>
      <c r="AB1275" s="127"/>
      <c r="AC1275" s="62"/>
      <c r="AD1275" s="215"/>
      <c r="AE1275" s="215"/>
      <c r="AF1275" s="215"/>
      <c r="AG1275" s="215"/>
      <c r="AH1275" s="215"/>
      <c r="AI1275" s="215"/>
      <c r="AJ1275" s="215"/>
      <c r="AK1275" s="215"/>
      <c r="AL1275" s="215"/>
      <c r="AM1275" s="125"/>
      <c r="AN1275" s="75"/>
      <c r="AO1275" s="216"/>
      <c r="AP1275" s="75"/>
      <c r="AQ1275" s="51"/>
      <c r="AR1275" s="217"/>
      <c r="AS1275" s="218"/>
      <c r="AT1275" s="219"/>
      <c r="AU1275" s="220"/>
      <c r="AV1275" s="135"/>
      <c r="AW1275" s="136"/>
      <c r="AX1275" s="137"/>
      <c r="AY1275" s="138"/>
    </row>
    <row r="1276" spans="1:51" s="139" customFormat="1" ht="11.25" hidden="1" x14ac:dyDescent="0.25">
      <c r="A1276" s="1"/>
      <c r="B1276" s="140">
        <v>1</v>
      </c>
      <c r="C1276" s="361" t="s">
        <v>526</v>
      </c>
      <c r="D1276" s="142"/>
      <c r="E1276" s="143"/>
      <c r="F1276" s="143"/>
      <c r="G1276" s="143"/>
      <c r="H1276" s="143"/>
      <c r="I1276" s="143"/>
      <c r="J1276" s="143"/>
      <c r="K1276" s="143"/>
      <c r="L1276" s="143"/>
      <c r="M1276" s="143"/>
      <c r="N1276" s="222"/>
      <c r="O1276" s="222">
        <v>123283</v>
      </c>
      <c r="P1276" s="145"/>
      <c r="Q1276" s="223">
        <f>MAX(D1276:P1276)</f>
        <v>123283</v>
      </c>
      <c r="R1276" s="147">
        <f>Q1276*$R$10</f>
        <v>13561.13</v>
      </c>
      <c r="S1276" s="147">
        <f t="shared" ref="S1276:S1296" si="1016">R1276/$S$5</f>
        <v>37.153780821917806</v>
      </c>
      <c r="T1276" s="148">
        <f>S1276*$T$5*$T$10</f>
        <v>8136.677999999999</v>
      </c>
      <c r="U1276" s="420"/>
      <c r="V1276" s="407"/>
      <c r="W1276" s="236"/>
      <c r="X1276" s="236"/>
      <c r="Y1276" s="408"/>
      <c r="Z1276" s="409"/>
      <c r="AA1276" s="409"/>
      <c r="AB1276" s="410"/>
      <c r="AC1276" s="155"/>
      <c r="AD1276" s="156"/>
      <c r="AE1276" s="156"/>
      <c r="AF1276" s="156"/>
      <c r="AG1276" s="156"/>
      <c r="AH1276" s="156"/>
      <c r="AI1276" s="156"/>
      <c r="AJ1276" s="156"/>
      <c r="AK1276" s="156"/>
      <c r="AL1276" s="156"/>
      <c r="AM1276" s="157"/>
      <c r="AN1276" s="158">
        <f t="shared" ref="AN1276:AN1301" si="1017">$AN$641</f>
        <v>4000</v>
      </c>
      <c r="AO1276" s="159"/>
      <c r="AP1276" s="160"/>
      <c r="AQ1276" s="161"/>
      <c r="AR1276" s="162"/>
      <c r="AS1276" s="163"/>
      <c r="AT1276" s="164"/>
      <c r="AU1276" s="165"/>
      <c r="AV1276" s="166"/>
      <c r="AW1276" s="167"/>
      <c r="AX1276" s="146"/>
      <c r="AY1276" s="168"/>
    </row>
    <row r="1277" spans="1:51" s="139" customFormat="1" ht="11.25" hidden="1" x14ac:dyDescent="0.25">
      <c r="A1277" s="1"/>
      <c r="B1277" s="140">
        <v>2</v>
      </c>
      <c r="C1277" s="361" t="s">
        <v>527</v>
      </c>
      <c r="D1277" s="142"/>
      <c r="E1277" s="143"/>
      <c r="F1277" s="143"/>
      <c r="G1277" s="143"/>
      <c r="H1277" s="143"/>
      <c r="I1277" s="143"/>
      <c r="J1277" s="143"/>
      <c r="K1277" s="143"/>
      <c r="L1277" s="143"/>
      <c r="M1277" s="143"/>
      <c r="N1277" s="222"/>
      <c r="O1277" s="222">
        <v>398531</v>
      </c>
      <c r="P1277" s="145"/>
      <c r="Q1277" s="223">
        <f t="shared" ref="Q1277:Q1301" si="1018">MAX(D1277:P1277)</f>
        <v>398531</v>
      </c>
      <c r="R1277" s="147">
        <f>Q1277*$R$10</f>
        <v>43838.41</v>
      </c>
      <c r="S1277" s="147">
        <f t="shared" si="1016"/>
        <v>120.10523287671234</v>
      </c>
      <c r="T1277" s="148">
        <f>S1277*$T$5*$T$10</f>
        <v>26303.046000000002</v>
      </c>
      <c r="U1277" s="420"/>
      <c r="V1277" s="407"/>
      <c r="W1277" s="236"/>
      <c r="X1277" s="236"/>
      <c r="Y1277" s="408"/>
      <c r="Z1277" s="409"/>
      <c r="AA1277" s="409"/>
      <c r="AB1277" s="410"/>
      <c r="AC1277" s="155"/>
      <c r="AD1277" s="156"/>
      <c r="AE1277" s="156"/>
      <c r="AF1277" s="156"/>
      <c r="AG1277" s="156"/>
      <c r="AH1277" s="156"/>
      <c r="AI1277" s="156"/>
      <c r="AJ1277" s="156"/>
      <c r="AK1277" s="156"/>
      <c r="AL1277" s="156"/>
      <c r="AM1277" s="157"/>
      <c r="AN1277" s="158">
        <f t="shared" si="1017"/>
        <v>4000</v>
      </c>
      <c r="AO1277" s="159"/>
      <c r="AP1277" s="160"/>
      <c r="AQ1277" s="161"/>
      <c r="AR1277" s="162"/>
      <c r="AS1277" s="163"/>
      <c r="AT1277" s="164"/>
      <c r="AU1277" s="165"/>
      <c r="AV1277" s="166"/>
      <c r="AW1277" s="167"/>
      <c r="AX1277" s="146"/>
      <c r="AY1277" s="168"/>
    </row>
    <row r="1278" spans="1:51" s="139" customFormat="1" ht="11.25" hidden="1" x14ac:dyDescent="0.25">
      <c r="A1278" s="1"/>
      <c r="B1278" s="140">
        <v>3</v>
      </c>
      <c r="C1278" s="361" t="s">
        <v>528</v>
      </c>
      <c r="D1278" s="142"/>
      <c r="E1278" s="143"/>
      <c r="F1278" s="143"/>
      <c r="G1278" s="143"/>
      <c r="H1278" s="143"/>
      <c r="I1278" s="143"/>
      <c r="J1278" s="143"/>
      <c r="K1278" s="143"/>
      <c r="L1278" s="143"/>
      <c r="M1278" s="143"/>
      <c r="N1278" s="222"/>
      <c r="O1278" s="222">
        <v>178477</v>
      </c>
      <c r="P1278" s="145"/>
      <c r="Q1278" s="223">
        <f t="shared" si="1018"/>
        <v>178477</v>
      </c>
      <c r="R1278" s="147">
        <f>Q1278*$R$10</f>
        <v>19632.47</v>
      </c>
      <c r="S1278" s="147">
        <f t="shared" si="1016"/>
        <v>53.787589041095892</v>
      </c>
      <c r="T1278" s="148">
        <f>S1278*$T$5*$T$10</f>
        <v>11779.482</v>
      </c>
      <c r="U1278" s="420"/>
      <c r="V1278" s="407"/>
      <c r="W1278" s="236"/>
      <c r="X1278" s="236"/>
      <c r="Y1278" s="408"/>
      <c r="Z1278" s="409"/>
      <c r="AA1278" s="409"/>
      <c r="AB1278" s="410"/>
      <c r="AC1278" s="155"/>
      <c r="AD1278" s="156"/>
      <c r="AE1278" s="156"/>
      <c r="AF1278" s="156"/>
      <c r="AG1278" s="156"/>
      <c r="AH1278" s="156"/>
      <c r="AI1278" s="156"/>
      <c r="AJ1278" s="156"/>
      <c r="AK1278" s="156"/>
      <c r="AL1278" s="156"/>
      <c r="AM1278" s="157"/>
      <c r="AN1278" s="158">
        <f t="shared" si="1017"/>
        <v>4000</v>
      </c>
      <c r="AO1278" s="159"/>
      <c r="AP1278" s="160"/>
      <c r="AQ1278" s="161"/>
      <c r="AR1278" s="162"/>
      <c r="AS1278" s="163"/>
      <c r="AT1278" s="164"/>
      <c r="AU1278" s="165"/>
      <c r="AV1278" s="166"/>
      <c r="AW1278" s="167"/>
      <c r="AX1278" s="146"/>
      <c r="AY1278" s="168"/>
    </row>
    <row r="1279" spans="1:51" s="139" customFormat="1" ht="11.25" hidden="1" x14ac:dyDescent="0.25">
      <c r="A1279" s="1"/>
      <c r="B1279" s="140">
        <v>4</v>
      </c>
      <c r="C1279" s="361" t="s">
        <v>529</v>
      </c>
      <c r="D1279" s="142"/>
      <c r="E1279" s="143"/>
      <c r="F1279" s="143"/>
      <c r="G1279" s="143"/>
      <c r="H1279" s="143"/>
      <c r="I1279" s="143"/>
      <c r="J1279" s="143"/>
      <c r="K1279" s="143"/>
      <c r="L1279" s="143"/>
      <c r="M1279" s="143"/>
      <c r="N1279" s="222"/>
      <c r="O1279" s="222">
        <v>346149</v>
      </c>
      <c r="P1279" s="145"/>
      <c r="Q1279" s="223">
        <f t="shared" si="1018"/>
        <v>346149</v>
      </c>
      <c r="R1279" s="147">
        <f>Q1279*$R$10</f>
        <v>38076.39</v>
      </c>
      <c r="S1279" s="147">
        <f t="shared" si="1016"/>
        <v>104.31887671232876</v>
      </c>
      <c r="T1279" s="148">
        <f>S1279*$T$5*$T$10</f>
        <v>22845.833999999999</v>
      </c>
      <c r="U1279" s="420"/>
      <c r="V1279" s="407"/>
      <c r="W1279" s="236"/>
      <c r="X1279" s="236"/>
      <c r="Y1279" s="408"/>
      <c r="Z1279" s="409"/>
      <c r="AA1279" s="409"/>
      <c r="AB1279" s="410"/>
      <c r="AC1279" s="155"/>
      <c r="AD1279" s="156"/>
      <c r="AE1279" s="156"/>
      <c r="AF1279" s="156"/>
      <c r="AG1279" s="156"/>
      <c r="AH1279" s="156"/>
      <c r="AI1279" s="156"/>
      <c r="AJ1279" s="156"/>
      <c r="AK1279" s="156"/>
      <c r="AL1279" s="156"/>
      <c r="AM1279" s="157"/>
      <c r="AN1279" s="158">
        <f t="shared" si="1017"/>
        <v>4000</v>
      </c>
      <c r="AO1279" s="159"/>
      <c r="AP1279" s="160"/>
      <c r="AQ1279" s="161"/>
      <c r="AR1279" s="162"/>
      <c r="AS1279" s="163"/>
      <c r="AT1279" s="164"/>
      <c r="AU1279" s="165"/>
      <c r="AV1279" s="166"/>
      <c r="AW1279" s="167"/>
      <c r="AX1279" s="146"/>
      <c r="AY1279" s="168"/>
    </row>
    <row r="1280" spans="1:51" s="139" customFormat="1" ht="11.25" hidden="1" x14ac:dyDescent="0.25">
      <c r="A1280" s="1"/>
      <c r="B1280" s="140">
        <v>5</v>
      </c>
      <c r="C1280" s="361" t="s">
        <v>530</v>
      </c>
      <c r="D1280" s="142"/>
      <c r="E1280" s="143"/>
      <c r="F1280" s="143"/>
      <c r="G1280" s="143"/>
      <c r="H1280" s="143"/>
      <c r="I1280" s="143"/>
      <c r="J1280" s="143"/>
      <c r="K1280" s="143"/>
      <c r="L1280" s="143"/>
      <c r="M1280" s="143"/>
      <c r="N1280" s="222"/>
      <c r="O1280" s="222">
        <v>272316</v>
      </c>
      <c r="P1280" s="145"/>
      <c r="Q1280" s="223">
        <f t="shared" si="1018"/>
        <v>272316</v>
      </c>
      <c r="R1280" s="147">
        <f>Q1280*$R$10</f>
        <v>29954.76</v>
      </c>
      <c r="S1280" s="147">
        <f t="shared" si="1016"/>
        <v>82.067835616438359</v>
      </c>
      <c r="T1280" s="148">
        <f>S1280*$T$5*$T$10</f>
        <v>17972.856</v>
      </c>
      <c r="U1280" s="420"/>
      <c r="V1280" s="407"/>
      <c r="W1280" s="236"/>
      <c r="X1280" s="236"/>
      <c r="Y1280" s="408"/>
      <c r="Z1280" s="409"/>
      <c r="AA1280" s="409"/>
      <c r="AB1280" s="410"/>
      <c r="AC1280" s="155"/>
      <c r="AD1280" s="156"/>
      <c r="AE1280" s="156"/>
      <c r="AF1280" s="156"/>
      <c r="AG1280" s="156"/>
      <c r="AH1280" s="156"/>
      <c r="AI1280" s="156"/>
      <c r="AJ1280" s="156"/>
      <c r="AK1280" s="156"/>
      <c r="AL1280" s="156"/>
      <c r="AM1280" s="157"/>
      <c r="AN1280" s="158">
        <f t="shared" si="1017"/>
        <v>4000</v>
      </c>
      <c r="AO1280" s="159"/>
      <c r="AP1280" s="160"/>
      <c r="AQ1280" s="161"/>
      <c r="AR1280" s="162"/>
      <c r="AS1280" s="163"/>
      <c r="AT1280" s="164"/>
      <c r="AU1280" s="165"/>
      <c r="AV1280" s="166"/>
      <c r="AW1280" s="167"/>
      <c r="AX1280" s="146"/>
      <c r="AY1280" s="168"/>
    </row>
    <row r="1281" spans="1:51" s="139" customFormat="1" ht="11.25" hidden="1" x14ac:dyDescent="0.25">
      <c r="A1281" s="1"/>
      <c r="B1281" s="140">
        <v>6</v>
      </c>
      <c r="C1281" s="361" t="s">
        <v>531</v>
      </c>
      <c r="D1281" s="142"/>
      <c r="E1281" s="143"/>
      <c r="F1281" s="143"/>
      <c r="G1281" s="143"/>
      <c r="H1281" s="143"/>
      <c r="I1281" s="143"/>
      <c r="J1281" s="143"/>
      <c r="K1281" s="143"/>
      <c r="L1281" s="143"/>
      <c r="M1281" s="143"/>
      <c r="N1281" s="222"/>
      <c r="O1281" s="222">
        <v>659512</v>
      </c>
      <c r="P1281" s="145"/>
      <c r="Q1281" s="223">
        <f t="shared" si="1018"/>
        <v>659512</v>
      </c>
      <c r="R1281" s="147">
        <f>Q1281*$R$9</f>
        <v>96288.751999999993</v>
      </c>
      <c r="S1281" s="147">
        <f t="shared" si="1016"/>
        <v>263.8048</v>
      </c>
      <c r="T1281" s="148">
        <f>S1281*$T$5*$T$9</f>
        <v>67402.126399999994</v>
      </c>
      <c r="U1281" s="420"/>
      <c r="V1281" s="407"/>
      <c r="W1281" s="236"/>
      <c r="X1281" s="236"/>
      <c r="Y1281" s="408"/>
      <c r="Z1281" s="409"/>
      <c r="AA1281" s="409"/>
      <c r="AB1281" s="410"/>
      <c r="AC1281" s="155"/>
      <c r="AD1281" s="156"/>
      <c r="AE1281" s="156"/>
      <c r="AF1281" s="156"/>
      <c r="AG1281" s="156"/>
      <c r="AH1281" s="156"/>
      <c r="AI1281" s="156"/>
      <c r="AJ1281" s="156"/>
      <c r="AK1281" s="156"/>
      <c r="AL1281" s="156"/>
      <c r="AM1281" s="157"/>
      <c r="AN1281" s="158">
        <f t="shared" si="1017"/>
        <v>4000</v>
      </c>
      <c r="AO1281" s="159"/>
      <c r="AP1281" s="160"/>
      <c r="AQ1281" s="161"/>
      <c r="AR1281" s="162"/>
      <c r="AS1281" s="163"/>
      <c r="AT1281" s="164"/>
      <c r="AU1281" s="165"/>
      <c r="AV1281" s="166"/>
      <c r="AW1281" s="167"/>
      <c r="AX1281" s="146"/>
      <c r="AY1281" s="168"/>
    </row>
    <row r="1282" spans="1:51" s="139" customFormat="1" ht="11.25" hidden="1" x14ac:dyDescent="0.25">
      <c r="A1282" s="1"/>
      <c r="B1282" s="140">
        <v>7</v>
      </c>
      <c r="C1282" s="361" t="s">
        <v>532</v>
      </c>
      <c r="D1282" s="142"/>
      <c r="E1282" s="143"/>
      <c r="F1282" s="143"/>
      <c r="G1282" s="143"/>
      <c r="H1282" s="143"/>
      <c r="I1282" s="143"/>
      <c r="J1282" s="143"/>
      <c r="K1282" s="143"/>
      <c r="L1282" s="143"/>
      <c r="M1282" s="143"/>
      <c r="N1282" s="222"/>
      <c r="O1282" s="222">
        <v>231182</v>
      </c>
      <c r="P1282" s="145"/>
      <c r="Q1282" s="223">
        <f t="shared" si="1018"/>
        <v>231182</v>
      </c>
      <c r="R1282" s="147">
        <f>Q1282*$R$10</f>
        <v>25430.02</v>
      </c>
      <c r="S1282" s="147">
        <f t="shared" si="1016"/>
        <v>69.671287671232875</v>
      </c>
      <c r="T1282" s="148">
        <f>S1282*$T$5*$T$10</f>
        <v>15258.011999999999</v>
      </c>
      <c r="U1282" s="420"/>
      <c r="V1282" s="407"/>
      <c r="W1282" s="236"/>
      <c r="X1282" s="236"/>
      <c r="Y1282" s="408"/>
      <c r="Z1282" s="409"/>
      <c r="AA1282" s="409"/>
      <c r="AB1282" s="410"/>
      <c r="AC1282" s="155"/>
      <c r="AD1282" s="156"/>
      <c r="AE1282" s="156"/>
      <c r="AF1282" s="156"/>
      <c r="AG1282" s="156"/>
      <c r="AH1282" s="156"/>
      <c r="AI1282" s="156"/>
      <c r="AJ1282" s="156"/>
      <c r="AK1282" s="156"/>
      <c r="AL1282" s="156"/>
      <c r="AM1282" s="157"/>
      <c r="AN1282" s="158">
        <f t="shared" si="1017"/>
        <v>4000</v>
      </c>
      <c r="AO1282" s="159"/>
      <c r="AP1282" s="160"/>
      <c r="AQ1282" s="161"/>
      <c r="AR1282" s="162"/>
      <c r="AS1282" s="163"/>
      <c r="AT1282" s="164"/>
      <c r="AU1282" s="165"/>
      <c r="AV1282" s="166"/>
      <c r="AW1282" s="167"/>
      <c r="AX1282" s="146"/>
      <c r="AY1282" s="168"/>
    </row>
    <row r="1283" spans="1:51" s="139" customFormat="1" ht="11.25" hidden="1" x14ac:dyDescent="0.25">
      <c r="A1283" s="1"/>
      <c r="B1283" s="140">
        <v>8</v>
      </c>
      <c r="C1283" s="361" t="s">
        <v>533</v>
      </c>
      <c r="D1283" s="142"/>
      <c r="E1283" s="143"/>
      <c r="F1283" s="143"/>
      <c r="G1283" s="143"/>
      <c r="H1283" s="143"/>
      <c r="I1283" s="143"/>
      <c r="J1283" s="143"/>
      <c r="K1283" s="143"/>
      <c r="L1283" s="143"/>
      <c r="M1283" s="143"/>
      <c r="N1283" s="222"/>
      <c r="O1283" s="222">
        <v>322212</v>
      </c>
      <c r="P1283" s="145"/>
      <c r="Q1283" s="223">
        <f t="shared" si="1018"/>
        <v>322212</v>
      </c>
      <c r="R1283" s="147">
        <f>Q1283*$R$10</f>
        <v>35443.32</v>
      </c>
      <c r="S1283" s="147">
        <f t="shared" si="1016"/>
        <v>97.104986301369863</v>
      </c>
      <c r="T1283" s="148">
        <f>S1283*$T$5*$T$10</f>
        <v>21265.991999999998</v>
      </c>
      <c r="U1283" s="420"/>
      <c r="V1283" s="407"/>
      <c r="W1283" s="236"/>
      <c r="X1283" s="236"/>
      <c r="Y1283" s="408"/>
      <c r="Z1283" s="409"/>
      <c r="AA1283" s="409"/>
      <c r="AB1283" s="410"/>
      <c r="AC1283" s="155"/>
      <c r="AD1283" s="156"/>
      <c r="AE1283" s="156"/>
      <c r="AF1283" s="156"/>
      <c r="AG1283" s="156"/>
      <c r="AH1283" s="156"/>
      <c r="AI1283" s="156"/>
      <c r="AJ1283" s="156"/>
      <c r="AK1283" s="156"/>
      <c r="AL1283" s="156"/>
      <c r="AM1283" s="157"/>
      <c r="AN1283" s="158">
        <f t="shared" si="1017"/>
        <v>4000</v>
      </c>
      <c r="AO1283" s="159"/>
      <c r="AP1283" s="160"/>
      <c r="AQ1283" s="161"/>
      <c r="AR1283" s="162"/>
      <c r="AS1283" s="163"/>
      <c r="AT1283" s="164"/>
      <c r="AU1283" s="165"/>
      <c r="AV1283" s="166"/>
      <c r="AW1283" s="167"/>
      <c r="AX1283" s="146"/>
      <c r="AY1283" s="168"/>
    </row>
    <row r="1284" spans="1:51" s="139" customFormat="1" ht="11.25" hidden="1" x14ac:dyDescent="0.25">
      <c r="A1284" s="1"/>
      <c r="B1284" s="140">
        <v>9</v>
      </c>
      <c r="C1284" s="361" t="s">
        <v>534</v>
      </c>
      <c r="D1284" s="142"/>
      <c r="E1284" s="143"/>
      <c r="F1284" s="143"/>
      <c r="G1284" s="143"/>
      <c r="H1284" s="143"/>
      <c r="I1284" s="143"/>
      <c r="J1284" s="143"/>
      <c r="K1284" s="143"/>
      <c r="L1284" s="143"/>
      <c r="M1284" s="143"/>
      <c r="N1284" s="222"/>
      <c r="O1284" s="222">
        <v>308814</v>
      </c>
      <c r="P1284" s="145"/>
      <c r="Q1284" s="223">
        <f t="shared" si="1018"/>
        <v>308814</v>
      </c>
      <c r="R1284" s="147">
        <f>Q1284*$R$10</f>
        <v>33969.54</v>
      </c>
      <c r="S1284" s="147">
        <f t="shared" si="1016"/>
        <v>93.067232876712325</v>
      </c>
      <c r="T1284" s="148">
        <f>S1284*$T$5*$T$10</f>
        <v>20381.723999999998</v>
      </c>
      <c r="U1284" s="420"/>
      <c r="V1284" s="407"/>
      <c r="W1284" s="236"/>
      <c r="X1284" s="236"/>
      <c r="Y1284" s="408"/>
      <c r="Z1284" s="409"/>
      <c r="AA1284" s="409"/>
      <c r="AB1284" s="410"/>
      <c r="AC1284" s="155"/>
      <c r="AD1284" s="156"/>
      <c r="AE1284" s="156"/>
      <c r="AF1284" s="156"/>
      <c r="AG1284" s="156"/>
      <c r="AH1284" s="156"/>
      <c r="AI1284" s="156"/>
      <c r="AJ1284" s="156"/>
      <c r="AK1284" s="156"/>
      <c r="AL1284" s="156"/>
      <c r="AM1284" s="157"/>
      <c r="AN1284" s="158">
        <f t="shared" si="1017"/>
        <v>4000</v>
      </c>
      <c r="AO1284" s="159"/>
      <c r="AP1284" s="160"/>
      <c r="AQ1284" s="161"/>
      <c r="AR1284" s="162"/>
      <c r="AS1284" s="163"/>
      <c r="AT1284" s="164"/>
      <c r="AU1284" s="165"/>
      <c r="AV1284" s="166"/>
      <c r="AW1284" s="167"/>
      <c r="AX1284" s="146"/>
      <c r="AY1284" s="168"/>
    </row>
    <row r="1285" spans="1:51" s="139" customFormat="1" ht="11.25" hidden="1" x14ac:dyDescent="0.25">
      <c r="A1285" s="1"/>
      <c r="B1285" s="140">
        <v>10</v>
      </c>
      <c r="C1285" s="361" t="s">
        <v>535</v>
      </c>
      <c r="D1285" s="142"/>
      <c r="E1285" s="143"/>
      <c r="F1285" s="143"/>
      <c r="G1285" s="143"/>
      <c r="H1285" s="143"/>
      <c r="I1285" s="143"/>
      <c r="J1285" s="143"/>
      <c r="K1285" s="143"/>
      <c r="L1285" s="143"/>
      <c r="M1285" s="143"/>
      <c r="N1285" s="222"/>
      <c r="O1285" s="222">
        <v>167653</v>
      </c>
      <c r="P1285" s="145"/>
      <c r="Q1285" s="223">
        <f t="shared" si="1018"/>
        <v>167653</v>
      </c>
      <c r="R1285" s="147">
        <f>Q1285*$R$10</f>
        <v>18441.830000000002</v>
      </c>
      <c r="S1285" s="147">
        <f t="shared" si="1016"/>
        <v>50.525561643835623</v>
      </c>
      <c r="T1285" s="148">
        <f>S1285*$T$5*$T$10</f>
        <v>11065.098</v>
      </c>
      <c r="U1285" s="420"/>
      <c r="V1285" s="407"/>
      <c r="W1285" s="236"/>
      <c r="X1285" s="236"/>
      <c r="Y1285" s="408"/>
      <c r="Z1285" s="409"/>
      <c r="AA1285" s="409"/>
      <c r="AB1285" s="410"/>
      <c r="AC1285" s="155"/>
      <c r="AD1285" s="156"/>
      <c r="AE1285" s="156"/>
      <c r="AF1285" s="156"/>
      <c r="AG1285" s="156"/>
      <c r="AH1285" s="156"/>
      <c r="AI1285" s="156"/>
      <c r="AJ1285" s="156"/>
      <c r="AK1285" s="156"/>
      <c r="AL1285" s="156"/>
      <c r="AM1285" s="157"/>
      <c r="AN1285" s="158">
        <f t="shared" si="1017"/>
        <v>4000</v>
      </c>
      <c r="AO1285" s="159"/>
      <c r="AP1285" s="160"/>
      <c r="AQ1285" s="161"/>
      <c r="AR1285" s="162"/>
      <c r="AS1285" s="163"/>
      <c r="AT1285" s="164"/>
      <c r="AU1285" s="165"/>
      <c r="AV1285" s="166"/>
      <c r="AW1285" s="167"/>
      <c r="AX1285" s="146"/>
      <c r="AY1285" s="168"/>
    </row>
    <row r="1286" spans="1:51" s="139" customFormat="1" ht="11.25" hidden="1" x14ac:dyDescent="0.25">
      <c r="A1286" s="1"/>
      <c r="B1286" s="140">
        <v>11</v>
      </c>
      <c r="C1286" s="361" t="s">
        <v>536</v>
      </c>
      <c r="D1286" s="142"/>
      <c r="E1286" s="143"/>
      <c r="F1286" s="143"/>
      <c r="G1286" s="143"/>
      <c r="H1286" s="143"/>
      <c r="I1286" s="143"/>
      <c r="J1286" s="143"/>
      <c r="K1286" s="143"/>
      <c r="L1286" s="143"/>
      <c r="M1286" s="143"/>
      <c r="N1286" s="222"/>
      <c r="O1286" s="222">
        <v>724905</v>
      </c>
      <c r="P1286" s="145"/>
      <c r="Q1286" s="223">
        <f t="shared" si="1018"/>
        <v>724905</v>
      </c>
      <c r="R1286" s="147">
        <f>Q1286*$R$9</f>
        <v>105836.12999999999</v>
      </c>
      <c r="S1286" s="147">
        <f t="shared" si="1016"/>
        <v>289.96199999999999</v>
      </c>
      <c r="T1286" s="148">
        <f>S1286*$T$5*$T$9</f>
        <v>74085.290999999983</v>
      </c>
      <c r="U1286" s="420"/>
      <c r="V1286" s="407"/>
      <c r="W1286" s="236"/>
      <c r="X1286" s="236"/>
      <c r="Y1286" s="408"/>
      <c r="Z1286" s="409"/>
      <c r="AA1286" s="409"/>
      <c r="AB1286" s="410"/>
      <c r="AC1286" s="155"/>
      <c r="AD1286" s="156"/>
      <c r="AE1286" s="156"/>
      <c r="AF1286" s="156"/>
      <c r="AG1286" s="156"/>
      <c r="AH1286" s="156"/>
      <c r="AI1286" s="156"/>
      <c r="AJ1286" s="156"/>
      <c r="AK1286" s="156"/>
      <c r="AL1286" s="156"/>
      <c r="AM1286" s="157"/>
      <c r="AN1286" s="158">
        <f t="shared" si="1017"/>
        <v>4000</v>
      </c>
      <c r="AO1286" s="159"/>
      <c r="AP1286" s="160"/>
      <c r="AQ1286" s="161"/>
      <c r="AR1286" s="162"/>
      <c r="AS1286" s="163"/>
      <c r="AT1286" s="164"/>
      <c r="AU1286" s="165"/>
      <c r="AV1286" s="166"/>
      <c r="AW1286" s="167"/>
      <c r="AX1286" s="146"/>
      <c r="AY1286" s="168"/>
    </row>
    <row r="1287" spans="1:51" s="139" customFormat="1" ht="11.25" hidden="1" x14ac:dyDescent="0.25">
      <c r="A1287" s="1"/>
      <c r="B1287" s="140">
        <v>12</v>
      </c>
      <c r="C1287" s="361" t="s">
        <v>537</v>
      </c>
      <c r="D1287" s="142"/>
      <c r="E1287" s="143"/>
      <c r="F1287" s="143"/>
      <c r="G1287" s="143"/>
      <c r="H1287" s="143"/>
      <c r="I1287" s="143"/>
      <c r="J1287" s="143"/>
      <c r="K1287" s="143"/>
      <c r="L1287" s="143"/>
      <c r="M1287" s="143"/>
      <c r="N1287" s="222"/>
      <c r="O1287" s="222">
        <v>226079</v>
      </c>
      <c r="P1287" s="145"/>
      <c r="Q1287" s="223">
        <f t="shared" si="1018"/>
        <v>226079</v>
      </c>
      <c r="R1287" s="147">
        <f t="shared" ref="R1287:R1301" si="1019">Q1287*$R$10</f>
        <v>24868.69</v>
      </c>
      <c r="S1287" s="147">
        <f t="shared" si="1016"/>
        <v>68.133397260273966</v>
      </c>
      <c r="T1287" s="148">
        <f t="shared" ref="T1287:T1296" si="1020">S1287*$T$5*$T$10</f>
        <v>14921.213999999998</v>
      </c>
      <c r="U1287" s="420"/>
      <c r="V1287" s="407"/>
      <c r="W1287" s="236"/>
      <c r="X1287" s="236"/>
      <c r="Y1287" s="408"/>
      <c r="Z1287" s="409"/>
      <c r="AA1287" s="409"/>
      <c r="AB1287" s="410"/>
      <c r="AC1287" s="155"/>
      <c r="AD1287" s="156"/>
      <c r="AE1287" s="156"/>
      <c r="AF1287" s="156"/>
      <c r="AG1287" s="156"/>
      <c r="AH1287" s="156"/>
      <c r="AI1287" s="156"/>
      <c r="AJ1287" s="156"/>
      <c r="AK1287" s="156"/>
      <c r="AL1287" s="156"/>
      <c r="AM1287" s="157"/>
      <c r="AN1287" s="158">
        <f t="shared" si="1017"/>
        <v>4000</v>
      </c>
      <c r="AO1287" s="159"/>
      <c r="AP1287" s="160"/>
      <c r="AQ1287" s="161"/>
      <c r="AR1287" s="162"/>
      <c r="AS1287" s="163"/>
      <c r="AT1287" s="164"/>
      <c r="AU1287" s="165"/>
      <c r="AV1287" s="166"/>
      <c r="AW1287" s="167"/>
      <c r="AX1287" s="146"/>
      <c r="AY1287" s="168"/>
    </row>
    <row r="1288" spans="1:51" s="139" customFormat="1" ht="11.25" hidden="1" x14ac:dyDescent="0.25">
      <c r="A1288" s="1"/>
      <c r="B1288" s="140">
        <v>13</v>
      </c>
      <c r="C1288" s="361" t="s">
        <v>538</v>
      </c>
      <c r="D1288" s="142"/>
      <c r="E1288" s="143"/>
      <c r="F1288" s="143"/>
      <c r="G1288" s="143"/>
      <c r="H1288" s="143"/>
      <c r="I1288" s="143"/>
      <c r="J1288" s="143"/>
      <c r="K1288" s="143"/>
      <c r="L1288" s="143"/>
      <c r="M1288" s="143"/>
      <c r="N1288" s="222"/>
      <c r="O1288" s="222">
        <v>388985</v>
      </c>
      <c r="P1288" s="145"/>
      <c r="Q1288" s="223">
        <f t="shared" si="1018"/>
        <v>388985</v>
      </c>
      <c r="R1288" s="147">
        <f t="shared" si="1019"/>
        <v>42788.35</v>
      </c>
      <c r="S1288" s="147">
        <f t="shared" si="1016"/>
        <v>117.22835616438356</v>
      </c>
      <c r="T1288" s="148">
        <f t="shared" si="1020"/>
        <v>25673.01</v>
      </c>
      <c r="U1288" s="420"/>
      <c r="V1288" s="407"/>
      <c r="W1288" s="236"/>
      <c r="X1288" s="236"/>
      <c r="Y1288" s="408"/>
      <c r="Z1288" s="409"/>
      <c r="AA1288" s="409"/>
      <c r="AB1288" s="410"/>
      <c r="AC1288" s="155"/>
      <c r="AD1288" s="156"/>
      <c r="AE1288" s="156"/>
      <c r="AF1288" s="156"/>
      <c r="AG1288" s="156"/>
      <c r="AH1288" s="156"/>
      <c r="AI1288" s="156"/>
      <c r="AJ1288" s="156"/>
      <c r="AK1288" s="156"/>
      <c r="AL1288" s="156"/>
      <c r="AM1288" s="157"/>
      <c r="AN1288" s="158">
        <f t="shared" si="1017"/>
        <v>4000</v>
      </c>
      <c r="AO1288" s="159"/>
      <c r="AP1288" s="160"/>
      <c r="AQ1288" s="161"/>
      <c r="AR1288" s="162"/>
      <c r="AS1288" s="163"/>
      <c r="AT1288" s="164"/>
      <c r="AU1288" s="165"/>
      <c r="AV1288" s="166"/>
      <c r="AW1288" s="167"/>
      <c r="AX1288" s="146"/>
      <c r="AY1288" s="168"/>
    </row>
    <row r="1289" spans="1:51" s="139" customFormat="1" ht="11.25" hidden="1" x14ac:dyDescent="0.25">
      <c r="A1289" s="1"/>
      <c r="B1289" s="140">
        <v>14</v>
      </c>
      <c r="C1289" s="361" t="s">
        <v>539</v>
      </c>
      <c r="D1289" s="142"/>
      <c r="E1289" s="143"/>
      <c r="F1289" s="143"/>
      <c r="G1289" s="143"/>
      <c r="H1289" s="143"/>
      <c r="I1289" s="143"/>
      <c r="J1289" s="143"/>
      <c r="K1289" s="143"/>
      <c r="L1289" s="143"/>
      <c r="M1289" s="143"/>
      <c r="N1289" s="222"/>
      <c r="O1289" s="222">
        <v>274648</v>
      </c>
      <c r="P1289" s="145"/>
      <c r="Q1289" s="223">
        <f t="shared" si="1018"/>
        <v>274648</v>
      </c>
      <c r="R1289" s="147">
        <f t="shared" si="1019"/>
        <v>30211.279999999999</v>
      </c>
      <c r="S1289" s="147">
        <f t="shared" si="1016"/>
        <v>82.770630136986298</v>
      </c>
      <c r="T1289" s="148">
        <f t="shared" si="1020"/>
        <v>18126.768</v>
      </c>
      <c r="U1289" s="420"/>
      <c r="V1289" s="407"/>
      <c r="W1289" s="236"/>
      <c r="X1289" s="236"/>
      <c r="Y1289" s="408"/>
      <c r="Z1289" s="409"/>
      <c r="AA1289" s="409"/>
      <c r="AB1289" s="410"/>
      <c r="AC1289" s="155"/>
      <c r="AD1289" s="156"/>
      <c r="AE1289" s="156"/>
      <c r="AF1289" s="156"/>
      <c r="AG1289" s="156"/>
      <c r="AH1289" s="156"/>
      <c r="AI1289" s="156"/>
      <c r="AJ1289" s="156"/>
      <c r="AK1289" s="156"/>
      <c r="AL1289" s="156"/>
      <c r="AM1289" s="157"/>
      <c r="AN1289" s="158">
        <f t="shared" si="1017"/>
        <v>4000</v>
      </c>
      <c r="AO1289" s="159"/>
      <c r="AP1289" s="160"/>
      <c r="AQ1289" s="161"/>
      <c r="AR1289" s="162"/>
      <c r="AS1289" s="163"/>
      <c r="AT1289" s="164"/>
      <c r="AU1289" s="165"/>
      <c r="AV1289" s="166"/>
      <c r="AW1289" s="167"/>
      <c r="AX1289" s="146"/>
      <c r="AY1289" s="168"/>
    </row>
    <row r="1290" spans="1:51" s="139" customFormat="1" ht="11.25" hidden="1" x14ac:dyDescent="0.25">
      <c r="A1290" s="1"/>
      <c r="B1290" s="140">
        <v>15</v>
      </c>
      <c r="C1290" s="361" t="s">
        <v>540</v>
      </c>
      <c r="D1290" s="142"/>
      <c r="E1290" s="143"/>
      <c r="F1290" s="143"/>
      <c r="G1290" s="143"/>
      <c r="H1290" s="143"/>
      <c r="I1290" s="143"/>
      <c r="J1290" s="143"/>
      <c r="K1290" s="143"/>
      <c r="L1290" s="143"/>
      <c r="M1290" s="143"/>
      <c r="N1290" s="222"/>
      <c r="O1290" s="222">
        <v>354652</v>
      </c>
      <c r="P1290" s="145"/>
      <c r="Q1290" s="223">
        <f t="shared" si="1018"/>
        <v>354652</v>
      </c>
      <c r="R1290" s="147">
        <f t="shared" si="1019"/>
        <v>39011.72</v>
      </c>
      <c r="S1290" s="147">
        <f t="shared" si="1016"/>
        <v>106.88142465753425</v>
      </c>
      <c r="T1290" s="148">
        <f t="shared" si="1020"/>
        <v>23407.031999999999</v>
      </c>
      <c r="U1290" s="420"/>
      <c r="V1290" s="407"/>
      <c r="W1290" s="236"/>
      <c r="X1290" s="236"/>
      <c r="Y1290" s="408"/>
      <c r="Z1290" s="409"/>
      <c r="AA1290" s="409"/>
      <c r="AB1290" s="410"/>
      <c r="AC1290" s="155"/>
      <c r="AD1290" s="156"/>
      <c r="AE1290" s="156"/>
      <c r="AF1290" s="156"/>
      <c r="AG1290" s="156"/>
      <c r="AH1290" s="156"/>
      <c r="AI1290" s="156"/>
      <c r="AJ1290" s="156"/>
      <c r="AK1290" s="156"/>
      <c r="AL1290" s="156"/>
      <c r="AM1290" s="157"/>
      <c r="AN1290" s="158">
        <f t="shared" si="1017"/>
        <v>4000</v>
      </c>
      <c r="AO1290" s="159"/>
      <c r="AP1290" s="160"/>
      <c r="AQ1290" s="161"/>
      <c r="AR1290" s="162"/>
      <c r="AS1290" s="163"/>
      <c r="AT1290" s="164"/>
      <c r="AU1290" s="165"/>
      <c r="AV1290" s="166"/>
      <c r="AW1290" s="167"/>
      <c r="AX1290" s="146"/>
      <c r="AY1290" s="168"/>
    </row>
    <row r="1291" spans="1:51" s="139" customFormat="1" ht="11.25" hidden="1" x14ac:dyDescent="0.25">
      <c r="A1291" s="1"/>
      <c r="B1291" s="140">
        <v>16</v>
      </c>
      <c r="C1291" s="361" t="s">
        <v>541</v>
      </c>
      <c r="D1291" s="142"/>
      <c r="E1291" s="143"/>
      <c r="F1291" s="143"/>
      <c r="G1291" s="143"/>
      <c r="H1291" s="143"/>
      <c r="I1291" s="143"/>
      <c r="J1291" s="143"/>
      <c r="K1291" s="143"/>
      <c r="L1291" s="143"/>
      <c r="M1291" s="143"/>
      <c r="N1291" s="222"/>
      <c r="O1291" s="222">
        <v>192163</v>
      </c>
      <c r="P1291" s="145"/>
      <c r="Q1291" s="223">
        <f t="shared" si="1018"/>
        <v>192163</v>
      </c>
      <c r="R1291" s="147">
        <f t="shared" si="1019"/>
        <v>21137.93</v>
      </c>
      <c r="S1291" s="147">
        <f t="shared" si="1016"/>
        <v>57.91213698630137</v>
      </c>
      <c r="T1291" s="148">
        <f t="shared" si="1020"/>
        <v>12682.758</v>
      </c>
      <c r="U1291" s="420"/>
      <c r="V1291" s="407"/>
      <c r="W1291" s="236"/>
      <c r="X1291" s="236"/>
      <c r="Y1291" s="408"/>
      <c r="Z1291" s="409"/>
      <c r="AA1291" s="409"/>
      <c r="AB1291" s="410"/>
      <c r="AC1291" s="155"/>
      <c r="AD1291" s="156"/>
      <c r="AE1291" s="156"/>
      <c r="AF1291" s="156"/>
      <c r="AG1291" s="156"/>
      <c r="AH1291" s="156"/>
      <c r="AI1291" s="156"/>
      <c r="AJ1291" s="156"/>
      <c r="AK1291" s="156"/>
      <c r="AL1291" s="156"/>
      <c r="AM1291" s="157"/>
      <c r="AN1291" s="158">
        <f t="shared" si="1017"/>
        <v>4000</v>
      </c>
      <c r="AO1291" s="159"/>
      <c r="AP1291" s="160"/>
      <c r="AQ1291" s="161"/>
      <c r="AR1291" s="162"/>
      <c r="AS1291" s="163"/>
      <c r="AT1291" s="164"/>
      <c r="AU1291" s="165"/>
      <c r="AV1291" s="166"/>
      <c r="AW1291" s="167"/>
      <c r="AX1291" s="146"/>
      <c r="AY1291" s="168"/>
    </row>
    <row r="1292" spans="1:51" s="139" customFormat="1" ht="11.25" hidden="1" x14ac:dyDescent="0.25">
      <c r="A1292" s="1"/>
      <c r="B1292" s="140">
        <v>17</v>
      </c>
      <c r="C1292" s="361" t="s">
        <v>542</v>
      </c>
      <c r="D1292" s="142"/>
      <c r="E1292" s="143"/>
      <c r="F1292" s="143"/>
      <c r="G1292" s="143"/>
      <c r="H1292" s="143"/>
      <c r="I1292" s="143"/>
      <c r="J1292" s="143"/>
      <c r="K1292" s="143"/>
      <c r="L1292" s="143"/>
      <c r="M1292" s="143"/>
      <c r="N1292" s="222"/>
      <c r="O1292" s="222">
        <v>335828</v>
      </c>
      <c r="P1292" s="145"/>
      <c r="Q1292" s="223">
        <f t="shared" si="1018"/>
        <v>335828</v>
      </c>
      <c r="R1292" s="147">
        <f t="shared" si="1019"/>
        <v>36941.08</v>
      </c>
      <c r="S1292" s="147">
        <f t="shared" si="1016"/>
        <v>101.20843835616439</v>
      </c>
      <c r="T1292" s="148">
        <f t="shared" si="1020"/>
        <v>22164.648000000001</v>
      </c>
      <c r="U1292" s="420"/>
      <c r="V1292" s="407"/>
      <c r="W1292" s="236"/>
      <c r="X1292" s="236"/>
      <c r="Y1292" s="408"/>
      <c r="Z1292" s="409"/>
      <c r="AA1292" s="409"/>
      <c r="AB1292" s="410"/>
      <c r="AC1292" s="155"/>
      <c r="AD1292" s="156"/>
      <c r="AE1292" s="156"/>
      <c r="AF1292" s="156"/>
      <c r="AG1292" s="156"/>
      <c r="AH1292" s="156"/>
      <c r="AI1292" s="156"/>
      <c r="AJ1292" s="156"/>
      <c r="AK1292" s="156"/>
      <c r="AL1292" s="156"/>
      <c r="AM1292" s="157"/>
      <c r="AN1292" s="158">
        <f t="shared" si="1017"/>
        <v>4000</v>
      </c>
      <c r="AO1292" s="159"/>
      <c r="AP1292" s="160"/>
      <c r="AQ1292" s="161"/>
      <c r="AR1292" s="162"/>
      <c r="AS1292" s="163"/>
      <c r="AT1292" s="164"/>
      <c r="AU1292" s="165"/>
      <c r="AV1292" s="166"/>
      <c r="AW1292" s="167"/>
      <c r="AX1292" s="146"/>
      <c r="AY1292" s="168"/>
    </row>
    <row r="1293" spans="1:51" s="139" customFormat="1" ht="11.25" hidden="1" x14ac:dyDescent="0.25">
      <c r="A1293" s="1"/>
      <c r="B1293" s="140">
        <v>18</v>
      </c>
      <c r="C1293" s="361" t="s">
        <v>543</v>
      </c>
      <c r="D1293" s="142"/>
      <c r="E1293" s="143"/>
      <c r="F1293" s="143"/>
      <c r="G1293" s="143"/>
      <c r="H1293" s="143"/>
      <c r="I1293" s="143"/>
      <c r="J1293" s="143"/>
      <c r="K1293" s="143"/>
      <c r="L1293" s="143"/>
      <c r="M1293" s="143"/>
      <c r="N1293" s="222"/>
      <c r="O1293" s="222">
        <v>223306</v>
      </c>
      <c r="P1293" s="145"/>
      <c r="Q1293" s="223">
        <f t="shared" si="1018"/>
        <v>223306</v>
      </c>
      <c r="R1293" s="147">
        <f t="shared" si="1019"/>
        <v>24563.66</v>
      </c>
      <c r="S1293" s="147">
        <f t="shared" si="1016"/>
        <v>67.297698630136992</v>
      </c>
      <c r="T1293" s="148">
        <f t="shared" si="1020"/>
        <v>14738.196000000002</v>
      </c>
      <c r="U1293" s="420"/>
      <c r="V1293" s="407"/>
      <c r="W1293" s="236"/>
      <c r="X1293" s="236"/>
      <c r="Y1293" s="408"/>
      <c r="Z1293" s="409"/>
      <c r="AA1293" s="409"/>
      <c r="AB1293" s="410"/>
      <c r="AC1293" s="155"/>
      <c r="AD1293" s="156"/>
      <c r="AE1293" s="156"/>
      <c r="AF1293" s="156"/>
      <c r="AG1293" s="156"/>
      <c r="AH1293" s="156"/>
      <c r="AI1293" s="156"/>
      <c r="AJ1293" s="156"/>
      <c r="AK1293" s="156"/>
      <c r="AL1293" s="156"/>
      <c r="AM1293" s="157"/>
      <c r="AN1293" s="158">
        <f t="shared" si="1017"/>
        <v>4000</v>
      </c>
      <c r="AO1293" s="159"/>
      <c r="AP1293" s="160"/>
      <c r="AQ1293" s="161"/>
      <c r="AR1293" s="162"/>
      <c r="AS1293" s="163"/>
      <c r="AT1293" s="164"/>
      <c r="AU1293" s="165"/>
      <c r="AV1293" s="166"/>
      <c r="AW1293" s="167"/>
      <c r="AX1293" s="146"/>
      <c r="AY1293" s="168"/>
    </row>
    <row r="1294" spans="1:51" s="139" customFormat="1" ht="11.25" hidden="1" x14ac:dyDescent="0.25">
      <c r="A1294" s="1"/>
      <c r="B1294" s="140">
        <v>19</v>
      </c>
      <c r="C1294" s="361" t="s">
        <v>544</v>
      </c>
      <c r="D1294" s="142"/>
      <c r="E1294" s="143"/>
      <c r="F1294" s="143"/>
      <c r="G1294" s="143"/>
      <c r="H1294" s="143"/>
      <c r="I1294" s="143"/>
      <c r="J1294" s="143"/>
      <c r="K1294" s="143"/>
      <c r="L1294" s="143"/>
      <c r="M1294" s="143"/>
      <c r="N1294" s="222"/>
      <c r="O1294" s="222">
        <v>290365</v>
      </c>
      <c r="P1294" s="145"/>
      <c r="Q1294" s="223">
        <f t="shared" si="1018"/>
        <v>290365</v>
      </c>
      <c r="R1294" s="147">
        <f t="shared" si="1019"/>
        <v>31940.15</v>
      </c>
      <c r="S1294" s="147">
        <f t="shared" si="1016"/>
        <v>87.507260273972605</v>
      </c>
      <c r="T1294" s="148">
        <f t="shared" si="1020"/>
        <v>19164.09</v>
      </c>
      <c r="U1294" s="420"/>
      <c r="V1294" s="407"/>
      <c r="W1294" s="236"/>
      <c r="X1294" s="236"/>
      <c r="Y1294" s="408"/>
      <c r="Z1294" s="409"/>
      <c r="AA1294" s="409"/>
      <c r="AB1294" s="410"/>
      <c r="AC1294" s="155"/>
      <c r="AD1294" s="156"/>
      <c r="AE1294" s="156"/>
      <c r="AF1294" s="156"/>
      <c r="AG1294" s="156"/>
      <c r="AH1294" s="156"/>
      <c r="AI1294" s="156"/>
      <c r="AJ1294" s="156"/>
      <c r="AK1294" s="156"/>
      <c r="AL1294" s="156"/>
      <c r="AM1294" s="157"/>
      <c r="AN1294" s="158">
        <f t="shared" si="1017"/>
        <v>4000</v>
      </c>
      <c r="AO1294" s="159"/>
      <c r="AP1294" s="160"/>
      <c r="AQ1294" s="161"/>
      <c r="AR1294" s="162"/>
      <c r="AS1294" s="163"/>
      <c r="AT1294" s="164"/>
      <c r="AU1294" s="165"/>
      <c r="AV1294" s="166"/>
      <c r="AW1294" s="167"/>
      <c r="AX1294" s="146"/>
      <c r="AY1294" s="168"/>
    </row>
    <row r="1295" spans="1:51" s="139" customFormat="1" ht="11.25" hidden="1" x14ac:dyDescent="0.25">
      <c r="A1295" s="1"/>
      <c r="B1295" s="140">
        <v>20</v>
      </c>
      <c r="C1295" s="361" t="s">
        <v>545</v>
      </c>
      <c r="D1295" s="142"/>
      <c r="E1295" s="143"/>
      <c r="F1295" s="143"/>
      <c r="G1295" s="143"/>
      <c r="H1295" s="143"/>
      <c r="I1295" s="143"/>
      <c r="J1295" s="143"/>
      <c r="K1295" s="143"/>
      <c r="L1295" s="143"/>
      <c r="M1295" s="143"/>
      <c r="N1295" s="222"/>
      <c r="O1295" s="222">
        <v>245515</v>
      </c>
      <c r="P1295" s="145"/>
      <c r="Q1295" s="223">
        <f t="shared" si="1018"/>
        <v>245515</v>
      </c>
      <c r="R1295" s="147">
        <f t="shared" si="1019"/>
        <v>27006.65</v>
      </c>
      <c r="S1295" s="147">
        <f t="shared" si="1016"/>
        <v>73.990821917808219</v>
      </c>
      <c r="T1295" s="148">
        <f t="shared" si="1020"/>
        <v>16203.99</v>
      </c>
      <c r="U1295" s="420"/>
      <c r="V1295" s="407"/>
      <c r="W1295" s="236"/>
      <c r="X1295" s="236"/>
      <c r="Y1295" s="408"/>
      <c r="Z1295" s="409"/>
      <c r="AA1295" s="409"/>
      <c r="AB1295" s="410"/>
      <c r="AC1295" s="155"/>
      <c r="AD1295" s="156"/>
      <c r="AE1295" s="156"/>
      <c r="AF1295" s="156"/>
      <c r="AG1295" s="156"/>
      <c r="AH1295" s="156"/>
      <c r="AI1295" s="156"/>
      <c r="AJ1295" s="156"/>
      <c r="AK1295" s="156"/>
      <c r="AL1295" s="156"/>
      <c r="AM1295" s="157"/>
      <c r="AN1295" s="158">
        <f t="shared" si="1017"/>
        <v>4000</v>
      </c>
      <c r="AO1295" s="159"/>
      <c r="AP1295" s="160"/>
      <c r="AQ1295" s="161"/>
      <c r="AR1295" s="162"/>
      <c r="AS1295" s="163"/>
      <c r="AT1295" s="164"/>
      <c r="AU1295" s="165"/>
      <c r="AV1295" s="166"/>
      <c r="AW1295" s="167"/>
      <c r="AX1295" s="146"/>
      <c r="AY1295" s="168"/>
    </row>
    <row r="1296" spans="1:51" s="139" customFormat="1" ht="11.25" hidden="1" x14ac:dyDescent="0.25">
      <c r="A1296" s="1"/>
      <c r="B1296" s="140">
        <v>21</v>
      </c>
      <c r="C1296" s="361" t="s">
        <v>546</v>
      </c>
      <c r="D1296" s="142"/>
      <c r="E1296" s="143"/>
      <c r="F1296" s="143"/>
      <c r="G1296" s="143"/>
      <c r="H1296" s="143"/>
      <c r="I1296" s="143"/>
      <c r="J1296" s="143"/>
      <c r="K1296" s="143"/>
      <c r="L1296" s="143"/>
      <c r="M1296" s="143"/>
      <c r="N1296" s="222"/>
      <c r="O1296" s="222">
        <v>218943</v>
      </c>
      <c r="P1296" s="145"/>
      <c r="Q1296" s="223">
        <f t="shared" si="1018"/>
        <v>218943</v>
      </c>
      <c r="R1296" s="147">
        <f t="shared" si="1019"/>
        <v>24083.73</v>
      </c>
      <c r="S1296" s="147">
        <f t="shared" si="1016"/>
        <v>65.982821917808224</v>
      </c>
      <c r="T1296" s="148">
        <f t="shared" si="1020"/>
        <v>14450.238000000001</v>
      </c>
      <c r="U1296" s="420"/>
      <c r="V1296" s="407"/>
      <c r="W1296" s="236"/>
      <c r="X1296" s="236"/>
      <c r="Y1296" s="408"/>
      <c r="Z1296" s="409"/>
      <c r="AA1296" s="409"/>
      <c r="AB1296" s="410"/>
      <c r="AC1296" s="155"/>
      <c r="AD1296" s="156"/>
      <c r="AE1296" s="156"/>
      <c r="AF1296" s="156"/>
      <c r="AG1296" s="156"/>
      <c r="AH1296" s="156"/>
      <c r="AI1296" s="156"/>
      <c r="AJ1296" s="156"/>
      <c r="AK1296" s="156"/>
      <c r="AL1296" s="156"/>
      <c r="AM1296" s="157"/>
      <c r="AN1296" s="158">
        <f t="shared" si="1017"/>
        <v>4000</v>
      </c>
      <c r="AO1296" s="159"/>
      <c r="AP1296" s="160"/>
      <c r="AQ1296" s="161"/>
      <c r="AR1296" s="162"/>
      <c r="AS1296" s="163"/>
      <c r="AT1296" s="164"/>
      <c r="AU1296" s="165"/>
      <c r="AV1296" s="166"/>
      <c r="AW1296" s="167"/>
      <c r="AX1296" s="146"/>
      <c r="AY1296" s="168"/>
    </row>
    <row r="1297" spans="1:51" s="139" customFormat="1" ht="11.25" hidden="1" x14ac:dyDescent="0.25">
      <c r="A1297" s="1"/>
      <c r="B1297" s="140"/>
      <c r="C1297" s="361"/>
      <c r="D1297" s="142"/>
      <c r="E1297" s="143"/>
      <c r="F1297" s="143"/>
      <c r="G1297" s="143"/>
      <c r="H1297" s="143"/>
      <c r="I1297" s="143"/>
      <c r="J1297" s="143"/>
      <c r="K1297" s="143"/>
      <c r="L1297" s="143"/>
      <c r="M1297" s="143"/>
      <c r="N1297" s="222"/>
      <c r="O1297" s="222"/>
      <c r="P1297" s="145"/>
      <c r="Q1297" s="223"/>
      <c r="R1297" s="147"/>
      <c r="S1297" s="147"/>
      <c r="T1297" s="148"/>
      <c r="U1297" s="420" t="s">
        <v>785</v>
      </c>
      <c r="V1297" s="407"/>
      <c r="W1297" s="236">
        <f>500*365</f>
        <v>182500</v>
      </c>
      <c r="X1297" s="236"/>
      <c r="Y1297" s="408"/>
      <c r="Z1297" s="409"/>
      <c r="AA1297" s="409"/>
      <c r="AB1297" s="410"/>
      <c r="AC1297" s="411">
        <f>W1297*52%</f>
        <v>94900</v>
      </c>
      <c r="AD1297" s="412">
        <f>W1297*25%</f>
        <v>45625</v>
      </c>
      <c r="AE1297" s="412">
        <f>W1297*9%</f>
        <v>16425</v>
      </c>
      <c r="AF1297" s="412">
        <f>W1297*5%</f>
        <v>9125</v>
      </c>
      <c r="AG1297" s="412">
        <f>W1297*3%</f>
        <v>5475</v>
      </c>
      <c r="AH1297" s="412">
        <f>W1297*1%</f>
        <v>1825</v>
      </c>
      <c r="AI1297" s="412">
        <f>W1297*2%</f>
        <v>3650</v>
      </c>
      <c r="AJ1297" s="412">
        <f>W1297*1%</f>
        <v>1825</v>
      </c>
      <c r="AK1297" s="412">
        <f>W1297*4%</f>
        <v>7300</v>
      </c>
      <c r="AL1297" s="412">
        <f>W1297*1%</f>
        <v>1825</v>
      </c>
      <c r="AM1297" s="413">
        <f>SUM(AD1297:AI1297)</f>
        <v>82125</v>
      </c>
      <c r="AN1297" s="158">
        <f t="shared" si="1017"/>
        <v>4000</v>
      </c>
      <c r="AO1297" s="159">
        <v>0.2</v>
      </c>
      <c r="AP1297" s="160">
        <f>AM1297*AN1297*$AP$5</f>
        <v>1375363800</v>
      </c>
      <c r="AQ1297" s="161">
        <f>AP1297*$AQ$5</f>
        <v>382045.53056364</v>
      </c>
      <c r="AR1297" s="162">
        <f>AQ1297*$AR$5</f>
        <v>76409.106112727997</v>
      </c>
      <c r="AS1297" s="163"/>
      <c r="AT1297" s="233"/>
      <c r="AU1297" s="187">
        <v>1</v>
      </c>
      <c r="AV1297" s="414">
        <f>AR1297/$AV$5</f>
        <v>10.90312587225</v>
      </c>
      <c r="AW1297" s="415">
        <f>AV1297</f>
        <v>10.90312587225</v>
      </c>
      <c r="AX1297" s="146">
        <f>SUM(AU1297:AV1297)</f>
        <v>11.90312587225</v>
      </c>
      <c r="AY1297" s="168"/>
    </row>
    <row r="1298" spans="1:51" s="139" customFormat="1" ht="11.25" hidden="1" x14ac:dyDescent="0.25">
      <c r="A1298" s="1"/>
      <c r="B1298" s="140">
        <v>22</v>
      </c>
      <c r="C1298" s="361" t="s">
        <v>547</v>
      </c>
      <c r="D1298" s="142"/>
      <c r="E1298" s="143"/>
      <c r="F1298" s="143"/>
      <c r="G1298" s="143"/>
      <c r="H1298" s="143"/>
      <c r="I1298" s="143"/>
      <c r="J1298" s="143"/>
      <c r="K1298" s="143"/>
      <c r="L1298" s="143"/>
      <c r="M1298" s="143"/>
      <c r="N1298" s="222"/>
      <c r="O1298" s="222">
        <v>130563</v>
      </c>
      <c r="P1298" s="145"/>
      <c r="Q1298" s="223">
        <f t="shared" si="1018"/>
        <v>130563</v>
      </c>
      <c r="R1298" s="147">
        <f t="shared" si="1019"/>
        <v>14361.93</v>
      </c>
      <c r="S1298" s="147">
        <f>R1298/$S$5</f>
        <v>39.347753424657533</v>
      </c>
      <c r="T1298" s="148">
        <f>S1298*$T$5*$T$10</f>
        <v>8617.1579999999994</v>
      </c>
      <c r="U1298" s="420"/>
      <c r="V1298" s="407"/>
      <c r="W1298" s="236"/>
      <c r="X1298" s="236"/>
      <c r="Y1298" s="408"/>
      <c r="Z1298" s="409"/>
      <c r="AA1298" s="409"/>
      <c r="AB1298" s="410"/>
      <c r="AC1298" s="155"/>
      <c r="AD1298" s="156"/>
      <c r="AE1298" s="156"/>
      <c r="AF1298" s="156"/>
      <c r="AG1298" s="156"/>
      <c r="AH1298" s="156"/>
      <c r="AI1298" s="156"/>
      <c r="AJ1298" s="156"/>
      <c r="AK1298" s="156"/>
      <c r="AL1298" s="156"/>
      <c r="AM1298" s="157"/>
      <c r="AN1298" s="158">
        <f t="shared" si="1017"/>
        <v>4000</v>
      </c>
      <c r="AO1298" s="159"/>
      <c r="AP1298" s="160"/>
      <c r="AQ1298" s="161"/>
      <c r="AR1298" s="162"/>
      <c r="AS1298" s="163"/>
      <c r="AT1298" s="164"/>
      <c r="AU1298" s="165"/>
      <c r="AV1298" s="166"/>
      <c r="AW1298" s="167"/>
      <c r="AX1298" s="146"/>
      <c r="AY1298" s="168"/>
    </row>
    <row r="1299" spans="1:51" s="139" customFormat="1" ht="11.25" hidden="1" x14ac:dyDescent="0.25">
      <c r="A1299" s="1"/>
      <c r="B1299" s="140"/>
      <c r="C1299" s="361"/>
      <c r="D1299" s="142"/>
      <c r="E1299" s="143"/>
      <c r="F1299" s="143"/>
      <c r="G1299" s="143"/>
      <c r="H1299" s="143"/>
      <c r="I1299" s="143"/>
      <c r="J1299" s="143"/>
      <c r="K1299" s="143"/>
      <c r="L1299" s="143"/>
      <c r="M1299" s="143"/>
      <c r="N1299" s="222"/>
      <c r="O1299" s="222"/>
      <c r="P1299" s="145"/>
      <c r="Q1299" s="223"/>
      <c r="R1299" s="147"/>
      <c r="S1299" s="147"/>
      <c r="T1299" s="148"/>
      <c r="U1299" s="420" t="s">
        <v>786</v>
      </c>
      <c r="V1299" s="407">
        <v>2.2999999999999998</v>
      </c>
      <c r="W1299" s="236"/>
      <c r="X1299" s="236"/>
      <c r="Y1299" s="408"/>
      <c r="Z1299" s="409"/>
      <c r="AA1299" s="409"/>
      <c r="AB1299" s="410"/>
      <c r="AC1299" s="155"/>
      <c r="AD1299" s="156"/>
      <c r="AE1299" s="156"/>
      <c r="AF1299" s="156"/>
      <c r="AG1299" s="156"/>
      <c r="AH1299" s="156"/>
      <c r="AI1299" s="156"/>
      <c r="AJ1299" s="156"/>
      <c r="AK1299" s="156"/>
      <c r="AL1299" s="156"/>
      <c r="AM1299" s="157"/>
      <c r="AN1299" s="158"/>
      <c r="AO1299" s="159"/>
      <c r="AP1299" s="160"/>
      <c r="AQ1299" s="161"/>
      <c r="AR1299" s="162"/>
      <c r="AS1299" s="163"/>
      <c r="AT1299" s="164"/>
      <c r="AU1299" s="165"/>
      <c r="AV1299" s="166"/>
      <c r="AW1299" s="167"/>
      <c r="AX1299" s="146"/>
      <c r="AY1299" s="168"/>
    </row>
    <row r="1300" spans="1:51" s="139" customFormat="1" ht="11.25" hidden="1" x14ac:dyDescent="0.25">
      <c r="A1300" s="1"/>
      <c r="B1300" s="140">
        <v>23</v>
      </c>
      <c r="C1300" s="361" t="s">
        <v>548</v>
      </c>
      <c r="D1300" s="142"/>
      <c r="E1300" s="143"/>
      <c r="F1300" s="143"/>
      <c r="G1300" s="143"/>
      <c r="H1300" s="143"/>
      <c r="I1300" s="143"/>
      <c r="J1300" s="143"/>
      <c r="K1300" s="143"/>
      <c r="L1300" s="143"/>
      <c r="M1300" s="143"/>
      <c r="N1300" s="222"/>
      <c r="O1300" s="222">
        <v>149421</v>
      </c>
      <c r="P1300" s="145"/>
      <c r="Q1300" s="223">
        <f t="shared" si="1018"/>
        <v>149421</v>
      </c>
      <c r="R1300" s="147">
        <f t="shared" si="1019"/>
        <v>16436.310000000001</v>
      </c>
      <c r="S1300" s="147">
        <f>R1300/$S$5</f>
        <v>45.030986301369865</v>
      </c>
      <c r="T1300" s="148">
        <f>S1300*$T$5*$T$10</f>
        <v>9861.7860000000001</v>
      </c>
      <c r="U1300" s="420"/>
      <c r="V1300" s="407"/>
      <c r="W1300" s="236"/>
      <c r="X1300" s="236"/>
      <c r="Y1300" s="408"/>
      <c r="Z1300" s="409"/>
      <c r="AA1300" s="409"/>
      <c r="AB1300" s="410"/>
      <c r="AC1300" s="155"/>
      <c r="AD1300" s="156"/>
      <c r="AE1300" s="156"/>
      <c r="AF1300" s="156"/>
      <c r="AG1300" s="156"/>
      <c r="AH1300" s="156"/>
      <c r="AI1300" s="156"/>
      <c r="AJ1300" s="156"/>
      <c r="AK1300" s="156"/>
      <c r="AL1300" s="156"/>
      <c r="AM1300" s="157"/>
      <c r="AN1300" s="158">
        <f t="shared" si="1017"/>
        <v>4000</v>
      </c>
      <c r="AO1300" s="159"/>
      <c r="AP1300" s="160"/>
      <c r="AQ1300" s="161"/>
      <c r="AR1300" s="162"/>
      <c r="AS1300" s="163"/>
      <c r="AT1300" s="164"/>
      <c r="AU1300" s="165"/>
      <c r="AV1300" s="166"/>
      <c r="AW1300" s="167"/>
      <c r="AX1300" s="146"/>
      <c r="AY1300" s="168"/>
    </row>
    <row r="1301" spans="1:51" s="139" customFormat="1" ht="11.25" hidden="1" x14ac:dyDescent="0.25">
      <c r="A1301" s="1"/>
      <c r="B1301" s="140">
        <v>24</v>
      </c>
      <c r="C1301" s="342" t="s">
        <v>549</v>
      </c>
      <c r="D1301" s="142"/>
      <c r="E1301" s="143"/>
      <c r="F1301" s="143"/>
      <c r="G1301" s="143"/>
      <c r="H1301" s="143"/>
      <c r="I1301" s="143"/>
      <c r="J1301" s="143"/>
      <c r="K1301" s="143"/>
      <c r="L1301" s="143"/>
      <c r="M1301" s="143"/>
      <c r="N1301" s="222"/>
      <c r="O1301" s="222">
        <v>218943</v>
      </c>
      <c r="P1301" s="145"/>
      <c r="Q1301" s="223">
        <f t="shared" si="1018"/>
        <v>218943</v>
      </c>
      <c r="R1301" s="147">
        <f t="shared" si="1019"/>
        <v>24083.73</v>
      </c>
      <c r="S1301" s="147">
        <f>R1301/$S$5</f>
        <v>65.982821917808224</v>
      </c>
      <c r="T1301" s="148">
        <f>S1301*$T$5*$T$10</f>
        <v>14450.238000000001</v>
      </c>
      <c r="U1301" s="420"/>
      <c r="V1301" s="407"/>
      <c r="W1301" s="236"/>
      <c r="X1301" s="236"/>
      <c r="Y1301" s="408"/>
      <c r="Z1301" s="409"/>
      <c r="AA1301" s="409"/>
      <c r="AB1301" s="410"/>
      <c r="AC1301" s="155"/>
      <c r="AD1301" s="156"/>
      <c r="AE1301" s="156"/>
      <c r="AF1301" s="156"/>
      <c r="AG1301" s="156"/>
      <c r="AH1301" s="156"/>
      <c r="AI1301" s="156"/>
      <c r="AJ1301" s="156"/>
      <c r="AK1301" s="156"/>
      <c r="AL1301" s="156"/>
      <c r="AM1301" s="157"/>
      <c r="AN1301" s="158">
        <f t="shared" si="1017"/>
        <v>4000</v>
      </c>
      <c r="AO1301" s="159"/>
      <c r="AP1301" s="160"/>
      <c r="AQ1301" s="161"/>
      <c r="AR1301" s="162"/>
      <c r="AS1301" s="163"/>
      <c r="AT1301" s="164"/>
      <c r="AU1301" s="165"/>
      <c r="AV1301" s="166"/>
      <c r="AW1301" s="167"/>
      <c r="AX1301" s="146"/>
      <c r="AY1301" s="168"/>
    </row>
    <row r="1302" spans="1:51" s="190" customFormat="1" ht="16.7" hidden="1" customHeight="1" x14ac:dyDescent="0.25">
      <c r="A1302" s="173"/>
      <c r="B1302" s="120"/>
      <c r="C1302" s="352" t="s">
        <v>550</v>
      </c>
      <c r="D1302" s="240">
        <f t="shared" ref="D1302:T1302" si="1021">SUM(D1276:D1301)</f>
        <v>0</v>
      </c>
      <c r="E1302" s="240">
        <f t="shared" si="1021"/>
        <v>0</v>
      </c>
      <c r="F1302" s="240">
        <f t="shared" si="1021"/>
        <v>0</v>
      </c>
      <c r="G1302" s="240">
        <f t="shared" si="1021"/>
        <v>0</v>
      </c>
      <c r="H1302" s="240">
        <f t="shared" si="1021"/>
        <v>0</v>
      </c>
      <c r="I1302" s="240">
        <f t="shared" si="1021"/>
        <v>0</v>
      </c>
      <c r="J1302" s="240">
        <f t="shared" si="1021"/>
        <v>0</v>
      </c>
      <c r="K1302" s="240">
        <f t="shared" si="1021"/>
        <v>0</v>
      </c>
      <c r="L1302" s="240">
        <f t="shared" si="1021"/>
        <v>0</v>
      </c>
      <c r="M1302" s="240">
        <f t="shared" si="1021"/>
        <v>0</v>
      </c>
      <c r="N1302" s="240">
        <f t="shared" si="1021"/>
        <v>0</v>
      </c>
      <c r="O1302" s="240">
        <f t="shared" si="1021"/>
        <v>6982445</v>
      </c>
      <c r="P1302" s="240">
        <f t="shared" si="1021"/>
        <v>0</v>
      </c>
      <c r="Q1302" s="240">
        <f t="shared" si="1021"/>
        <v>6982445</v>
      </c>
      <c r="R1302" s="240">
        <f t="shared" si="1021"/>
        <v>817907.96200000017</v>
      </c>
      <c r="S1302" s="240">
        <f t="shared" si="1021"/>
        <v>2240.8437315068495</v>
      </c>
      <c r="T1302" s="240">
        <f t="shared" si="1021"/>
        <v>510957.26539999997</v>
      </c>
      <c r="U1302" s="240">
        <f t="shared" ref="U1302:AX1302" si="1022">SUM(U1276:U1301)</f>
        <v>0</v>
      </c>
      <c r="V1302" s="240">
        <f t="shared" si="1022"/>
        <v>2.2999999999999998</v>
      </c>
      <c r="W1302" s="240">
        <f t="shared" si="1022"/>
        <v>182500</v>
      </c>
      <c r="X1302" s="240">
        <f t="shared" si="1022"/>
        <v>0</v>
      </c>
      <c r="Y1302" s="240">
        <f t="shared" si="1022"/>
        <v>0</v>
      </c>
      <c r="Z1302" s="240">
        <f t="shared" si="1022"/>
        <v>0</v>
      </c>
      <c r="AA1302" s="240">
        <f t="shared" si="1022"/>
        <v>0</v>
      </c>
      <c r="AB1302" s="240">
        <f t="shared" si="1022"/>
        <v>0</v>
      </c>
      <c r="AC1302" s="240">
        <f t="shared" si="1022"/>
        <v>94900</v>
      </c>
      <c r="AD1302" s="240">
        <f t="shared" si="1022"/>
        <v>45625</v>
      </c>
      <c r="AE1302" s="240">
        <f t="shared" si="1022"/>
        <v>16425</v>
      </c>
      <c r="AF1302" s="240">
        <f t="shared" si="1022"/>
        <v>9125</v>
      </c>
      <c r="AG1302" s="240">
        <f t="shared" si="1022"/>
        <v>5475</v>
      </c>
      <c r="AH1302" s="240">
        <f t="shared" si="1022"/>
        <v>1825</v>
      </c>
      <c r="AI1302" s="240">
        <f t="shared" si="1022"/>
        <v>3650</v>
      </c>
      <c r="AJ1302" s="240">
        <f t="shared" si="1022"/>
        <v>1825</v>
      </c>
      <c r="AK1302" s="240">
        <f t="shared" si="1022"/>
        <v>7300</v>
      </c>
      <c r="AL1302" s="240">
        <f t="shared" si="1022"/>
        <v>1825</v>
      </c>
      <c r="AM1302" s="240">
        <f t="shared" si="1022"/>
        <v>82125</v>
      </c>
      <c r="AN1302" s="240"/>
      <c r="AO1302" s="240"/>
      <c r="AP1302" s="240">
        <f t="shared" si="1022"/>
        <v>1375363800</v>
      </c>
      <c r="AQ1302" s="240">
        <f t="shared" si="1022"/>
        <v>382045.53056364</v>
      </c>
      <c r="AR1302" s="240">
        <f t="shared" si="1022"/>
        <v>76409.106112727997</v>
      </c>
      <c r="AS1302" s="240">
        <f t="shared" si="1022"/>
        <v>0</v>
      </c>
      <c r="AT1302" s="240">
        <f t="shared" si="1022"/>
        <v>0</v>
      </c>
      <c r="AU1302" s="240">
        <f t="shared" si="1022"/>
        <v>1</v>
      </c>
      <c r="AV1302" s="240">
        <f t="shared" si="1022"/>
        <v>10.90312587225</v>
      </c>
      <c r="AW1302" s="240">
        <f t="shared" si="1022"/>
        <v>10.90312587225</v>
      </c>
      <c r="AX1302" s="240">
        <f t="shared" si="1022"/>
        <v>11.90312587225</v>
      </c>
      <c r="AY1302" s="189"/>
    </row>
    <row r="1303" spans="1:51" hidden="1" x14ac:dyDescent="0.25"/>
    <row r="1304" spans="1:51" s="139" customFormat="1" ht="15" hidden="1" customHeight="1" x14ac:dyDescent="0.25">
      <c r="A1304" s="1"/>
      <c r="B1304" s="126"/>
      <c r="C1304" s="352" t="s">
        <v>551</v>
      </c>
      <c r="D1304" s="122"/>
      <c r="E1304" s="123"/>
      <c r="F1304" s="123"/>
      <c r="G1304" s="123"/>
      <c r="H1304" s="123"/>
      <c r="I1304" s="123"/>
      <c r="J1304" s="123"/>
      <c r="K1304" s="123"/>
      <c r="L1304" s="123"/>
      <c r="M1304" s="123"/>
      <c r="N1304" s="123"/>
      <c r="O1304" s="123"/>
      <c r="P1304" s="213"/>
      <c r="Q1304" s="76"/>
      <c r="R1304" s="108"/>
      <c r="S1304" s="108"/>
      <c r="T1304" s="94"/>
      <c r="U1304" s="120"/>
      <c r="V1304" s="67"/>
      <c r="W1304" s="123"/>
      <c r="X1304" s="123"/>
      <c r="Y1304" s="125"/>
      <c r="Z1304" s="126"/>
      <c r="AA1304" s="126"/>
      <c r="AB1304" s="127"/>
      <c r="AC1304" s="62"/>
      <c r="AD1304" s="215"/>
      <c r="AE1304" s="215"/>
      <c r="AF1304" s="215"/>
      <c r="AG1304" s="215"/>
      <c r="AH1304" s="215"/>
      <c r="AI1304" s="215"/>
      <c r="AJ1304" s="215"/>
      <c r="AK1304" s="215"/>
      <c r="AL1304" s="215"/>
      <c r="AM1304" s="125"/>
      <c r="AN1304" s="75"/>
      <c r="AO1304" s="216"/>
      <c r="AP1304" s="75"/>
      <c r="AQ1304" s="51"/>
      <c r="AR1304" s="217"/>
      <c r="AS1304" s="218"/>
      <c r="AT1304" s="219"/>
      <c r="AU1304" s="220"/>
      <c r="AV1304" s="135"/>
      <c r="AW1304" s="136"/>
      <c r="AX1304" s="137"/>
      <c r="AY1304" s="138"/>
    </row>
    <row r="1305" spans="1:51" s="139" customFormat="1" ht="11.25" hidden="1" x14ac:dyDescent="0.25">
      <c r="A1305" s="1"/>
      <c r="B1305" s="140">
        <v>1</v>
      </c>
      <c r="C1305" s="63" t="s">
        <v>552</v>
      </c>
      <c r="D1305" s="142"/>
      <c r="E1305" s="143"/>
      <c r="F1305" s="143"/>
      <c r="G1305" s="143"/>
      <c r="H1305" s="143"/>
      <c r="I1305" s="222"/>
      <c r="J1305" s="222"/>
      <c r="K1305" s="222"/>
      <c r="L1305" s="222"/>
      <c r="M1305" s="222"/>
      <c r="N1305" s="222"/>
      <c r="O1305" s="222">
        <v>142006</v>
      </c>
      <c r="P1305" s="145"/>
      <c r="Q1305" s="223">
        <f>O1305</f>
        <v>142006</v>
      </c>
      <c r="R1305" s="147">
        <f t="shared" ref="R1305:R1316" si="1023">Q1305*$R$10</f>
        <v>15620.66</v>
      </c>
      <c r="S1305" s="147">
        <f t="shared" ref="S1305:S1316" si="1024">R1305/$S$5</f>
        <v>42.796328767123285</v>
      </c>
      <c r="T1305" s="148">
        <f t="shared" ref="T1305:T1316" si="1025">S1305*$T$5*$T$10</f>
        <v>9372.3959999999988</v>
      </c>
      <c r="U1305" s="420"/>
      <c r="V1305" s="407"/>
      <c r="W1305" s="236"/>
      <c r="X1305" s="236"/>
      <c r="Y1305" s="408"/>
      <c r="Z1305" s="409"/>
      <c r="AA1305" s="409"/>
      <c r="AB1305" s="410"/>
      <c r="AC1305" s="155"/>
      <c r="AD1305" s="156"/>
      <c r="AE1305" s="156"/>
      <c r="AF1305" s="156"/>
      <c r="AG1305" s="156"/>
      <c r="AH1305" s="156"/>
      <c r="AI1305" s="156"/>
      <c r="AJ1305" s="156"/>
      <c r="AK1305" s="156"/>
      <c r="AL1305" s="156"/>
      <c r="AM1305" s="157"/>
      <c r="AN1305" s="158">
        <f t="shared" ref="AN1305:AN1316" si="1026">$AN$641</f>
        <v>4000</v>
      </c>
      <c r="AO1305" s="159"/>
      <c r="AP1305" s="160"/>
      <c r="AQ1305" s="161"/>
      <c r="AR1305" s="162"/>
      <c r="AS1305" s="163"/>
      <c r="AT1305" s="164"/>
      <c r="AU1305" s="165"/>
      <c r="AV1305" s="166"/>
      <c r="AW1305" s="167"/>
      <c r="AX1305" s="146"/>
      <c r="AY1305" s="168"/>
    </row>
    <row r="1306" spans="1:51" s="139" customFormat="1" ht="11.25" hidden="1" x14ac:dyDescent="0.25">
      <c r="A1306" s="1"/>
      <c r="B1306" s="140">
        <v>2</v>
      </c>
      <c r="C1306" s="63" t="s">
        <v>553</v>
      </c>
      <c r="D1306" s="142"/>
      <c r="E1306" s="143"/>
      <c r="F1306" s="143"/>
      <c r="G1306" s="143"/>
      <c r="H1306" s="143"/>
      <c r="I1306" s="222"/>
      <c r="J1306" s="222"/>
      <c r="K1306" s="222"/>
      <c r="L1306" s="222"/>
      <c r="M1306" s="222"/>
      <c r="N1306" s="222"/>
      <c r="O1306" s="222">
        <v>260801</v>
      </c>
      <c r="P1306" s="145"/>
      <c r="Q1306" s="223">
        <f t="shared" ref="Q1306:Q1316" si="1027">O1306</f>
        <v>260801</v>
      </c>
      <c r="R1306" s="147">
        <f t="shared" si="1023"/>
        <v>28688.11</v>
      </c>
      <c r="S1306" s="147">
        <f t="shared" si="1024"/>
        <v>78.597561643835618</v>
      </c>
      <c r="T1306" s="148">
        <f t="shared" si="1025"/>
        <v>17212.865999999998</v>
      </c>
      <c r="U1306" s="420"/>
      <c r="V1306" s="407"/>
      <c r="W1306" s="236"/>
      <c r="X1306" s="236"/>
      <c r="Y1306" s="408"/>
      <c r="Z1306" s="409"/>
      <c r="AA1306" s="409"/>
      <c r="AB1306" s="410"/>
      <c r="AC1306" s="155"/>
      <c r="AD1306" s="156"/>
      <c r="AE1306" s="156"/>
      <c r="AF1306" s="156"/>
      <c r="AG1306" s="156"/>
      <c r="AH1306" s="156"/>
      <c r="AI1306" s="156"/>
      <c r="AJ1306" s="156"/>
      <c r="AK1306" s="156"/>
      <c r="AL1306" s="156"/>
      <c r="AM1306" s="157"/>
      <c r="AN1306" s="158">
        <f t="shared" si="1026"/>
        <v>4000</v>
      </c>
      <c r="AO1306" s="159"/>
      <c r="AP1306" s="160"/>
      <c r="AQ1306" s="161"/>
      <c r="AR1306" s="162"/>
      <c r="AS1306" s="163"/>
      <c r="AT1306" s="164"/>
      <c r="AU1306" s="165"/>
      <c r="AV1306" s="166"/>
      <c r="AW1306" s="167"/>
      <c r="AX1306" s="146"/>
      <c r="AY1306" s="168"/>
    </row>
    <row r="1307" spans="1:51" s="139" customFormat="1" ht="11.25" hidden="1" x14ac:dyDescent="0.25">
      <c r="A1307" s="1"/>
      <c r="B1307" s="140">
        <v>3</v>
      </c>
      <c r="C1307" s="63" t="s">
        <v>554</v>
      </c>
      <c r="D1307" s="142"/>
      <c r="E1307" s="143"/>
      <c r="F1307" s="143"/>
      <c r="G1307" s="143"/>
      <c r="H1307" s="143"/>
      <c r="I1307" s="222"/>
      <c r="J1307" s="222"/>
      <c r="K1307" s="222"/>
      <c r="L1307" s="222"/>
      <c r="M1307" s="222"/>
      <c r="N1307" s="222"/>
      <c r="O1307" s="222">
        <v>55825</v>
      </c>
      <c r="P1307" s="145"/>
      <c r="Q1307" s="223">
        <f t="shared" si="1027"/>
        <v>55825</v>
      </c>
      <c r="R1307" s="147">
        <f t="shared" si="1023"/>
        <v>6140.75</v>
      </c>
      <c r="S1307" s="147">
        <f t="shared" si="1024"/>
        <v>16.823972602739726</v>
      </c>
      <c r="T1307" s="148">
        <f t="shared" si="1025"/>
        <v>3684.45</v>
      </c>
      <c r="U1307" s="420"/>
      <c r="V1307" s="407"/>
      <c r="W1307" s="236"/>
      <c r="X1307" s="236"/>
      <c r="Y1307" s="408"/>
      <c r="Z1307" s="409"/>
      <c r="AA1307" s="409"/>
      <c r="AB1307" s="410"/>
      <c r="AC1307" s="155"/>
      <c r="AD1307" s="156"/>
      <c r="AE1307" s="156"/>
      <c r="AF1307" s="156"/>
      <c r="AG1307" s="156"/>
      <c r="AH1307" s="156"/>
      <c r="AI1307" s="156"/>
      <c r="AJ1307" s="156"/>
      <c r="AK1307" s="156"/>
      <c r="AL1307" s="156"/>
      <c r="AM1307" s="157"/>
      <c r="AN1307" s="158">
        <f t="shared" si="1026"/>
        <v>4000</v>
      </c>
      <c r="AO1307" s="159"/>
      <c r="AP1307" s="160"/>
      <c r="AQ1307" s="161"/>
      <c r="AR1307" s="162"/>
      <c r="AS1307" s="163"/>
      <c r="AT1307" s="164"/>
      <c r="AU1307" s="165"/>
      <c r="AV1307" s="166"/>
      <c r="AW1307" s="167"/>
      <c r="AX1307" s="146"/>
      <c r="AY1307" s="168"/>
    </row>
    <row r="1308" spans="1:51" s="139" customFormat="1" ht="11.25" hidden="1" x14ac:dyDescent="0.25">
      <c r="A1308" s="1"/>
      <c r="B1308" s="140">
        <v>4</v>
      </c>
      <c r="C1308" s="63" t="s">
        <v>555</v>
      </c>
      <c r="D1308" s="142"/>
      <c r="E1308" s="143"/>
      <c r="F1308" s="143"/>
      <c r="G1308" s="143"/>
      <c r="H1308" s="143"/>
      <c r="I1308" s="222"/>
      <c r="J1308" s="222"/>
      <c r="K1308" s="222"/>
      <c r="L1308" s="222"/>
      <c r="M1308" s="222"/>
      <c r="N1308" s="222"/>
      <c r="O1308" s="222">
        <v>321506</v>
      </c>
      <c r="P1308" s="145"/>
      <c r="Q1308" s="223">
        <f t="shared" si="1027"/>
        <v>321506</v>
      </c>
      <c r="R1308" s="147">
        <f t="shared" si="1023"/>
        <v>35365.660000000003</v>
      </c>
      <c r="S1308" s="147">
        <f t="shared" si="1024"/>
        <v>96.8922191780822</v>
      </c>
      <c r="T1308" s="148">
        <f t="shared" si="1025"/>
        <v>21219.396000000001</v>
      </c>
      <c r="U1308" s="420"/>
      <c r="V1308" s="407"/>
      <c r="W1308" s="236"/>
      <c r="X1308" s="236"/>
      <c r="Y1308" s="408"/>
      <c r="Z1308" s="409"/>
      <c r="AA1308" s="409"/>
      <c r="AB1308" s="410"/>
      <c r="AC1308" s="155"/>
      <c r="AD1308" s="156"/>
      <c r="AE1308" s="156"/>
      <c r="AF1308" s="156"/>
      <c r="AG1308" s="156"/>
      <c r="AH1308" s="156"/>
      <c r="AI1308" s="156"/>
      <c r="AJ1308" s="156"/>
      <c r="AK1308" s="156"/>
      <c r="AL1308" s="156"/>
      <c r="AM1308" s="157"/>
      <c r="AN1308" s="158">
        <f t="shared" si="1026"/>
        <v>4000</v>
      </c>
      <c r="AO1308" s="159"/>
      <c r="AP1308" s="160"/>
      <c r="AQ1308" s="161"/>
      <c r="AR1308" s="162"/>
      <c r="AS1308" s="163"/>
      <c r="AT1308" s="164"/>
      <c r="AU1308" s="165"/>
      <c r="AV1308" s="166"/>
      <c r="AW1308" s="167"/>
      <c r="AX1308" s="146"/>
      <c r="AY1308" s="168"/>
    </row>
    <row r="1309" spans="1:51" s="139" customFormat="1" ht="11.25" hidden="1" x14ac:dyDescent="0.25">
      <c r="A1309" s="1"/>
      <c r="B1309" s="140">
        <v>5</v>
      </c>
      <c r="C1309" s="63" t="s">
        <v>556</v>
      </c>
      <c r="D1309" s="142"/>
      <c r="E1309" s="143"/>
      <c r="F1309" s="143"/>
      <c r="G1309" s="143"/>
      <c r="H1309" s="143"/>
      <c r="I1309" s="222"/>
      <c r="J1309" s="222"/>
      <c r="K1309" s="222"/>
      <c r="L1309" s="222"/>
      <c r="M1309" s="222"/>
      <c r="N1309" s="222"/>
      <c r="O1309" s="222">
        <v>123755</v>
      </c>
      <c r="P1309" s="145"/>
      <c r="Q1309" s="223">
        <f t="shared" si="1027"/>
        <v>123755</v>
      </c>
      <c r="R1309" s="147">
        <f t="shared" si="1023"/>
        <v>13613.05</v>
      </c>
      <c r="S1309" s="147">
        <f t="shared" si="1024"/>
        <v>37.296027397260275</v>
      </c>
      <c r="T1309" s="148">
        <f t="shared" si="1025"/>
        <v>8167.83</v>
      </c>
      <c r="U1309" s="420"/>
      <c r="V1309" s="407"/>
      <c r="W1309" s="236"/>
      <c r="X1309" s="236"/>
      <c r="Y1309" s="408"/>
      <c r="Z1309" s="409"/>
      <c r="AA1309" s="409"/>
      <c r="AB1309" s="410"/>
      <c r="AC1309" s="155"/>
      <c r="AD1309" s="156"/>
      <c r="AE1309" s="156"/>
      <c r="AF1309" s="156"/>
      <c r="AG1309" s="156"/>
      <c r="AH1309" s="156"/>
      <c r="AI1309" s="156"/>
      <c r="AJ1309" s="156"/>
      <c r="AK1309" s="156"/>
      <c r="AL1309" s="156"/>
      <c r="AM1309" s="157"/>
      <c r="AN1309" s="158">
        <f t="shared" si="1026"/>
        <v>4000</v>
      </c>
      <c r="AO1309" s="159"/>
      <c r="AP1309" s="160"/>
      <c r="AQ1309" s="161"/>
      <c r="AR1309" s="162"/>
      <c r="AS1309" s="163"/>
      <c r="AT1309" s="164"/>
      <c r="AU1309" s="165"/>
      <c r="AV1309" s="166"/>
      <c r="AW1309" s="167"/>
      <c r="AX1309" s="146"/>
      <c r="AY1309" s="168"/>
    </row>
    <row r="1310" spans="1:51" s="139" customFormat="1" ht="11.25" hidden="1" x14ac:dyDescent="0.25">
      <c r="A1310" s="1"/>
      <c r="B1310" s="140">
        <v>6</v>
      </c>
      <c r="C1310" s="63" t="s">
        <v>557</v>
      </c>
      <c r="D1310" s="142"/>
      <c r="E1310" s="143"/>
      <c r="F1310" s="143"/>
      <c r="G1310" s="143"/>
      <c r="H1310" s="143"/>
      <c r="I1310" s="222"/>
      <c r="J1310" s="222"/>
      <c r="K1310" s="222"/>
      <c r="L1310" s="222"/>
      <c r="M1310" s="222"/>
      <c r="N1310" s="222"/>
      <c r="O1310" s="222">
        <v>246798</v>
      </c>
      <c r="P1310" s="145"/>
      <c r="Q1310" s="223">
        <f t="shared" si="1027"/>
        <v>246798</v>
      </c>
      <c r="R1310" s="147">
        <f t="shared" si="1023"/>
        <v>27147.78</v>
      </c>
      <c r="S1310" s="147">
        <f t="shared" si="1024"/>
        <v>74.377479452054786</v>
      </c>
      <c r="T1310" s="148">
        <f t="shared" si="1025"/>
        <v>16288.667999999996</v>
      </c>
      <c r="U1310" s="420"/>
      <c r="V1310" s="407"/>
      <c r="W1310" s="236"/>
      <c r="X1310" s="236"/>
      <c r="Y1310" s="408"/>
      <c r="Z1310" s="409"/>
      <c r="AA1310" s="409"/>
      <c r="AB1310" s="410"/>
      <c r="AC1310" s="155"/>
      <c r="AD1310" s="156"/>
      <c r="AE1310" s="156"/>
      <c r="AF1310" s="156"/>
      <c r="AG1310" s="156"/>
      <c r="AH1310" s="156"/>
      <c r="AI1310" s="156"/>
      <c r="AJ1310" s="156"/>
      <c r="AK1310" s="156"/>
      <c r="AL1310" s="156"/>
      <c r="AM1310" s="157"/>
      <c r="AN1310" s="158">
        <f t="shared" si="1026"/>
        <v>4000</v>
      </c>
      <c r="AO1310" s="159"/>
      <c r="AP1310" s="160"/>
      <c r="AQ1310" s="161"/>
      <c r="AR1310" s="162"/>
      <c r="AS1310" s="163"/>
      <c r="AT1310" s="164"/>
      <c r="AU1310" s="165"/>
      <c r="AV1310" s="166"/>
      <c r="AW1310" s="167"/>
      <c r="AX1310" s="146"/>
      <c r="AY1310" s="168"/>
    </row>
    <row r="1311" spans="1:51" s="139" customFormat="1" ht="11.25" hidden="1" x14ac:dyDescent="0.25">
      <c r="A1311" s="1"/>
      <c r="B1311" s="140">
        <v>7</v>
      </c>
      <c r="C1311" s="63" t="s">
        <v>558</v>
      </c>
      <c r="D1311" s="142"/>
      <c r="E1311" s="143"/>
      <c r="F1311" s="143"/>
      <c r="G1311" s="143"/>
      <c r="H1311" s="143"/>
      <c r="I1311" s="222"/>
      <c r="J1311" s="222"/>
      <c r="K1311" s="222"/>
      <c r="L1311" s="222"/>
      <c r="M1311" s="222"/>
      <c r="N1311" s="222"/>
      <c r="O1311" s="222">
        <v>269853</v>
      </c>
      <c r="P1311" s="145"/>
      <c r="Q1311" s="223">
        <f t="shared" si="1027"/>
        <v>269853</v>
      </c>
      <c r="R1311" s="147">
        <f t="shared" si="1023"/>
        <v>29683.83</v>
      </c>
      <c r="S1311" s="147">
        <f t="shared" si="1024"/>
        <v>81.325561643835627</v>
      </c>
      <c r="T1311" s="148">
        <f t="shared" si="1025"/>
        <v>17810.298000000003</v>
      </c>
      <c r="U1311" s="420"/>
      <c r="V1311" s="407"/>
      <c r="W1311" s="236"/>
      <c r="X1311" s="236"/>
      <c r="Y1311" s="408"/>
      <c r="Z1311" s="409"/>
      <c r="AA1311" s="409"/>
      <c r="AB1311" s="410"/>
      <c r="AC1311" s="155"/>
      <c r="AD1311" s="156"/>
      <c r="AE1311" s="156"/>
      <c r="AF1311" s="156"/>
      <c r="AG1311" s="156"/>
      <c r="AH1311" s="156"/>
      <c r="AI1311" s="156"/>
      <c r="AJ1311" s="156"/>
      <c r="AK1311" s="156"/>
      <c r="AL1311" s="156"/>
      <c r="AM1311" s="157"/>
      <c r="AN1311" s="158">
        <f t="shared" si="1026"/>
        <v>4000</v>
      </c>
      <c r="AO1311" s="159"/>
      <c r="AP1311" s="160"/>
      <c r="AQ1311" s="161"/>
      <c r="AR1311" s="162"/>
      <c r="AS1311" s="163"/>
      <c r="AT1311" s="164"/>
      <c r="AU1311" s="165"/>
      <c r="AV1311" s="166"/>
      <c r="AW1311" s="167"/>
      <c r="AX1311" s="146"/>
      <c r="AY1311" s="168"/>
    </row>
    <row r="1312" spans="1:51" s="139" customFormat="1" ht="11.25" hidden="1" x14ac:dyDescent="0.25">
      <c r="A1312" s="1"/>
      <c r="B1312" s="140">
        <v>8</v>
      </c>
      <c r="C1312" s="63" t="s">
        <v>559</v>
      </c>
      <c r="D1312" s="142"/>
      <c r="E1312" s="143"/>
      <c r="F1312" s="143"/>
      <c r="G1312" s="143"/>
      <c r="H1312" s="143"/>
      <c r="I1312" s="222"/>
      <c r="J1312" s="222"/>
      <c r="K1312" s="222"/>
      <c r="L1312" s="222"/>
      <c r="M1312" s="222"/>
      <c r="N1312" s="222"/>
      <c r="O1312" s="222">
        <v>52560</v>
      </c>
      <c r="P1312" s="145"/>
      <c r="Q1312" s="223">
        <f t="shared" si="1027"/>
        <v>52560</v>
      </c>
      <c r="R1312" s="147">
        <f t="shared" si="1023"/>
        <v>5781.6</v>
      </c>
      <c r="S1312" s="147">
        <f t="shared" si="1024"/>
        <v>15.840000000000002</v>
      </c>
      <c r="T1312" s="148">
        <f t="shared" si="1025"/>
        <v>3468.96</v>
      </c>
      <c r="U1312" s="420"/>
      <c r="V1312" s="407"/>
      <c r="W1312" s="236"/>
      <c r="X1312" s="236"/>
      <c r="Y1312" s="408"/>
      <c r="Z1312" s="409"/>
      <c r="AA1312" s="409"/>
      <c r="AB1312" s="410"/>
      <c r="AC1312" s="155"/>
      <c r="AD1312" s="156"/>
      <c r="AE1312" s="156"/>
      <c r="AF1312" s="156"/>
      <c r="AG1312" s="156"/>
      <c r="AH1312" s="156"/>
      <c r="AI1312" s="156"/>
      <c r="AJ1312" s="156"/>
      <c r="AK1312" s="156"/>
      <c r="AL1312" s="156"/>
      <c r="AM1312" s="157"/>
      <c r="AN1312" s="158">
        <f t="shared" si="1026"/>
        <v>4000</v>
      </c>
      <c r="AO1312" s="159"/>
      <c r="AP1312" s="160"/>
      <c r="AQ1312" s="161"/>
      <c r="AR1312" s="162"/>
      <c r="AS1312" s="163"/>
      <c r="AT1312" s="164"/>
      <c r="AU1312" s="165"/>
      <c r="AV1312" s="166"/>
      <c r="AW1312" s="167"/>
      <c r="AX1312" s="146"/>
      <c r="AY1312" s="168"/>
    </row>
    <row r="1313" spans="1:51" s="139" customFormat="1" ht="11.25" hidden="1" x14ac:dyDescent="0.25">
      <c r="A1313" s="1"/>
      <c r="B1313" s="140">
        <v>9</v>
      </c>
      <c r="C1313" s="63" t="s">
        <v>560</v>
      </c>
      <c r="D1313" s="142"/>
      <c r="E1313" s="143"/>
      <c r="F1313" s="143"/>
      <c r="G1313" s="143"/>
      <c r="H1313" s="143"/>
      <c r="I1313" s="222"/>
      <c r="J1313" s="222"/>
      <c r="K1313" s="222"/>
      <c r="L1313" s="222"/>
      <c r="M1313" s="222"/>
      <c r="N1313" s="222"/>
      <c r="O1313" s="222">
        <v>273616</v>
      </c>
      <c r="P1313" s="145"/>
      <c r="Q1313" s="223">
        <f t="shared" si="1027"/>
        <v>273616</v>
      </c>
      <c r="R1313" s="147">
        <f t="shared" si="1023"/>
        <v>30097.759999999998</v>
      </c>
      <c r="S1313" s="147">
        <f t="shared" si="1024"/>
        <v>82.459616438356164</v>
      </c>
      <c r="T1313" s="148">
        <f t="shared" si="1025"/>
        <v>18058.655999999999</v>
      </c>
      <c r="U1313" s="420"/>
      <c r="V1313" s="407"/>
      <c r="W1313" s="236"/>
      <c r="X1313" s="236"/>
      <c r="Y1313" s="408"/>
      <c r="Z1313" s="409"/>
      <c r="AA1313" s="409"/>
      <c r="AB1313" s="410"/>
      <c r="AC1313" s="155"/>
      <c r="AD1313" s="156"/>
      <c r="AE1313" s="156"/>
      <c r="AF1313" s="156"/>
      <c r="AG1313" s="156"/>
      <c r="AH1313" s="156"/>
      <c r="AI1313" s="156"/>
      <c r="AJ1313" s="156"/>
      <c r="AK1313" s="156"/>
      <c r="AL1313" s="156"/>
      <c r="AM1313" s="157"/>
      <c r="AN1313" s="158">
        <f t="shared" si="1026"/>
        <v>4000</v>
      </c>
      <c r="AO1313" s="159"/>
      <c r="AP1313" s="160"/>
      <c r="AQ1313" s="161"/>
      <c r="AR1313" s="162"/>
      <c r="AS1313" s="163"/>
      <c r="AT1313" s="164"/>
      <c r="AU1313" s="165"/>
      <c r="AV1313" s="166"/>
      <c r="AW1313" s="167"/>
      <c r="AX1313" s="146"/>
      <c r="AY1313" s="168"/>
    </row>
    <row r="1314" spans="1:51" s="139" customFormat="1" ht="11.25" hidden="1" x14ac:dyDescent="0.25">
      <c r="A1314" s="1"/>
      <c r="B1314" s="140">
        <v>10</v>
      </c>
      <c r="C1314" s="63" t="s">
        <v>561</v>
      </c>
      <c r="D1314" s="142"/>
      <c r="E1314" s="143"/>
      <c r="F1314" s="143"/>
      <c r="G1314" s="143"/>
      <c r="H1314" s="143"/>
      <c r="I1314" s="222"/>
      <c r="J1314" s="222"/>
      <c r="K1314" s="222"/>
      <c r="L1314" s="222"/>
      <c r="M1314" s="222"/>
      <c r="N1314" s="222"/>
      <c r="O1314" s="222">
        <v>94846</v>
      </c>
      <c r="P1314" s="145"/>
      <c r="Q1314" s="223">
        <f t="shared" si="1027"/>
        <v>94846</v>
      </c>
      <c r="R1314" s="147">
        <f t="shared" si="1023"/>
        <v>10433.06</v>
      </c>
      <c r="S1314" s="147">
        <f t="shared" si="1024"/>
        <v>28.583726027397258</v>
      </c>
      <c r="T1314" s="148">
        <f t="shared" si="1025"/>
        <v>6259.8359999999993</v>
      </c>
      <c r="U1314" s="420"/>
      <c r="V1314" s="407"/>
      <c r="W1314" s="236"/>
      <c r="X1314" s="236"/>
      <c r="Y1314" s="408"/>
      <c r="Z1314" s="409"/>
      <c r="AA1314" s="409"/>
      <c r="AB1314" s="410"/>
      <c r="AC1314" s="155"/>
      <c r="AD1314" s="156"/>
      <c r="AE1314" s="156"/>
      <c r="AF1314" s="156"/>
      <c r="AG1314" s="156"/>
      <c r="AH1314" s="156"/>
      <c r="AI1314" s="156"/>
      <c r="AJ1314" s="156"/>
      <c r="AK1314" s="156"/>
      <c r="AL1314" s="156"/>
      <c r="AM1314" s="157"/>
      <c r="AN1314" s="158">
        <f t="shared" si="1026"/>
        <v>4000</v>
      </c>
      <c r="AO1314" s="159"/>
      <c r="AP1314" s="160"/>
      <c r="AQ1314" s="161"/>
      <c r="AR1314" s="162"/>
      <c r="AS1314" s="163"/>
      <c r="AT1314" s="164"/>
      <c r="AU1314" s="165"/>
      <c r="AV1314" s="166"/>
      <c r="AW1314" s="167"/>
      <c r="AX1314" s="146"/>
      <c r="AY1314" s="168"/>
    </row>
    <row r="1315" spans="1:51" s="139" customFormat="1" ht="11.25" hidden="1" x14ac:dyDescent="0.25">
      <c r="A1315" s="1"/>
      <c r="B1315" s="140">
        <v>11</v>
      </c>
      <c r="C1315" s="362" t="s">
        <v>562</v>
      </c>
      <c r="D1315" s="142"/>
      <c r="E1315" s="143"/>
      <c r="F1315" s="143"/>
      <c r="G1315" s="143"/>
      <c r="H1315" s="143"/>
      <c r="I1315" s="222"/>
      <c r="J1315" s="222"/>
      <c r="K1315" s="222"/>
      <c r="L1315" s="222"/>
      <c r="M1315" s="222"/>
      <c r="N1315" s="222"/>
      <c r="O1315" s="222">
        <v>139717</v>
      </c>
      <c r="P1315" s="145"/>
      <c r="Q1315" s="223">
        <f t="shared" si="1027"/>
        <v>139717</v>
      </c>
      <c r="R1315" s="147">
        <f t="shared" si="1023"/>
        <v>15368.87</v>
      </c>
      <c r="S1315" s="147">
        <f t="shared" si="1024"/>
        <v>42.106493150684933</v>
      </c>
      <c r="T1315" s="148">
        <f t="shared" si="1025"/>
        <v>9221.3220000000001</v>
      </c>
      <c r="U1315" s="420"/>
      <c r="V1315" s="407"/>
      <c r="W1315" s="236"/>
      <c r="X1315" s="236"/>
      <c r="Y1315" s="408"/>
      <c r="Z1315" s="409"/>
      <c r="AA1315" s="409"/>
      <c r="AB1315" s="410"/>
      <c r="AC1315" s="155"/>
      <c r="AD1315" s="156"/>
      <c r="AE1315" s="156"/>
      <c r="AF1315" s="156"/>
      <c r="AG1315" s="156"/>
      <c r="AH1315" s="156"/>
      <c r="AI1315" s="156"/>
      <c r="AJ1315" s="156"/>
      <c r="AK1315" s="156"/>
      <c r="AL1315" s="156"/>
      <c r="AM1315" s="157"/>
      <c r="AN1315" s="158">
        <f t="shared" si="1026"/>
        <v>4000</v>
      </c>
      <c r="AO1315" s="159"/>
      <c r="AP1315" s="160"/>
      <c r="AQ1315" s="161"/>
      <c r="AR1315" s="162"/>
      <c r="AS1315" s="163"/>
      <c r="AT1315" s="164"/>
      <c r="AU1315" s="165"/>
      <c r="AV1315" s="166"/>
      <c r="AW1315" s="167"/>
      <c r="AX1315" s="146"/>
      <c r="AY1315" s="168"/>
    </row>
    <row r="1316" spans="1:51" s="139" customFormat="1" ht="11.25" hidden="1" x14ac:dyDescent="0.25">
      <c r="A1316" s="1"/>
      <c r="B1316" s="140">
        <v>12</v>
      </c>
      <c r="C1316" s="128" t="s">
        <v>563</v>
      </c>
      <c r="D1316" s="142"/>
      <c r="E1316" s="143"/>
      <c r="F1316" s="143"/>
      <c r="G1316" s="143"/>
      <c r="H1316" s="143"/>
      <c r="I1316" s="222"/>
      <c r="J1316" s="222"/>
      <c r="K1316" s="222"/>
      <c r="L1316" s="222"/>
      <c r="M1316" s="222"/>
      <c r="N1316" s="222"/>
      <c r="O1316" s="222">
        <v>295737</v>
      </c>
      <c r="P1316" s="145"/>
      <c r="Q1316" s="223">
        <f t="shared" si="1027"/>
        <v>295737</v>
      </c>
      <c r="R1316" s="147">
        <f t="shared" si="1023"/>
        <v>32531.07</v>
      </c>
      <c r="S1316" s="147">
        <f t="shared" si="1024"/>
        <v>89.126219178082195</v>
      </c>
      <c r="T1316" s="148">
        <f t="shared" si="1025"/>
        <v>19518.642</v>
      </c>
      <c r="U1316" s="420"/>
      <c r="V1316" s="407"/>
      <c r="W1316" s="236"/>
      <c r="X1316" s="236"/>
      <c r="Y1316" s="408"/>
      <c r="Z1316" s="409"/>
      <c r="AA1316" s="409"/>
      <c r="AB1316" s="410"/>
      <c r="AC1316" s="155"/>
      <c r="AD1316" s="156"/>
      <c r="AE1316" s="156"/>
      <c r="AF1316" s="156"/>
      <c r="AG1316" s="156"/>
      <c r="AH1316" s="156"/>
      <c r="AI1316" s="156"/>
      <c r="AJ1316" s="156"/>
      <c r="AK1316" s="156"/>
      <c r="AL1316" s="156"/>
      <c r="AM1316" s="157"/>
      <c r="AN1316" s="158">
        <f t="shared" si="1026"/>
        <v>4000</v>
      </c>
      <c r="AO1316" s="159"/>
      <c r="AP1316" s="160"/>
      <c r="AQ1316" s="161"/>
      <c r="AR1316" s="162"/>
      <c r="AS1316" s="163"/>
      <c r="AT1316" s="164"/>
      <c r="AU1316" s="165"/>
      <c r="AV1316" s="166"/>
      <c r="AW1316" s="167"/>
      <c r="AX1316" s="146"/>
      <c r="AY1316" s="168"/>
    </row>
    <row r="1317" spans="1:51" s="190" customFormat="1" ht="16.7" hidden="1" customHeight="1" x14ac:dyDescent="0.25">
      <c r="A1317" s="173"/>
      <c r="B1317" s="120"/>
      <c r="C1317" s="352" t="s">
        <v>564</v>
      </c>
      <c r="D1317" s="240">
        <f>SUM(D1305:D1316)</f>
        <v>0</v>
      </c>
      <c r="E1317" s="240">
        <f>SUM(E1305:E1316)</f>
        <v>0</v>
      </c>
      <c r="F1317" s="240">
        <f>SUM(F1305:F1316)</f>
        <v>0</v>
      </c>
      <c r="G1317" s="240">
        <f>SUM(G1305:G1316)</f>
        <v>0</v>
      </c>
      <c r="H1317" s="240">
        <f>SUM(H1305:H1316)</f>
        <v>0</v>
      </c>
      <c r="I1317" s="240">
        <f t="shared" ref="I1317:P1317" si="1028">SUM(I1305:I1316)</f>
        <v>0</v>
      </c>
      <c r="J1317" s="240">
        <f t="shared" si="1028"/>
        <v>0</v>
      </c>
      <c r="K1317" s="240">
        <f t="shared" si="1028"/>
        <v>0</v>
      </c>
      <c r="L1317" s="240">
        <f t="shared" si="1028"/>
        <v>0</v>
      </c>
      <c r="M1317" s="240">
        <f t="shared" si="1028"/>
        <v>0</v>
      </c>
      <c r="N1317" s="240">
        <f t="shared" si="1028"/>
        <v>0</v>
      </c>
      <c r="O1317" s="240">
        <f t="shared" si="1028"/>
        <v>2277020</v>
      </c>
      <c r="P1317" s="240">
        <f t="shared" si="1028"/>
        <v>0</v>
      </c>
      <c r="Q1317" s="240">
        <f>SUM(Q1305:Q1316)</f>
        <v>2277020</v>
      </c>
      <c r="R1317" s="240">
        <f>SUM(R1305:R1316)</f>
        <v>250472.20000000004</v>
      </c>
      <c r="S1317" s="240">
        <f>SUM(S1305:S1316)</f>
        <v>686.22520547945203</v>
      </c>
      <c r="T1317" s="240">
        <f>SUM(T1305:T1316)</f>
        <v>150283.31999999998</v>
      </c>
      <c r="U1317" s="240">
        <f t="shared" ref="U1317:AX1317" si="1029">SUM(U1305:U1316)</f>
        <v>0</v>
      </c>
      <c r="V1317" s="240">
        <f t="shared" si="1029"/>
        <v>0</v>
      </c>
      <c r="W1317" s="240">
        <f t="shared" si="1029"/>
        <v>0</v>
      </c>
      <c r="X1317" s="240">
        <f t="shared" si="1029"/>
        <v>0</v>
      </c>
      <c r="Y1317" s="240">
        <f t="shared" si="1029"/>
        <v>0</v>
      </c>
      <c r="Z1317" s="240">
        <f t="shared" si="1029"/>
        <v>0</v>
      </c>
      <c r="AA1317" s="240">
        <f t="shared" si="1029"/>
        <v>0</v>
      </c>
      <c r="AB1317" s="240">
        <f t="shared" si="1029"/>
        <v>0</v>
      </c>
      <c r="AC1317" s="240">
        <f t="shared" si="1029"/>
        <v>0</v>
      </c>
      <c r="AD1317" s="240">
        <f t="shared" si="1029"/>
        <v>0</v>
      </c>
      <c r="AE1317" s="240">
        <f t="shared" si="1029"/>
        <v>0</v>
      </c>
      <c r="AF1317" s="240">
        <f t="shared" si="1029"/>
        <v>0</v>
      </c>
      <c r="AG1317" s="240">
        <f t="shared" si="1029"/>
        <v>0</v>
      </c>
      <c r="AH1317" s="240">
        <f t="shared" si="1029"/>
        <v>0</v>
      </c>
      <c r="AI1317" s="240">
        <f t="shared" si="1029"/>
        <v>0</v>
      </c>
      <c r="AJ1317" s="240">
        <f t="shared" si="1029"/>
        <v>0</v>
      </c>
      <c r="AK1317" s="240">
        <f t="shared" si="1029"/>
        <v>0</v>
      </c>
      <c r="AL1317" s="240">
        <f t="shared" si="1029"/>
        <v>0</v>
      </c>
      <c r="AM1317" s="240">
        <f t="shared" si="1029"/>
        <v>0</v>
      </c>
      <c r="AN1317" s="240"/>
      <c r="AO1317" s="240"/>
      <c r="AP1317" s="240">
        <f t="shared" si="1029"/>
        <v>0</v>
      </c>
      <c r="AQ1317" s="240">
        <f t="shared" si="1029"/>
        <v>0</v>
      </c>
      <c r="AR1317" s="240">
        <f t="shared" si="1029"/>
        <v>0</v>
      </c>
      <c r="AS1317" s="240">
        <f t="shared" si="1029"/>
        <v>0</v>
      </c>
      <c r="AT1317" s="240">
        <f t="shared" si="1029"/>
        <v>0</v>
      </c>
      <c r="AU1317" s="240">
        <f t="shared" si="1029"/>
        <v>0</v>
      </c>
      <c r="AV1317" s="240">
        <f t="shared" si="1029"/>
        <v>0</v>
      </c>
      <c r="AW1317" s="240">
        <f t="shared" si="1029"/>
        <v>0</v>
      </c>
      <c r="AX1317" s="240">
        <f t="shared" si="1029"/>
        <v>0</v>
      </c>
      <c r="AY1317" s="189"/>
    </row>
    <row r="1318" spans="1:51" s="139" customFormat="1" ht="10.9" hidden="1" customHeight="1" x14ac:dyDescent="0.25">
      <c r="Q1318" s="310"/>
      <c r="R1318" s="310"/>
      <c r="S1318" s="310"/>
      <c r="T1318" s="310"/>
      <c r="U1318" s="311"/>
      <c r="V1318" s="312"/>
      <c r="W1318" s="310"/>
      <c r="X1318" s="310"/>
      <c r="Z1318" s="86"/>
      <c r="AA1318" s="86"/>
      <c r="AB1318" s="313"/>
      <c r="AD1318" s="314"/>
      <c r="AE1318" s="314"/>
      <c r="AF1318" s="314"/>
      <c r="AG1318" s="314"/>
      <c r="AH1318" s="314"/>
      <c r="AI1318" s="314"/>
      <c r="AJ1318" s="314"/>
      <c r="AK1318" s="314"/>
      <c r="AL1318" s="314"/>
      <c r="AM1318" s="315"/>
      <c r="AN1318" s="310"/>
      <c r="AO1318" s="316"/>
      <c r="AP1318" s="310"/>
      <c r="AQ1318" s="317"/>
      <c r="AR1318" s="317"/>
      <c r="AS1318" s="318"/>
      <c r="AT1318" s="318"/>
      <c r="AU1318" s="319"/>
      <c r="AV1318" s="310"/>
      <c r="AW1318" s="310"/>
      <c r="AX1318" s="310"/>
      <c r="AY1318" s="310"/>
    </row>
    <row r="1319" spans="1:51" s="351" customFormat="1" ht="26.45" hidden="1" customHeight="1" thickBot="1" x14ac:dyDescent="0.3">
      <c r="A1319" s="346"/>
      <c r="B1319" s="272"/>
      <c r="C1319" s="356" t="s">
        <v>565</v>
      </c>
      <c r="D1319" s="272">
        <f>D1240+D1250+D1264+D1273+D1302+D1317</f>
        <v>830184</v>
      </c>
      <c r="E1319" s="272">
        <f t="shared" ref="E1319:AX1319" si="1030">E1240+E1250+E1264+E1273+E1302+E1317</f>
        <v>0</v>
      </c>
      <c r="F1319" s="272">
        <f t="shared" si="1030"/>
        <v>0</v>
      </c>
      <c r="G1319" s="272">
        <f t="shared" si="1030"/>
        <v>0</v>
      </c>
      <c r="H1319" s="272">
        <f t="shared" si="1030"/>
        <v>0</v>
      </c>
      <c r="I1319" s="272">
        <f t="shared" si="1030"/>
        <v>0</v>
      </c>
      <c r="J1319" s="272">
        <f t="shared" si="1030"/>
        <v>0</v>
      </c>
      <c r="K1319" s="272">
        <f t="shared" si="1030"/>
        <v>0</v>
      </c>
      <c r="L1319" s="272">
        <f t="shared" si="1030"/>
        <v>0</v>
      </c>
      <c r="M1319" s="272">
        <f t="shared" si="1030"/>
        <v>0</v>
      </c>
      <c r="N1319" s="272">
        <f t="shared" si="1030"/>
        <v>1040164</v>
      </c>
      <c r="O1319" s="272">
        <f t="shared" si="1030"/>
        <v>15429056</v>
      </c>
      <c r="P1319" s="272">
        <f t="shared" si="1030"/>
        <v>0</v>
      </c>
      <c r="Q1319" s="272">
        <f t="shared" si="1030"/>
        <v>16469220</v>
      </c>
      <c r="R1319" s="272">
        <f t="shared" si="1030"/>
        <v>1588659.9480000001</v>
      </c>
      <c r="S1319" s="272">
        <f t="shared" si="1030"/>
        <v>5161.2859397260272</v>
      </c>
      <c r="T1319" s="272">
        <f t="shared" si="1030"/>
        <v>1161304.7726</v>
      </c>
      <c r="U1319" s="272">
        <f t="shared" si="1030"/>
        <v>0</v>
      </c>
      <c r="V1319" s="272">
        <f t="shared" si="1030"/>
        <v>9.3000000000000007</v>
      </c>
      <c r="W1319" s="272">
        <f t="shared" si="1030"/>
        <v>266176.25</v>
      </c>
      <c r="X1319" s="272">
        <f t="shared" si="1030"/>
        <v>0</v>
      </c>
      <c r="Y1319" s="272">
        <f t="shared" si="1030"/>
        <v>0</v>
      </c>
      <c r="Z1319" s="272">
        <f t="shared" si="1030"/>
        <v>0</v>
      </c>
      <c r="AA1319" s="272">
        <f t="shared" si="1030"/>
        <v>0</v>
      </c>
      <c r="AB1319" s="272">
        <f t="shared" si="1030"/>
        <v>0</v>
      </c>
      <c r="AC1319" s="272">
        <f t="shared" si="1030"/>
        <v>138411.65</v>
      </c>
      <c r="AD1319" s="272">
        <f t="shared" si="1030"/>
        <v>66544.0625</v>
      </c>
      <c r="AE1319" s="272">
        <f t="shared" si="1030"/>
        <v>23955.862499999999</v>
      </c>
      <c r="AF1319" s="272">
        <f t="shared" si="1030"/>
        <v>13308.8125</v>
      </c>
      <c r="AG1319" s="272">
        <f t="shared" si="1030"/>
        <v>7985.2875000000004</v>
      </c>
      <c r="AH1319" s="272">
        <f t="shared" si="1030"/>
        <v>2661.7624999999998</v>
      </c>
      <c r="AI1319" s="272">
        <f t="shared" si="1030"/>
        <v>5323.5249999999996</v>
      </c>
      <c r="AJ1319" s="272">
        <f t="shared" si="1030"/>
        <v>2661.7624999999998</v>
      </c>
      <c r="AK1319" s="272">
        <f t="shared" si="1030"/>
        <v>10647.05</v>
      </c>
      <c r="AL1319" s="272">
        <f t="shared" si="1030"/>
        <v>2661.7624999999998</v>
      </c>
      <c r="AM1319" s="272">
        <f t="shared" si="1030"/>
        <v>119779.3125</v>
      </c>
      <c r="AN1319" s="272"/>
      <c r="AO1319" s="272"/>
      <c r="AP1319" s="272">
        <f t="shared" si="1030"/>
        <v>2005968102.3</v>
      </c>
      <c r="AQ1319" s="272">
        <f t="shared" si="1030"/>
        <v>557213.40632706892</v>
      </c>
      <c r="AR1319" s="272">
        <f t="shared" si="1030"/>
        <v>111442.68126541379</v>
      </c>
      <c r="AS1319" s="272">
        <f t="shared" si="1030"/>
        <v>0</v>
      </c>
      <c r="AT1319" s="272">
        <f t="shared" si="1030"/>
        <v>0</v>
      </c>
      <c r="AU1319" s="272">
        <f t="shared" si="1030"/>
        <v>1</v>
      </c>
      <c r="AV1319" s="272">
        <f t="shared" si="1030"/>
        <v>15.902209084676624</v>
      </c>
      <c r="AW1319" s="272">
        <f t="shared" si="1030"/>
        <v>10.90312587225</v>
      </c>
      <c r="AX1319" s="272">
        <f t="shared" si="1030"/>
        <v>16.902209084676624</v>
      </c>
      <c r="AY1319" s="350"/>
    </row>
    <row r="1320" spans="1:51" s="139" customFormat="1" ht="10.9" hidden="1" customHeight="1" x14ac:dyDescent="0.25">
      <c r="Q1320" s="310"/>
      <c r="R1320" s="310"/>
      <c r="S1320" s="310"/>
      <c r="T1320" s="310"/>
      <c r="U1320" s="311"/>
      <c r="V1320" s="312"/>
      <c r="W1320" s="310"/>
      <c r="X1320" s="310"/>
      <c r="Z1320" s="86"/>
      <c r="AA1320" s="86"/>
      <c r="AB1320" s="313"/>
      <c r="AD1320" s="314"/>
      <c r="AE1320" s="314"/>
      <c r="AF1320" s="314"/>
      <c r="AG1320" s="314"/>
      <c r="AH1320" s="314"/>
      <c r="AI1320" s="314"/>
      <c r="AJ1320" s="314"/>
      <c r="AK1320" s="314"/>
      <c r="AL1320" s="314"/>
      <c r="AM1320" s="315"/>
      <c r="AN1320" s="310"/>
      <c r="AO1320" s="316"/>
      <c r="AP1320" s="310"/>
      <c r="AQ1320" s="317"/>
      <c r="AR1320" s="317"/>
      <c r="AS1320" s="318"/>
      <c r="AT1320" s="318"/>
      <c r="AU1320" s="319"/>
      <c r="AV1320" s="310"/>
      <c r="AW1320" s="310"/>
      <c r="AX1320" s="310"/>
      <c r="AY1320" s="310"/>
    </row>
    <row r="1321" spans="1:51" s="139" customFormat="1" ht="10.9" hidden="1" customHeight="1" x14ac:dyDescent="0.25">
      <c r="Q1321" s="310"/>
      <c r="R1321" s="310"/>
      <c r="S1321" s="310"/>
      <c r="T1321" s="310"/>
      <c r="U1321" s="311"/>
      <c r="V1321" s="312"/>
      <c r="W1321" s="310"/>
      <c r="X1321" s="310"/>
      <c r="Z1321" s="86"/>
      <c r="AA1321" s="86"/>
      <c r="AB1321" s="313"/>
      <c r="AD1321" s="314"/>
      <c r="AE1321" s="314"/>
      <c r="AF1321" s="314"/>
      <c r="AG1321" s="314"/>
      <c r="AH1321" s="314"/>
      <c r="AI1321" s="314"/>
      <c r="AJ1321" s="314"/>
      <c r="AK1321" s="314"/>
      <c r="AL1321" s="314"/>
      <c r="AM1321" s="315"/>
      <c r="AN1321" s="310"/>
      <c r="AO1321" s="316"/>
      <c r="AP1321" s="310"/>
      <c r="AQ1321" s="317"/>
      <c r="AR1321" s="317"/>
      <c r="AS1321" s="318"/>
      <c r="AT1321" s="318"/>
      <c r="AU1321" s="319"/>
      <c r="AV1321" s="310"/>
      <c r="AW1321" s="310"/>
      <c r="AX1321" s="310"/>
      <c r="AY1321" s="310"/>
    </row>
    <row r="1322" spans="1:51" s="290" customFormat="1" ht="23.1" hidden="1" customHeight="1" x14ac:dyDescent="0.25">
      <c r="B1322" s="291" t="s">
        <v>566</v>
      </c>
      <c r="C1322" s="292"/>
      <c r="D1322" s="293"/>
      <c r="E1322" s="292"/>
      <c r="F1322" s="292"/>
      <c r="G1322" s="292"/>
      <c r="H1322" s="292"/>
      <c r="I1322" s="292"/>
      <c r="J1322" s="292"/>
      <c r="K1322" s="292"/>
      <c r="L1322" s="292"/>
      <c r="M1322" s="292"/>
      <c r="N1322" s="292"/>
      <c r="O1322" s="292"/>
      <c r="P1322" s="292"/>
      <c r="Q1322" s="292"/>
      <c r="R1322" s="292"/>
      <c r="S1322" s="294"/>
      <c r="T1322" s="292"/>
      <c r="U1322" s="292"/>
      <c r="V1322" s="292"/>
      <c r="W1322" s="292"/>
      <c r="X1322" s="292"/>
      <c r="Y1322" s="292"/>
      <c r="Z1322" s="295"/>
      <c r="AA1322" s="296"/>
      <c r="AB1322" s="116"/>
      <c r="AC1322" s="117"/>
      <c r="AD1322" s="117"/>
      <c r="AE1322" s="117"/>
      <c r="AF1322" s="117"/>
      <c r="AG1322" s="117"/>
      <c r="AH1322" s="117"/>
      <c r="AI1322" s="117"/>
      <c r="AJ1322" s="117"/>
      <c r="AK1322" s="117"/>
      <c r="AL1322" s="117"/>
      <c r="AM1322" s="117"/>
      <c r="AN1322" s="297"/>
      <c r="AO1322" s="292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</row>
    <row r="1323" spans="1:51" s="139" customFormat="1" ht="15" hidden="1" customHeight="1" x14ac:dyDescent="0.25">
      <c r="A1323" s="1"/>
      <c r="B1323" s="126"/>
      <c r="C1323" s="352" t="s">
        <v>567</v>
      </c>
      <c r="D1323" s="122"/>
      <c r="E1323" s="123"/>
      <c r="F1323" s="123"/>
      <c r="G1323" s="123"/>
      <c r="H1323" s="123"/>
      <c r="I1323" s="123"/>
      <c r="J1323" s="123"/>
      <c r="K1323" s="123"/>
      <c r="L1323" s="123"/>
      <c r="M1323" s="123"/>
      <c r="N1323" s="123"/>
      <c r="O1323" s="123"/>
      <c r="P1323" s="213"/>
      <c r="Q1323" s="76"/>
      <c r="R1323" s="108"/>
      <c r="S1323" s="108"/>
      <c r="T1323" s="94"/>
      <c r="U1323" s="120"/>
      <c r="V1323" s="67"/>
      <c r="W1323" s="123"/>
      <c r="X1323" s="123"/>
      <c r="Y1323" s="125"/>
      <c r="Z1323" s="126"/>
      <c r="AA1323" s="126"/>
      <c r="AB1323" s="127"/>
      <c r="AC1323" s="62"/>
      <c r="AD1323" s="215"/>
      <c r="AE1323" s="215"/>
      <c r="AF1323" s="215"/>
      <c r="AG1323" s="215"/>
      <c r="AH1323" s="215"/>
      <c r="AI1323" s="215"/>
      <c r="AJ1323" s="215"/>
      <c r="AK1323" s="215"/>
      <c r="AL1323" s="215"/>
      <c r="AM1323" s="125"/>
      <c r="AN1323" s="75"/>
      <c r="AO1323" s="216"/>
      <c r="AP1323" s="75"/>
      <c r="AQ1323" s="51"/>
      <c r="AR1323" s="217"/>
      <c r="AS1323" s="218"/>
      <c r="AT1323" s="219"/>
      <c r="AU1323" s="220"/>
      <c r="AV1323" s="135"/>
      <c r="AW1323" s="136"/>
      <c r="AX1323" s="137"/>
      <c r="AY1323" s="138"/>
    </row>
    <row r="1324" spans="1:51" ht="10.9" hidden="1" customHeight="1" x14ac:dyDescent="0.2">
      <c r="B1324" s="357">
        <v>1</v>
      </c>
      <c r="C1324" s="141" t="s">
        <v>568</v>
      </c>
      <c r="D1324" s="300"/>
      <c r="E1324" s="236"/>
      <c r="F1324" s="236"/>
      <c r="G1324" s="236"/>
      <c r="H1324" s="236"/>
      <c r="I1324" s="236"/>
      <c r="J1324" s="236"/>
      <c r="K1324" s="236"/>
      <c r="L1324" s="236"/>
      <c r="M1324" s="236">
        <v>95974</v>
      </c>
      <c r="N1324" s="236">
        <v>108445</v>
      </c>
      <c r="O1324" s="301">
        <v>113036</v>
      </c>
      <c r="P1324" s="237">
        <v>115004</v>
      </c>
      <c r="Q1324" s="223">
        <f t="shared" ref="Q1324:Q1334" si="1031">MAX(D1324:P1324)</f>
        <v>115004</v>
      </c>
      <c r="R1324" s="147">
        <f t="shared" ref="R1324:R1334" si="1032">Q1324*$R$10</f>
        <v>12650.44</v>
      </c>
      <c r="S1324" s="147">
        <f t="shared" ref="S1324:S1334" si="1033">R1324/$S$5</f>
        <v>34.658739726027399</v>
      </c>
      <c r="T1324" s="148">
        <f t="shared" ref="T1324:T1334" si="1034">S1324*$T$5*$T$10</f>
        <v>7590.2640000000001</v>
      </c>
      <c r="U1324" s="420"/>
      <c r="V1324" s="407"/>
      <c r="W1324" s="236"/>
      <c r="X1324" s="236"/>
      <c r="Y1324" s="408"/>
      <c r="Z1324" s="409"/>
      <c r="AA1324" s="409"/>
      <c r="AB1324" s="410"/>
      <c r="AC1324" s="155"/>
      <c r="AD1324" s="156"/>
      <c r="AE1324" s="156"/>
      <c r="AF1324" s="156"/>
      <c r="AG1324" s="156"/>
      <c r="AH1324" s="156"/>
      <c r="AI1324" s="156"/>
      <c r="AJ1324" s="156"/>
      <c r="AK1324" s="156"/>
      <c r="AL1324" s="156"/>
      <c r="AM1324" s="157"/>
      <c r="AN1324" s="158">
        <f t="shared" ref="AN1324:AN1334" si="1035">$AN$641</f>
        <v>4000</v>
      </c>
      <c r="AO1324" s="159"/>
      <c r="AP1324" s="160"/>
      <c r="AQ1324" s="161"/>
      <c r="AR1324" s="162"/>
      <c r="AS1324" s="163"/>
      <c r="AT1324" s="164"/>
      <c r="AU1324" s="165"/>
      <c r="AV1324" s="166"/>
      <c r="AW1324" s="167"/>
      <c r="AX1324" s="146"/>
      <c r="AY1324" s="168"/>
    </row>
    <row r="1325" spans="1:51" ht="10.9" hidden="1" customHeight="1" x14ac:dyDescent="0.2">
      <c r="B1325" s="357">
        <v>2</v>
      </c>
      <c r="C1325" s="169" t="s">
        <v>569</v>
      </c>
      <c r="D1325" s="300"/>
      <c r="E1325" s="236"/>
      <c r="F1325" s="236"/>
      <c r="G1325" s="236"/>
      <c r="H1325" s="236"/>
      <c r="I1325" s="236"/>
      <c r="J1325" s="236"/>
      <c r="K1325" s="236"/>
      <c r="L1325" s="236"/>
      <c r="M1325" s="236">
        <v>52950</v>
      </c>
      <c r="N1325" s="236">
        <v>53671</v>
      </c>
      <c r="O1325" s="301">
        <v>55403</v>
      </c>
      <c r="P1325" s="237">
        <v>56368</v>
      </c>
      <c r="Q1325" s="223">
        <f t="shared" si="1031"/>
        <v>56368</v>
      </c>
      <c r="R1325" s="147">
        <f t="shared" si="1032"/>
        <v>6200.4800000000005</v>
      </c>
      <c r="S1325" s="147">
        <f t="shared" si="1033"/>
        <v>16.987616438356167</v>
      </c>
      <c r="T1325" s="148">
        <f t="shared" si="1034"/>
        <v>3720.288</v>
      </c>
      <c r="U1325" s="420"/>
      <c r="V1325" s="407"/>
      <c r="W1325" s="236"/>
      <c r="X1325" s="236"/>
      <c r="Y1325" s="408"/>
      <c r="Z1325" s="409"/>
      <c r="AA1325" s="409"/>
      <c r="AB1325" s="410"/>
      <c r="AC1325" s="155"/>
      <c r="AD1325" s="156"/>
      <c r="AE1325" s="156"/>
      <c r="AF1325" s="156"/>
      <c r="AG1325" s="156"/>
      <c r="AH1325" s="156"/>
      <c r="AI1325" s="156"/>
      <c r="AJ1325" s="156"/>
      <c r="AK1325" s="156"/>
      <c r="AL1325" s="156"/>
      <c r="AM1325" s="157"/>
      <c r="AN1325" s="158">
        <f t="shared" si="1035"/>
        <v>4000</v>
      </c>
      <c r="AO1325" s="159"/>
      <c r="AP1325" s="160"/>
      <c r="AQ1325" s="161"/>
      <c r="AR1325" s="162"/>
      <c r="AS1325" s="163"/>
      <c r="AT1325" s="164"/>
      <c r="AU1325" s="165"/>
      <c r="AV1325" s="166"/>
      <c r="AW1325" s="167"/>
      <c r="AX1325" s="146"/>
      <c r="AY1325" s="168"/>
    </row>
    <row r="1326" spans="1:51" ht="10.9" hidden="1" customHeight="1" x14ac:dyDescent="0.2">
      <c r="B1326" s="357">
        <v>3</v>
      </c>
      <c r="C1326" s="169" t="s">
        <v>578</v>
      </c>
      <c r="D1326" s="300"/>
      <c r="E1326" s="236"/>
      <c r="F1326" s="236"/>
      <c r="G1326" s="236"/>
      <c r="H1326" s="236"/>
      <c r="I1326" s="236"/>
      <c r="J1326" s="236"/>
      <c r="K1326" s="236"/>
      <c r="L1326" s="236"/>
      <c r="M1326" s="236">
        <v>81712</v>
      </c>
      <c r="N1326" s="236">
        <v>84138</v>
      </c>
      <c r="O1326" s="301">
        <v>86618</v>
      </c>
      <c r="P1326" s="237">
        <v>88132</v>
      </c>
      <c r="Q1326" s="223">
        <f t="shared" si="1031"/>
        <v>88132</v>
      </c>
      <c r="R1326" s="147">
        <f t="shared" si="1032"/>
        <v>9694.52</v>
      </c>
      <c r="S1326" s="147">
        <f t="shared" si="1033"/>
        <v>26.560328767123288</v>
      </c>
      <c r="T1326" s="148">
        <f t="shared" si="1034"/>
        <v>5816.7120000000004</v>
      </c>
      <c r="U1326" s="420"/>
      <c r="V1326" s="407"/>
      <c r="W1326" s="236"/>
      <c r="X1326" s="236"/>
      <c r="Y1326" s="408"/>
      <c r="Z1326" s="409"/>
      <c r="AA1326" s="409"/>
      <c r="AB1326" s="410"/>
      <c r="AC1326" s="155"/>
      <c r="AD1326" s="156"/>
      <c r="AE1326" s="156"/>
      <c r="AF1326" s="156"/>
      <c r="AG1326" s="156"/>
      <c r="AH1326" s="156"/>
      <c r="AI1326" s="156"/>
      <c r="AJ1326" s="156"/>
      <c r="AK1326" s="156"/>
      <c r="AL1326" s="156"/>
      <c r="AM1326" s="157"/>
      <c r="AN1326" s="158">
        <f t="shared" si="1035"/>
        <v>4000</v>
      </c>
      <c r="AO1326" s="159"/>
      <c r="AP1326" s="160"/>
      <c r="AQ1326" s="161"/>
      <c r="AR1326" s="162"/>
      <c r="AS1326" s="163"/>
      <c r="AT1326" s="164"/>
      <c r="AU1326" s="165"/>
      <c r="AV1326" s="166"/>
      <c r="AW1326" s="167"/>
      <c r="AX1326" s="146"/>
      <c r="AY1326" s="168"/>
    </row>
    <row r="1327" spans="1:51" ht="10.9" hidden="1" customHeight="1" x14ac:dyDescent="0.2">
      <c r="B1327" s="357">
        <v>4</v>
      </c>
      <c r="C1327" s="169" t="s">
        <v>574</v>
      </c>
      <c r="D1327" s="300"/>
      <c r="E1327" s="236"/>
      <c r="F1327" s="236"/>
      <c r="G1327" s="236"/>
      <c r="H1327" s="236"/>
      <c r="I1327" s="236"/>
      <c r="J1327" s="236"/>
      <c r="K1327" s="236"/>
      <c r="L1327" s="236"/>
      <c r="M1327" s="236">
        <v>70412</v>
      </c>
      <c r="N1327" s="236">
        <v>70714</v>
      </c>
      <c r="O1327" s="301">
        <v>71730</v>
      </c>
      <c r="P1327" s="237">
        <v>72981</v>
      </c>
      <c r="Q1327" s="223">
        <f t="shared" si="1031"/>
        <v>72981</v>
      </c>
      <c r="R1327" s="147">
        <f t="shared" si="1032"/>
        <v>8027.91</v>
      </c>
      <c r="S1327" s="147">
        <f t="shared" si="1033"/>
        <v>21.994273972602738</v>
      </c>
      <c r="T1327" s="148">
        <f t="shared" si="1034"/>
        <v>4816.7459999999992</v>
      </c>
      <c r="U1327" s="420"/>
      <c r="V1327" s="407"/>
      <c r="W1327" s="236"/>
      <c r="X1327" s="236"/>
      <c r="Y1327" s="408"/>
      <c r="Z1327" s="409"/>
      <c r="AA1327" s="409"/>
      <c r="AB1327" s="410"/>
      <c r="AC1327" s="155"/>
      <c r="AD1327" s="156"/>
      <c r="AE1327" s="156"/>
      <c r="AF1327" s="156"/>
      <c r="AG1327" s="156"/>
      <c r="AH1327" s="156"/>
      <c r="AI1327" s="156"/>
      <c r="AJ1327" s="156"/>
      <c r="AK1327" s="156"/>
      <c r="AL1327" s="156"/>
      <c r="AM1327" s="157"/>
      <c r="AN1327" s="158">
        <f t="shared" si="1035"/>
        <v>4000</v>
      </c>
      <c r="AO1327" s="159"/>
      <c r="AP1327" s="160"/>
      <c r="AQ1327" s="161"/>
      <c r="AR1327" s="162"/>
      <c r="AS1327" s="163"/>
      <c r="AT1327" s="164"/>
      <c r="AU1327" s="165"/>
      <c r="AV1327" s="166"/>
      <c r="AW1327" s="167"/>
      <c r="AX1327" s="146"/>
      <c r="AY1327" s="168"/>
    </row>
    <row r="1328" spans="1:51" ht="10.9" hidden="1" customHeight="1" x14ac:dyDescent="0.2">
      <c r="B1328" s="357">
        <v>5</v>
      </c>
      <c r="C1328" s="170" t="s">
        <v>572</v>
      </c>
      <c r="D1328" s="300"/>
      <c r="E1328" s="236"/>
      <c r="F1328" s="236"/>
      <c r="G1328" s="236"/>
      <c r="H1328" s="236"/>
      <c r="I1328" s="236"/>
      <c r="J1328" s="236"/>
      <c r="K1328" s="236"/>
      <c r="L1328" s="236"/>
      <c r="M1328" s="236">
        <v>370931</v>
      </c>
      <c r="N1328" s="236">
        <v>361698</v>
      </c>
      <c r="O1328" s="301">
        <v>368999</v>
      </c>
      <c r="P1328" s="237">
        <v>375393</v>
      </c>
      <c r="Q1328" s="223">
        <f t="shared" si="1031"/>
        <v>375393</v>
      </c>
      <c r="R1328" s="147">
        <f t="shared" si="1032"/>
        <v>41293.230000000003</v>
      </c>
      <c r="S1328" s="147">
        <f t="shared" si="1033"/>
        <v>113.13213698630138</v>
      </c>
      <c r="T1328" s="148">
        <f t="shared" si="1034"/>
        <v>24775.938000000002</v>
      </c>
      <c r="U1328" s="420"/>
      <c r="V1328" s="407"/>
      <c r="W1328" s="236"/>
      <c r="X1328" s="236"/>
      <c r="Y1328" s="408"/>
      <c r="Z1328" s="409"/>
      <c r="AA1328" s="409"/>
      <c r="AB1328" s="410"/>
      <c r="AC1328" s="155"/>
      <c r="AD1328" s="156"/>
      <c r="AE1328" s="156"/>
      <c r="AF1328" s="156"/>
      <c r="AG1328" s="156"/>
      <c r="AH1328" s="156"/>
      <c r="AI1328" s="156"/>
      <c r="AJ1328" s="156"/>
      <c r="AK1328" s="156"/>
      <c r="AL1328" s="156"/>
      <c r="AM1328" s="157"/>
      <c r="AN1328" s="158">
        <f t="shared" si="1035"/>
        <v>4000</v>
      </c>
      <c r="AO1328" s="159"/>
      <c r="AP1328" s="160"/>
      <c r="AQ1328" s="161"/>
      <c r="AR1328" s="162"/>
      <c r="AS1328" s="163"/>
      <c r="AT1328" s="164"/>
      <c r="AU1328" s="165"/>
      <c r="AV1328" s="166"/>
      <c r="AW1328" s="167"/>
      <c r="AX1328" s="146"/>
      <c r="AY1328" s="168"/>
    </row>
    <row r="1329" spans="1:51" ht="10.9" hidden="1" customHeight="1" x14ac:dyDescent="0.2">
      <c r="B1329" s="357">
        <v>6</v>
      </c>
      <c r="C1329" s="170" t="s">
        <v>576</v>
      </c>
      <c r="D1329" s="300"/>
      <c r="E1329" s="236"/>
      <c r="F1329" s="236"/>
      <c r="G1329" s="236"/>
      <c r="H1329" s="236"/>
      <c r="I1329" s="236"/>
      <c r="J1329" s="236"/>
      <c r="K1329" s="236"/>
      <c r="L1329" s="236"/>
      <c r="M1329" s="236">
        <v>105081</v>
      </c>
      <c r="N1329" s="236">
        <v>96442</v>
      </c>
      <c r="O1329" s="301">
        <v>98440</v>
      </c>
      <c r="P1329" s="237">
        <v>100154</v>
      </c>
      <c r="Q1329" s="223">
        <f t="shared" si="1031"/>
        <v>105081</v>
      </c>
      <c r="R1329" s="147">
        <f t="shared" si="1032"/>
        <v>11558.91</v>
      </c>
      <c r="S1329" s="147">
        <f t="shared" si="1033"/>
        <v>31.668246575342465</v>
      </c>
      <c r="T1329" s="148">
        <f t="shared" si="1034"/>
        <v>6935.3459999999995</v>
      </c>
      <c r="U1329" s="420"/>
      <c r="V1329" s="407"/>
      <c r="W1329" s="236"/>
      <c r="X1329" s="236"/>
      <c r="Y1329" s="408"/>
      <c r="Z1329" s="409"/>
      <c r="AA1329" s="409"/>
      <c r="AB1329" s="410"/>
      <c r="AC1329" s="155"/>
      <c r="AD1329" s="156"/>
      <c r="AE1329" s="156"/>
      <c r="AF1329" s="156"/>
      <c r="AG1329" s="156"/>
      <c r="AH1329" s="156"/>
      <c r="AI1329" s="156"/>
      <c r="AJ1329" s="156"/>
      <c r="AK1329" s="156"/>
      <c r="AL1329" s="156"/>
      <c r="AM1329" s="157"/>
      <c r="AN1329" s="158">
        <f t="shared" si="1035"/>
        <v>4000</v>
      </c>
      <c r="AO1329" s="159"/>
      <c r="AP1329" s="160"/>
      <c r="AQ1329" s="161"/>
      <c r="AR1329" s="162"/>
      <c r="AS1329" s="163"/>
      <c r="AT1329" s="164"/>
      <c r="AU1329" s="165"/>
      <c r="AV1329" s="166"/>
      <c r="AW1329" s="167"/>
      <c r="AX1329" s="146"/>
      <c r="AY1329" s="168"/>
    </row>
    <row r="1330" spans="1:51" ht="10.9" hidden="1" customHeight="1" x14ac:dyDescent="0.2">
      <c r="B1330" s="357">
        <v>7</v>
      </c>
      <c r="C1330" s="170" t="s">
        <v>575</v>
      </c>
      <c r="D1330" s="300"/>
      <c r="E1330" s="236"/>
      <c r="F1330" s="236"/>
      <c r="G1330" s="236"/>
      <c r="H1330" s="236"/>
      <c r="I1330" s="236"/>
      <c r="J1330" s="236"/>
      <c r="K1330" s="236"/>
      <c r="L1330" s="236"/>
      <c r="M1330" s="236">
        <v>94370</v>
      </c>
      <c r="N1330" s="236">
        <v>105341</v>
      </c>
      <c r="O1330" s="301">
        <v>107898</v>
      </c>
      <c r="P1330" s="237">
        <v>109768</v>
      </c>
      <c r="Q1330" s="223">
        <f t="shared" si="1031"/>
        <v>109768</v>
      </c>
      <c r="R1330" s="147">
        <f t="shared" si="1032"/>
        <v>12074.48</v>
      </c>
      <c r="S1330" s="147">
        <f t="shared" si="1033"/>
        <v>33.080767123287671</v>
      </c>
      <c r="T1330" s="148">
        <f t="shared" si="1034"/>
        <v>7244.6879999999992</v>
      </c>
      <c r="U1330" s="420"/>
      <c r="V1330" s="407"/>
      <c r="W1330" s="236"/>
      <c r="X1330" s="236"/>
      <c r="Y1330" s="408"/>
      <c r="Z1330" s="409"/>
      <c r="AA1330" s="409"/>
      <c r="AB1330" s="410"/>
      <c r="AC1330" s="155"/>
      <c r="AD1330" s="156"/>
      <c r="AE1330" s="156"/>
      <c r="AF1330" s="156"/>
      <c r="AG1330" s="156"/>
      <c r="AH1330" s="156"/>
      <c r="AI1330" s="156"/>
      <c r="AJ1330" s="156"/>
      <c r="AK1330" s="156"/>
      <c r="AL1330" s="156"/>
      <c r="AM1330" s="157"/>
      <c r="AN1330" s="158">
        <f t="shared" si="1035"/>
        <v>4000</v>
      </c>
      <c r="AO1330" s="159"/>
      <c r="AP1330" s="160"/>
      <c r="AQ1330" s="161"/>
      <c r="AR1330" s="162"/>
      <c r="AS1330" s="163"/>
      <c r="AT1330" s="164"/>
      <c r="AU1330" s="165"/>
      <c r="AV1330" s="166"/>
      <c r="AW1330" s="167"/>
      <c r="AX1330" s="146"/>
      <c r="AY1330" s="168"/>
    </row>
    <row r="1331" spans="1:51" ht="10.9" hidden="1" customHeight="1" x14ac:dyDescent="0.2">
      <c r="B1331" s="357">
        <v>8</v>
      </c>
      <c r="C1331" s="170" t="s">
        <v>571</v>
      </c>
      <c r="D1331" s="300"/>
      <c r="E1331" s="236"/>
      <c r="F1331" s="236"/>
      <c r="G1331" s="236"/>
      <c r="H1331" s="236"/>
      <c r="I1331" s="236"/>
      <c r="J1331" s="236"/>
      <c r="K1331" s="236"/>
      <c r="L1331" s="236"/>
      <c r="M1331" s="236">
        <v>159718</v>
      </c>
      <c r="N1331" s="236">
        <v>164656</v>
      </c>
      <c r="O1331" s="301">
        <v>168197</v>
      </c>
      <c r="P1331" s="237">
        <v>171129</v>
      </c>
      <c r="Q1331" s="223">
        <f t="shared" si="1031"/>
        <v>171129</v>
      </c>
      <c r="R1331" s="147">
        <f t="shared" si="1032"/>
        <v>18824.189999999999</v>
      </c>
      <c r="S1331" s="147">
        <f t="shared" si="1033"/>
        <v>51.57312328767123</v>
      </c>
      <c r="T1331" s="148">
        <f t="shared" si="1034"/>
        <v>11294.513999999999</v>
      </c>
      <c r="U1331" s="420"/>
      <c r="V1331" s="407"/>
      <c r="W1331" s="236"/>
      <c r="X1331" s="236"/>
      <c r="Y1331" s="408"/>
      <c r="Z1331" s="409"/>
      <c r="AA1331" s="409"/>
      <c r="AB1331" s="410"/>
      <c r="AC1331" s="155"/>
      <c r="AD1331" s="156"/>
      <c r="AE1331" s="156"/>
      <c r="AF1331" s="156"/>
      <c r="AG1331" s="156"/>
      <c r="AH1331" s="156"/>
      <c r="AI1331" s="156"/>
      <c r="AJ1331" s="156"/>
      <c r="AK1331" s="156"/>
      <c r="AL1331" s="156"/>
      <c r="AM1331" s="157"/>
      <c r="AN1331" s="158">
        <f t="shared" si="1035"/>
        <v>4000</v>
      </c>
      <c r="AO1331" s="159"/>
      <c r="AP1331" s="160"/>
      <c r="AQ1331" s="161"/>
      <c r="AR1331" s="162"/>
      <c r="AS1331" s="163"/>
      <c r="AT1331" s="164"/>
      <c r="AU1331" s="165"/>
      <c r="AV1331" s="166"/>
      <c r="AW1331" s="167"/>
      <c r="AX1331" s="146"/>
      <c r="AY1331" s="168"/>
    </row>
    <row r="1332" spans="1:51" ht="10.9" hidden="1" customHeight="1" x14ac:dyDescent="0.2">
      <c r="B1332" s="357">
        <v>9</v>
      </c>
      <c r="C1332" s="170" t="s">
        <v>573</v>
      </c>
      <c r="D1332" s="300"/>
      <c r="E1332" s="236"/>
      <c r="F1332" s="236"/>
      <c r="G1332" s="236"/>
      <c r="H1332" s="236"/>
      <c r="I1332" s="236"/>
      <c r="J1332" s="236"/>
      <c r="K1332" s="236"/>
      <c r="L1332" s="236"/>
      <c r="M1332" s="236">
        <v>86709</v>
      </c>
      <c r="N1332" s="236">
        <v>99065</v>
      </c>
      <c r="O1332" s="301">
        <v>102107</v>
      </c>
      <c r="P1332" s="237">
        <v>103890</v>
      </c>
      <c r="Q1332" s="223">
        <f t="shared" si="1031"/>
        <v>103890</v>
      </c>
      <c r="R1332" s="147">
        <f t="shared" si="1032"/>
        <v>11427.9</v>
      </c>
      <c r="S1332" s="147">
        <f t="shared" si="1033"/>
        <v>31.309315068493149</v>
      </c>
      <c r="T1332" s="148">
        <f t="shared" si="1034"/>
        <v>6856.74</v>
      </c>
      <c r="U1332" s="420"/>
      <c r="V1332" s="407"/>
      <c r="W1332" s="236"/>
      <c r="X1332" s="236"/>
      <c r="Y1332" s="408"/>
      <c r="Z1332" s="409"/>
      <c r="AA1332" s="409"/>
      <c r="AB1332" s="410"/>
      <c r="AC1332" s="155"/>
      <c r="AD1332" s="156"/>
      <c r="AE1332" s="156"/>
      <c r="AF1332" s="156"/>
      <c r="AG1332" s="156"/>
      <c r="AH1332" s="156"/>
      <c r="AI1332" s="156"/>
      <c r="AJ1332" s="156"/>
      <c r="AK1332" s="156"/>
      <c r="AL1332" s="156"/>
      <c r="AM1332" s="157"/>
      <c r="AN1332" s="158">
        <f t="shared" si="1035"/>
        <v>4000</v>
      </c>
      <c r="AO1332" s="159"/>
      <c r="AP1332" s="160"/>
      <c r="AQ1332" s="161"/>
      <c r="AR1332" s="162"/>
      <c r="AS1332" s="163"/>
      <c r="AT1332" s="164"/>
      <c r="AU1332" s="165"/>
      <c r="AV1332" s="166"/>
      <c r="AW1332" s="167"/>
      <c r="AX1332" s="146"/>
      <c r="AY1332" s="168"/>
    </row>
    <row r="1333" spans="1:51" ht="10.9" hidden="1" customHeight="1" x14ac:dyDescent="0.2">
      <c r="B1333" s="357">
        <v>10</v>
      </c>
      <c r="C1333" s="170" t="s">
        <v>570</v>
      </c>
      <c r="D1333" s="300"/>
      <c r="E1333" s="236"/>
      <c r="F1333" s="236"/>
      <c r="G1333" s="236"/>
      <c r="H1333" s="236"/>
      <c r="I1333" s="236"/>
      <c r="J1333" s="236"/>
      <c r="K1333" s="236"/>
      <c r="L1333" s="236"/>
      <c r="M1333" s="236">
        <v>284809</v>
      </c>
      <c r="N1333" s="236">
        <v>331254</v>
      </c>
      <c r="O1333" s="301">
        <v>348407</v>
      </c>
      <c r="P1333" s="237">
        <v>354464</v>
      </c>
      <c r="Q1333" s="223">
        <f t="shared" si="1031"/>
        <v>354464</v>
      </c>
      <c r="R1333" s="147">
        <f t="shared" si="1032"/>
        <v>38991.040000000001</v>
      </c>
      <c r="S1333" s="147">
        <f t="shared" si="1033"/>
        <v>106.82476712328767</v>
      </c>
      <c r="T1333" s="148">
        <f t="shared" si="1034"/>
        <v>23394.624</v>
      </c>
      <c r="U1333" s="420"/>
      <c r="V1333" s="407"/>
      <c r="W1333" s="236"/>
      <c r="X1333" s="236"/>
      <c r="Y1333" s="408"/>
      <c r="Z1333" s="409"/>
      <c r="AA1333" s="409"/>
      <c r="AB1333" s="410"/>
      <c r="AC1333" s="155"/>
      <c r="AD1333" s="156"/>
      <c r="AE1333" s="156"/>
      <c r="AF1333" s="156"/>
      <c r="AG1333" s="156"/>
      <c r="AH1333" s="156"/>
      <c r="AI1333" s="156"/>
      <c r="AJ1333" s="156"/>
      <c r="AK1333" s="156"/>
      <c r="AL1333" s="156"/>
      <c r="AM1333" s="157"/>
      <c r="AN1333" s="158">
        <f t="shared" si="1035"/>
        <v>4000</v>
      </c>
      <c r="AO1333" s="159"/>
      <c r="AP1333" s="160"/>
      <c r="AQ1333" s="161"/>
      <c r="AR1333" s="162"/>
      <c r="AS1333" s="163"/>
      <c r="AT1333" s="164"/>
      <c r="AU1333" s="165"/>
      <c r="AV1333" s="166"/>
      <c r="AW1333" s="167"/>
      <c r="AX1333" s="146"/>
      <c r="AY1333" s="168"/>
    </row>
    <row r="1334" spans="1:51" ht="10.9" hidden="1" customHeight="1" x14ac:dyDescent="0.2">
      <c r="B1334" s="357">
        <v>11</v>
      </c>
      <c r="C1334" s="170" t="s">
        <v>577</v>
      </c>
      <c r="D1334" s="300"/>
      <c r="E1334" s="236"/>
      <c r="F1334" s="236"/>
      <c r="G1334" s="236"/>
      <c r="H1334" s="236"/>
      <c r="I1334" s="236"/>
      <c r="J1334" s="236"/>
      <c r="K1334" s="236"/>
      <c r="L1334" s="236"/>
      <c r="M1334" s="236">
        <v>54404</v>
      </c>
      <c r="N1334" s="236">
        <v>58082</v>
      </c>
      <c r="O1334" s="301">
        <v>60444</v>
      </c>
      <c r="P1334" s="237">
        <v>61503</v>
      </c>
      <c r="Q1334" s="223">
        <f t="shared" si="1031"/>
        <v>61503</v>
      </c>
      <c r="R1334" s="147">
        <f t="shared" si="1032"/>
        <v>6765.33</v>
      </c>
      <c r="S1334" s="147">
        <f t="shared" si="1033"/>
        <v>18.535150684931505</v>
      </c>
      <c r="T1334" s="148">
        <f t="shared" si="1034"/>
        <v>4059.1979999999994</v>
      </c>
      <c r="U1334" s="420"/>
      <c r="V1334" s="407"/>
      <c r="W1334" s="236"/>
      <c r="X1334" s="236"/>
      <c r="Y1334" s="408"/>
      <c r="Z1334" s="409"/>
      <c r="AA1334" s="409"/>
      <c r="AB1334" s="410"/>
      <c r="AC1334" s="155"/>
      <c r="AD1334" s="156"/>
      <c r="AE1334" s="156"/>
      <c r="AF1334" s="156"/>
      <c r="AG1334" s="156"/>
      <c r="AH1334" s="156"/>
      <c r="AI1334" s="156"/>
      <c r="AJ1334" s="156"/>
      <c r="AK1334" s="156"/>
      <c r="AL1334" s="156"/>
      <c r="AM1334" s="157"/>
      <c r="AN1334" s="158">
        <f t="shared" si="1035"/>
        <v>4000</v>
      </c>
      <c r="AO1334" s="159"/>
      <c r="AP1334" s="160"/>
      <c r="AQ1334" s="161"/>
      <c r="AR1334" s="162"/>
      <c r="AS1334" s="163"/>
      <c r="AT1334" s="164"/>
      <c r="AU1334" s="165"/>
      <c r="AV1334" s="166"/>
      <c r="AW1334" s="167"/>
      <c r="AX1334" s="146"/>
      <c r="AY1334" s="168"/>
    </row>
    <row r="1335" spans="1:51" s="263" customFormat="1" ht="16.7" hidden="1" customHeight="1" x14ac:dyDescent="0.25">
      <c r="A1335" s="173"/>
      <c r="B1335" s="225"/>
      <c r="C1335" s="352" t="s">
        <v>579</v>
      </c>
      <c r="D1335" s="240">
        <f t="shared" ref="D1335:T1335" si="1036">SUM(D1324:D1334)</f>
        <v>0</v>
      </c>
      <c r="E1335" s="240">
        <f t="shared" si="1036"/>
        <v>0</v>
      </c>
      <c r="F1335" s="240">
        <f t="shared" si="1036"/>
        <v>0</v>
      </c>
      <c r="G1335" s="240">
        <f t="shared" si="1036"/>
        <v>0</v>
      </c>
      <c r="H1335" s="240">
        <f t="shared" si="1036"/>
        <v>0</v>
      </c>
      <c r="I1335" s="240">
        <f t="shared" si="1036"/>
        <v>0</v>
      </c>
      <c r="J1335" s="240">
        <f t="shared" si="1036"/>
        <v>0</v>
      </c>
      <c r="K1335" s="240">
        <f t="shared" si="1036"/>
        <v>0</v>
      </c>
      <c r="L1335" s="240">
        <f t="shared" si="1036"/>
        <v>0</v>
      </c>
      <c r="M1335" s="240">
        <f t="shared" si="1036"/>
        <v>1457070</v>
      </c>
      <c r="N1335" s="240">
        <f t="shared" si="1036"/>
        <v>1533506</v>
      </c>
      <c r="O1335" s="240">
        <f t="shared" si="1036"/>
        <v>1581279</v>
      </c>
      <c r="P1335" s="240">
        <f t="shared" si="1036"/>
        <v>1608786</v>
      </c>
      <c r="Q1335" s="240">
        <f t="shared" si="1036"/>
        <v>1613713</v>
      </c>
      <c r="R1335" s="240">
        <f t="shared" si="1036"/>
        <v>177508.43000000002</v>
      </c>
      <c r="S1335" s="240">
        <f t="shared" si="1036"/>
        <v>486.32446575342476</v>
      </c>
      <c r="T1335" s="240">
        <f t="shared" si="1036"/>
        <v>106505.058</v>
      </c>
      <c r="U1335" s="240">
        <f t="shared" ref="U1335:AX1335" si="1037">SUM(U1324:U1334)</f>
        <v>0</v>
      </c>
      <c r="V1335" s="240">
        <f t="shared" si="1037"/>
        <v>0</v>
      </c>
      <c r="W1335" s="240">
        <f t="shared" si="1037"/>
        <v>0</v>
      </c>
      <c r="X1335" s="240">
        <f t="shared" si="1037"/>
        <v>0</v>
      </c>
      <c r="Y1335" s="240">
        <f t="shared" si="1037"/>
        <v>0</v>
      </c>
      <c r="Z1335" s="240">
        <f t="shared" si="1037"/>
        <v>0</v>
      </c>
      <c r="AA1335" s="240">
        <f t="shared" si="1037"/>
        <v>0</v>
      </c>
      <c r="AB1335" s="240">
        <f t="shared" si="1037"/>
        <v>0</v>
      </c>
      <c r="AC1335" s="240">
        <f t="shared" si="1037"/>
        <v>0</v>
      </c>
      <c r="AD1335" s="240">
        <f t="shared" si="1037"/>
        <v>0</v>
      </c>
      <c r="AE1335" s="240">
        <f t="shared" si="1037"/>
        <v>0</v>
      </c>
      <c r="AF1335" s="240">
        <f t="shared" si="1037"/>
        <v>0</v>
      </c>
      <c r="AG1335" s="240">
        <f t="shared" si="1037"/>
        <v>0</v>
      </c>
      <c r="AH1335" s="240">
        <f t="shared" si="1037"/>
        <v>0</v>
      </c>
      <c r="AI1335" s="240">
        <f t="shared" si="1037"/>
        <v>0</v>
      </c>
      <c r="AJ1335" s="240">
        <f t="shared" si="1037"/>
        <v>0</v>
      </c>
      <c r="AK1335" s="240">
        <f t="shared" si="1037"/>
        <v>0</v>
      </c>
      <c r="AL1335" s="240">
        <f t="shared" si="1037"/>
        <v>0</v>
      </c>
      <c r="AM1335" s="240">
        <f t="shared" si="1037"/>
        <v>0</v>
      </c>
      <c r="AN1335" s="240"/>
      <c r="AO1335" s="240"/>
      <c r="AP1335" s="240">
        <f t="shared" si="1037"/>
        <v>0</v>
      </c>
      <c r="AQ1335" s="240">
        <f t="shared" si="1037"/>
        <v>0</v>
      </c>
      <c r="AR1335" s="240">
        <f t="shared" si="1037"/>
        <v>0</v>
      </c>
      <c r="AS1335" s="240">
        <f t="shared" si="1037"/>
        <v>0</v>
      </c>
      <c r="AT1335" s="240">
        <f t="shared" si="1037"/>
        <v>0</v>
      </c>
      <c r="AU1335" s="240">
        <f t="shared" si="1037"/>
        <v>0</v>
      </c>
      <c r="AV1335" s="240">
        <f t="shared" si="1037"/>
        <v>0</v>
      </c>
      <c r="AW1335" s="240">
        <f t="shared" si="1037"/>
        <v>0</v>
      </c>
      <c r="AX1335" s="240">
        <f t="shared" si="1037"/>
        <v>0</v>
      </c>
      <c r="AY1335" s="189"/>
    </row>
    <row r="1336" spans="1:51" s="139" customFormat="1" ht="10.9" hidden="1" customHeight="1" x14ac:dyDescent="0.25">
      <c r="B1336" s="247"/>
      <c r="C1336" s="152"/>
      <c r="D1336" s="247"/>
      <c r="E1336" s="151"/>
      <c r="F1336" s="151"/>
      <c r="G1336" s="151"/>
      <c r="H1336" s="151"/>
      <c r="I1336" s="151"/>
      <c r="J1336" s="151"/>
      <c r="K1336" s="151"/>
      <c r="L1336" s="151"/>
      <c r="M1336" s="151"/>
      <c r="N1336" s="151"/>
      <c r="O1336" s="151"/>
      <c r="P1336" s="248"/>
      <c r="Q1336" s="249"/>
      <c r="R1336" s="250"/>
      <c r="S1336" s="250"/>
      <c r="T1336" s="251"/>
      <c r="U1336" s="199"/>
      <c r="V1336" s="179"/>
      <c r="W1336" s="249"/>
      <c r="X1336" s="249"/>
      <c r="Y1336" s="152"/>
      <c r="Z1336" s="153"/>
      <c r="AA1336" s="153"/>
      <c r="AB1336" s="154"/>
      <c r="AC1336" s="247"/>
      <c r="AD1336" s="252"/>
      <c r="AE1336" s="252"/>
      <c r="AF1336" s="252"/>
      <c r="AG1336" s="252"/>
      <c r="AH1336" s="252"/>
      <c r="AI1336" s="252"/>
      <c r="AJ1336" s="252"/>
      <c r="AK1336" s="252"/>
      <c r="AL1336" s="252"/>
      <c r="AM1336" s="214"/>
      <c r="AN1336" s="203"/>
      <c r="AO1336" s="204"/>
      <c r="AP1336" s="203"/>
      <c r="AQ1336" s="205"/>
      <c r="AR1336" s="206"/>
      <c r="AS1336" s="253"/>
      <c r="AT1336" s="254"/>
      <c r="AU1336" s="255"/>
      <c r="AV1336" s="256"/>
      <c r="AW1336" s="257"/>
      <c r="AX1336" s="214"/>
      <c r="AY1336" s="212"/>
    </row>
    <row r="1337" spans="1:51" s="139" customFormat="1" ht="15" hidden="1" customHeight="1" x14ac:dyDescent="0.25">
      <c r="A1337" s="1"/>
      <c r="B1337" s="126"/>
      <c r="C1337" s="352" t="s">
        <v>580</v>
      </c>
      <c r="D1337" s="122"/>
      <c r="E1337" s="123"/>
      <c r="F1337" s="123"/>
      <c r="G1337" s="123"/>
      <c r="H1337" s="123"/>
      <c r="I1337" s="123"/>
      <c r="J1337" s="123"/>
      <c r="K1337" s="123"/>
      <c r="L1337" s="123"/>
      <c r="M1337" s="123"/>
      <c r="N1337" s="123"/>
      <c r="O1337" s="123"/>
      <c r="P1337" s="213"/>
      <c r="Q1337" s="76"/>
      <c r="R1337" s="108"/>
      <c r="S1337" s="108"/>
      <c r="T1337" s="94"/>
      <c r="U1337" s="120"/>
      <c r="V1337" s="67"/>
      <c r="W1337" s="123"/>
      <c r="X1337" s="123"/>
      <c r="Y1337" s="125"/>
      <c r="Z1337" s="126"/>
      <c r="AA1337" s="126"/>
      <c r="AB1337" s="127"/>
      <c r="AC1337" s="62"/>
      <c r="AD1337" s="215"/>
      <c r="AE1337" s="215"/>
      <c r="AF1337" s="215"/>
      <c r="AG1337" s="215"/>
      <c r="AH1337" s="215"/>
      <c r="AI1337" s="215"/>
      <c r="AJ1337" s="215"/>
      <c r="AK1337" s="215"/>
      <c r="AL1337" s="215"/>
      <c r="AM1337" s="125"/>
      <c r="AN1337" s="75"/>
      <c r="AO1337" s="216"/>
      <c r="AP1337" s="75"/>
      <c r="AQ1337" s="51"/>
      <c r="AR1337" s="217"/>
      <c r="AS1337" s="218"/>
      <c r="AT1337" s="219"/>
      <c r="AU1337" s="220"/>
      <c r="AV1337" s="135"/>
      <c r="AW1337" s="136"/>
      <c r="AX1337" s="137"/>
      <c r="AY1337" s="138"/>
    </row>
    <row r="1338" spans="1:51" ht="10.9" hidden="1" customHeight="1" x14ac:dyDescent="0.25">
      <c r="B1338" s="140">
        <v>1</v>
      </c>
      <c r="C1338" s="170" t="s">
        <v>582</v>
      </c>
      <c r="D1338" s="235"/>
      <c r="E1338" s="236"/>
      <c r="F1338" s="236"/>
      <c r="G1338" s="236"/>
      <c r="H1338" s="236"/>
      <c r="I1338" s="236"/>
      <c r="J1338" s="236"/>
      <c r="K1338" s="236"/>
      <c r="L1338" s="236"/>
      <c r="M1338" s="236"/>
      <c r="N1338" s="236"/>
      <c r="O1338" s="236">
        <v>100424</v>
      </c>
      <c r="P1338" s="237">
        <v>102845</v>
      </c>
      <c r="Q1338" s="223">
        <f t="shared" ref="Q1338:Q1347" si="1038">MAX(D1338:P1338)</f>
        <v>102845</v>
      </c>
      <c r="R1338" s="147">
        <f t="shared" ref="R1338:R1346" si="1039">Q1338*$R$10</f>
        <v>11312.95</v>
      </c>
      <c r="S1338" s="147">
        <f t="shared" ref="S1338:S1346" si="1040">R1338/$S$5</f>
        <v>30.994383561643836</v>
      </c>
      <c r="T1338" s="148">
        <f t="shared" ref="T1338:T1346" si="1041">S1338*$T$5*$T$10</f>
        <v>6787.77</v>
      </c>
      <c r="U1338" s="420"/>
      <c r="V1338" s="407"/>
      <c r="W1338" s="236"/>
      <c r="X1338" s="236"/>
      <c r="Y1338" s="408"/>
      <c r="Z1338" s="409"/>
      <c r="AA1338" s="409"/>
      <c r="AB1338" s="410"/>
      <c r="AC1338" s="155"/>
      <c r="AD1338" s="156"/>
      <c r="AE1338" s="156"/>
      <c r="AF1338" s="156"/>
      <c r="AG1338" s="156"/>
      <c r="AH1338" s="156"/>
      <c r="AI1338" s="156"/>
      <c r="AJ1338" s="156"/>
      <c r="AK1338" s="156"/>
      <c r="AL1338" s="156"/>
      <c r="AM1338" s="157"/>
      <c r="AN1338" s="158">
        <f t="shared" ref="AN1338:AN1346" si="1042">$AN$641</f>
        <v>4000</v>
      </c>
      <c r="AO1338" s="159"/>
      <c r="AP1338" s="160"/>
      <c r="AQ1338" s="161"/>
      <c r="AR1338" s="162"/>
      <c r="AS1338" s="163"/>
      <c r="AT1338" s="164"/>
      <c r="AU1338" s="165"/>
      <c r="AV1338" s="166"/>
      <c r="AW1338" s="167"/>
      <c r="AX1338" s="146"/>
      <c r="AY1338" s="168"/>
    </row>
    <row r="1339" spans="1:51" ht="10.9" hidden="1" customHeight="1" x14ac:dyDescent="0.25">
      <c r="B1339" s="140">
        <v>2</v>
      </c>
      <c r="C1339" s="170" t="s">
        <v>585</v>
      </c>
      <c r="D1339" s="235"/>
      <c r="E1339" s="236"/>
      <c r="F1339" s="236"/>
      <c r="G1339" s="236"/>
      <c r="H1339" s="236"/>
      <c r="I1339" s="236"/>
      <c r="J1339" s="236"/>
      <c r="K1339" s="236"/>
      <c r="L1339" s="236"/>
      <c r="M1339" s="236"/>
      <c r="N1339" s="236"/>
      <c r="O1339" s="236">
        <v>42815</v>
      </c>
      <c r="P1339" s="237">
        <v>43847</v>
      </c>
      <c r="Q1339" s="223">
        <f t="shared" si="1038"/>
        <v>43847</v>
      </c>
      <c r="R1339" s="147">
        <f t="shared" si="1039"/>
        <v>4823.17</v>
      </c>
      <c r="S1339" s="147">
        <f t="shared" si="1040"/>
        <v>13.214164383561645</v>
      </c>
      <c r="T1339" s="148">
        <f t="shared" si="1041"/>
        <v>2893.902</v>
      </c>
      <c r="U1339" s="420"/>
      <c r="V1339" s="407"/>
      <c r="W1339" s="236"/>
      <c r="X1339" s="236"/>
      <c r="Y1339" s="408"/>
      <c r="Z1339" s="409"/>
      <c r="AA1339" s="409"/>
      <c r="AB1339" s="410"/>
      <c r="AC1339" s="155"/>
      <c r="AD1339" s="156"/>
      <c r="AE1339" s="156"/>
      <c r="AF1339" s="156"/>
      <c r="AG1339" s="156"/>
      <c r="AH1339" s="156"/>
      <c r="AI1339" s="156"/>
      <c r="AJ1339" s="156"/>
      <c r="AK1339" s="156"/>
      <c r="AL1339" s="156"/>
      <c r="AM1339" s="157"/>
      <c r="AN1339" s="158">
        <f t="shared" si="1042"/>
        <v>4000</v>
      </c>
      <c r="AO1339" s="159"/>
      <c r="AP1339" s="160"/>
      <c r="AQ1339" s="161"/>
      <c r="AR1339" s="162"/>
      <c r="AS1339" s="163"/>
      <c r="AT1339" s="164"/>
      <c r="AU1339" s="165"/>
      <c r="AV1339" s="166"/>
      <c r="AW1339" s="167"/>
      <c r="AX1339" s="146"/>
      <c r="AY1339" s="168"/>
    </row>
    <row r="1340" spans="1:51" ht="10.9" hidden="1" customHeight="1" x14ac:dyDescent="0.25">
      <c r="B1340" s="140">
        <v>3</v>
      </c>
      <c r="C1340" s="170" t="s">
        <v>583</v>
      </c>
      <c r="D1340" s="235"/>
      <c r="E1340" s="236"/>
      <c r="F1340" s="236"/>
      <c r="G1340" s="236"/>
      <c r="H1340" s="236"/>
      <c r="I1340" s="236"/>
      <c r="J1340" s="236"/>
      <c r="K1340" s="236"/>
      <c r="L1340" s="236"/>
      <c r="M1340" s="236"/>
      <c r="N1340" s="236"/>
      <c r="O1340" s="236">
        <v>161847</v>
      </c>
      <c r="P1340" s="237">
        <v>165749</v>
      </c>
      <c r="Q1340" s="223">
        <f t="shared" si="1038"/>
        <v>165749</v>
      </c>
      <c r="R1340" s="147">
        <f t="shared" si="1039"/>
        <v>18232.39</v>
      </c>
      <c r="S1340" s="147">
        <f t="shared" si="1040"/>
        <v>49.951753424657532</v>
      </c>
      <c r="T1340" s="148">
        <f t="shared" si="1041"/>
        <v>10939.433999999999</v>
      </c>
      <c r="U1340" s="420"/>
      <c r="V1340" s="407"/>
      <c r="W1340" s="236"/>
      <c r="X1340" s="236"/>
      <c r="Y1340" s="408"/>
      <c r="Z1340" s="409"/>
      <c r="AA1340" s="409"/>
      <c r="AB1340" s="410"/>
      <c r="AC1340" s="155"/>
      <c r="AD1340" s="156"/>
      <c r="AE1340" s="156"/>
      <c r="AF1340" s="156"/>
      <c r="AG1340" s="156"/>
      <c r="AH1340" s="156"/>
      <c r="AI1340" s="156"/>
      <c r="AJ1340" s="156"/>
      <c r="AK1340" s="156"/>
      <c r="AL1340" s="156"/>
      <c r="AM1340" s="157"/>
      <c r="AN1340" s="158">
        <f t="shared" si="1042"/>
        <v>4000</v>
      </c>
      <c r="AO1340" s="159"/>
      <c r="AP1340" s="160"/>
      <c r="AQ1340" s="161"/>
      <c r="AR1340" s="162"/>
      <c r="AS1340" s="163"/>
      <c r="AT1340" s="164"/>
      <c r="AU1340" s="165"/>
      <c r="AV1340" s="166"/>
      <c r="AW1340" s="167"/>
      <c r="AX1340" s="146"/>
      <c r="AY1340" s="168"/>
    </row>
    <row r="1341" spans="1:51" ht="10.9" hidden="1" customHeight="1" x14ac:dyDescent="0.25">
      <c r="B1341" s="140">
        <v>4</v>
      </c>
      <c r="C1341" s="170" t="s">
        <v>586</v>
      </c>
      <c r="D1341" s="235"/>
      <c r="E1341" s="236"/>
      <c r="F1341" s="236"/>
      <c r="G1341" s="236"/>
      <c r="H1341" s="236"/>
      <c r="I1341" s="236"/>
      <c r="J1341" s="236"/>
      <c r="K1341" s="236"/>
      <c r="L1341" s="236"/>
      <c r="M1341" s="236"/>
      <c r="N1341" s="236"/>
      <c r="O1341" s="236">
        <v>198911</v>
      </c>
      <c r="P1341" s="237">
        <v>203707</v>
      </c>
      <c r="Q1341" s="223">
        <f t="shared" si="1038"/>
        <v>203707</v>
      </c>
      <c r="R1341" s="147">
        <f t="shared" si="1039"/>
        <v>22407.77</v>
      </c>
      <c r="S1341" s="147">
        <f t="shared" si="1040"/>
        <v>61.39115068493151</v>
      </c>
      <c r="T1341" s="148">
        <f t="shared" si="1041"/>
        <v>13444.662</v>
      </c>
      <c r="U1341" s="420"/>
      <c r="V1341" s="407"/>
      <c r="W1341" s="236"/>
      <c r="X1341" s="236"/>
      <c r="Y1341" s="408"/>
      <c r="Z1341" s="409"/>
      <c r="AA1341" s="409"/>
      <c r="AB1341" s="410"/>
      <c r="AC1341" s="155"/>
      <c r="AD1341" s="156"/>
      <c r="AE1341" s="156"/>
      <c r="AF1341" s="156"/>
      <c r="AG1341" s="156"/>
      <c r="AH1341" s="156"/>
      <c r="AI1341" s="156"/>
      <c r="AJ1341" s="156"/>
      <c r="AK1341" s="156"/>
      <c r="AL1341" s="156"/>
      <c r="AM1341" s="157"/>
      <c r="AN1341" s="158">
        <f t="shared" si="1042"/>
        <v>4000</v>
      </c>
      <c r="AO1341" s="159"/>
      <c r="AP1341" s="160"/>
      <c r="AQ1341" s="161"/>
      <c r="AR1341" s="162"/>
      <c r="AS1341" s="163"/>
      <c r="AT1341" s="164"/>
      <c r="AU1341" s="165"/>
      <c r="AV1341" s="166"/>
      <c r="AW1341" s="167"/>
      <c r="AX1341" s="146"/>
      <c r="AY1341" s="168"/>
    </row>
    <row r="1342" spans="1:51" ht="10.9" hidden="1" customHeight="1" x14ac:dyDescent="0.25">
      <c r="B1342" s="140">
        <v>5</v>
      </c>
      <c r="C1342" s="170" t="s">
        <v>589</v>
      </c>
      <c r="D1342" s="235"/>
      <c r="E1342" s="236"/>
      <c r="F1342" s="236"/>
      <c r="G1342" s="236"/>
      <c r="H1342" s="236"/>
      <c r="I1342" s="236"/>
      <c r="J1342" s="236"/>
      <c r="K1342" s="236"/>
      <c r="L1342" s="236"/>
      <c r="M1342" s="236"/>
      <c r="N1342" s="236"/>
      <c r="O1342" s="236">
        <v>132524</v>
      </c>
      <c r="P1342" s="237">
        <v>135719</v>
      </c>
      <c r="Q1342" s="223">
        <f t="shared" si="1038"/>
        <v>135719</v>
      </c>
      <c r="R1342" s="147">
        <f t="shared" si="1039"/>
        <v>14929.09</v>
      </c>
      <c r="S1342" s="147">
        <f t="shared" si="1040"/>
        <v>40.901616438356164</v>
      </c>
      <c r="T1342" s="148">
        <f t="shared" si="1041"/>
        <v>8957.4539999999997</v>
      </c>
      <c r="U1342" s="420"/>
      <c r="V1342" s="407"/>
      <c r="W1342" s="236"/>
      <c r="X1342" s="236"/>
      <c r="Y1342" s="408"/>
      <c r="Z1342" s="409"/>
      <c r="AA1342" s="409"/>
      <c r="AB1342" s="410"/>
      <c r="AC1342" s="155"/>
      <c r="AD1342" s="156"/>
      <c r="AE1342" s="156"/>
      <c r="AF1342" s="156"/>
      <c r="AG1342" s="156"/>
      <c r="AH1342" s="156"/>
      <c r="AI1342" s="156"/>
      <c r="AJ1342" s="156"/>
      <c r="AK1342" s="156"/>
      <c r="AL1342" s="156"/>
      <c r="AM1342" s="157"/>
      <c r="AN1342" s="158">
        <f t="shared" si="1042"/>
        <v>4000</v>
      </c>
      <c r="AO1342" s="159"/>
      <c r="AP1342" s="160"/>
      <c r="AQ1342" s="161"/>
      <c r="AR1342" s="162"/>
      <c r="AS1342" s="163"/>
      <c r="AT1342" s="164"/>
      <c r="AU1342" s="165"/>
      <c r="AV1342" s="166"/>
      <c r="AW1342" s="167"/>
      <c r="AX1342" s="146"/>
      <c r="AY1342" s="168"/>
    </row>
    <row r="1343" spans="1:51" ht="10.9" hidden="1" customHeight="1" x14ac:dyDescent="0.25">
      <c r="B1343" s="140">
        <v>6</v>
      </c>
      <c r="C1343" s="170" t="s">
        <v>584</v>
      </c>
      <c r="D1343" s="235"/>
      <c r="E1343" s="236"/>
      <c r="F1343" s="236"/>
      <c r="G1343" s="236"/>
      <c r="H1343" s="236"/>
      <c r="I1343" s="236"/>
      <c r="J1343" s="236"/>
      <c r="K1343" s="236"/>
      <c r="L1343" s="236"/>
      <c r="M1343" s="236"/>
      <c r="N1343" s="236"/>
      <c r="O1343" s="236">
        <v>73109</v>
      </c>
      <c r="P1343" s="237">
        <v>74872</v>
      </c>
      <c r="Q1343" s="223">
        <f t="shared" si="1038"/>
        <v>74872</v>
      </c>
      <c r="R1343" s="147">
        <f t="shared" si="1039"/>
        <v>8235.92</v>
      </c>
      <c r="S1343" s="147">
        <f t="shared" si="1040"/>
        <v>22.564164383561643</v>
      </c>
      <c r="T1343" s="148">
        <f t="shared" si="1041"/>
        <v>4941.5519999999997</v>
      </c>
      <c r="U1343" s="420"/>
      <c r="V1343" s="407"/>
      <c r="W1343" s="236"/>
      <c r="X1343" s="236"/>
      <c r="Y1343" s="408"/>
      <c r="Z1343" s="409"/>
      <c r="AA1343" s="409"/>
      <c r="AB1343" s="410"/>
      <c r="AC1343" s="155"/>
      <c r="AD1343" s="156"/>
      <c r="AE1343" s="156"/>
      <c r="AF1343" s="156"/>
      <c r="AG1343" s="156"/>
      <c r="AH1343" s="156"/>
      <c r="AI1343" s="156"/>
      <c r="AJ1343" s="156"/>
      <c r="AK1343" s="156"/>
      <c r="AL1343" s="156"/>
      <c r="AM1343" s="157"/>
      <c r="AN1343" s="158">
        <f t="shared" si="1042"/>
        <v>4000</v>
      </c>
      <c r="AO1343" s="159"/>
      <c r="AP1343" s="160"/>
      <c r="AQ1343" s="161"/>
      <c r="AR1343" s="162"/>
      <c r="AS1343" s="163"/>
      <c r="AT1343" s="164"/>
      <c r="AU1343" s="165"/>
      <c r="AV1343" s="166"/>
      <c r="AW1343" s="167"/>
      <c r="AX1343" s="146"/>
      <c r="AY1343" s="168"/>
    </row>
    <row r="1344" spans="1:51" ht="10.9" hidden="1" customHeight="1" x14ac:dyDescent="0.25">
      <c r="B1344" s="140">
        <v>7</v>
      </c>
      <c r="C1344" s="170" t="s">
        <v>581</v>
      </c>
      <c r="D1344" s="235"/>
      <c r="E1344" s="236"/>
      <c r="F1344" s="236"/>
      <c r="G1344" s="236"/>
      <c r="H1344" s="236"/>
      <c r="I1344" s="236"/>
      <c r="J1344" s="236"/>
      <c r="K1344" s="236"/>
      <c r="L1344" s="236"/>
      <c r="M1344" s="236"/>
      <c r="N1344" s="236"/>
      <c r="O1344" s="236">
        <v>52697</v>
      </c>
      <c r="P1344" s="237">
        <v>53968</v>
      </c>
      <c r="Q1344" s="223">
        <f t="shared" si="1038"/>
        <v>53968</v>
      </c>
      <c r="R1344" s="147">
        <f t="shared" si="1039"/>
        <v>5936.4800000000005</v>
      </c>
      <c r="S1344" s="147">
        <f t="shared" si="1040"/>
        <v>16.264328767123288</v>
      </c>
      <c r="T1344" s="148">
        <f t="shared" si="1041"/>
        <v>3561.8880000000004</v>
      </c>
      <c r="U1344" s="420"/>
      <c r="V1344" s="407"/>
      <c r="W1344" s="236"/>
      <c r="X1344" s="236"/>
      <c r="Y1344" s="408"/>
      <c r="Z1344" s="409"/>
      <c r="AA1344" s="409"/>
      <c r="AB1344" s="410"/>
      <c r="AC1344" s="155"/>
      <c r="AD1344" s="156"/>
      <c r="AE1344" s="156"/>
      <c r="AF1344" s="156"/>
      <c r="AG1344" s="156"/>
      <c r="AH1344" s="156"/>
      <c r="AI1344" s="156"/>
      <c r="AJ1344" s="156"/>
      <c r="AK1344" s="156"/>
      <c r="AL1344" s="156"/>
      <c r="AM1344" s="157"/>
      <c r="AN1344" s="158">
        <f t="shared" si="1042"/>
        <v>4000</v>
      </c>
      <c r="AO1344" s="159"/>
      <c r="AP1344" s="160"/>
      <c r="AQ1344" s="161"/>
      <c r="AR1344" s="162"/>
      <c r="AS1344" s="163"/>
      <c r="AT1344" s="164"/>
      <c r="AU1344" s="165"/>
      <c r="AV1344" s="166"/>
      <c r="AW1344" s="167"/>
      <c r="AX1344" s="146"/>
      <c r="AY1344" s="168"/>
    </row>
    <row r="1345" spans="1:51" ht="10.9" hidden="1" customHeight="1" x14ac:dyDescent="0.25">
      <c r="B1345" s="140">
        <v>8</v>
      </c>
      <c r="C1345" s="170" t="s">
        <v>588</v>
      </c>
      <c r="D1345" s="235"/>
      <c r="E1345" s="236"/>
      <c r="F1345" s="236"/>
      <c r="G1345" s="236"/>
      <c r="H1345" s="236"/>
      <c r="I1345" s="236"/>
      <c r="J1345" s="236"/>
      <c r="K1345" s="236"/>
      <c r="L1345" s="236"/>
      <c r="M1345" s="236"/>
      <c r="N1345" s="236"/>
      <c r="O1345" s="236">
        <v>185705</v>
      </c>
      <c r="P1345" s="237">
        <v>190184</v>
      </c>
      <c r="Q1345" s="223">
        <f t="shared" si="1038"/>
        <v>190184</v>
      </c>
      <c r="R1345" s="147">
        <f t="shared" si="1039"/>
        <v>20920.240000000002</v>
      </c>
      <c r="S1345" s="147">
        <f t="shared" si="1040"/>
        <v>57.315726027397268</v>
      </c>
      <c r="T1345" s="148">
        <f t="shared" si="1041"/>
        <v>12552.144</v>
      </c>
      <c r="U1345" s="420"/>
      <c r="V1345" s="407"/>
      <c r="W1345" s="236"/>
      <c r="X1345" s="236"/>
      <c r="Y1345" s="408"/>
      <c r="Z1345" s="409"/>
      <c r="AA1345" s="409"/>
      <c r="AB1345" s="410"/>
      <c r="AC1345" s="155"/>
      <c r="AD1345" s="156"/>
      <c r="AE1345" s="156"/>
      <c r="AF1345" s="156"/>
      <c r="AG1345" s="156"/>
      <c r="AH1345" s="156"/>
      <c r="AI1345" s="156"/>
      <c r="AJ1345" s="156"/>
      <c r="AK1345" s="156"/>
      <c r="AL1345" s="156"/>
      <c r="AM1345" s="157"/>
      <c r="AN1345" s="158">
        <f t="shared" si="1042"/>
        <v>4000</v>
      </c>
      <c r="AO1345" s="159"/>
      <c r="AP1345" s="160"/>
      <c r="AQ1345" s="161"/>
      <c r="AR1345" s="162"/>
      <c r="AS1345" s="163"/>
      <c r="AT1345" s="164"/>
      <c r="AU1345" s="165"/>
      <c r="AV1345" s="166"/>
      <c r="AW1345" s="167"/>
      <c r="AX1345" s="146"/>
      <c r="AY1345" s="168"/>
    </row>
    <row r="1346" spans="1:51" ht="10.9" hidden="1" customHeight="1" x14ac:dyDescent="0.25">
      <c r="B1346" s="140">
        <v>9</v>
      </c>
      <c r="C1346" s="170" t="s">
        <v>587</v>
      </c>
      <c r="D1346" s="235"/>
      <c r="E1346" s="236"/>
      <c r="F1346" s="236"/>
      <c r="G1346" s="236"/>
      <c r="H1346" s="236"/>
      <c r="I1346" s="236"/>
      <c r="J1346" s="236"/>
      <c r="K1346" s="236"/>
      <c r="L1346" s="236"/>
      <c r="M1346" s="236"/>
      <c r="N1346" s="236"/>
      <c r="O1346" s="236">
        <v>90055</v>
      </c>
      <c r="P1346" s="237">
        <v>92226</v>
      </c>
      <c r="Q1346" s="223">
        <f t="shared" si="1038"/>
        <v>92226</v>
      </c>
      <c r="R1346" s="147">
        <f t="shared" si="1039"/>
        <v>10144.86</v>
      </c>
      <c r="S1346" s="147">
        <f t="shared" si="1040"/>
        <v>27.794136986301371</v>
      </c>
      <c r="T1346" s="148">
        <f t="shared" si="1041"/>
        <v>6086.9160000000002</v>
      </c>
      <c r="U1346" s="420"/>
      <c r="V1346" s="407"/>
      <c r="W1346" s="236"/>
      <c r="X1346" s="236"/>
      <c r="Y1346" s="408"/>
      <c r="Z1346" s="409"/>
      <c r="AA1346" s="409"/>
      <c r="AB1346" s="410"/>
      <c r="AC1346" s="155"/>
      <c r="AD1346" s="156"/>
      <c r="AE1346" s="156"/>
      <c r="AF1346" s="156"/>
      <c r="AG1346" s="156"/>
      <c r="AH1346" s="156"/>
      <c r="AI1346" s="156"/>
      <c r="AJ1346" s="156"/>
      <c r="AK1346" s="156"/>
      <c r="AL1346" s="156"/>
      <c r="AM1346" s="157"/>
      <c r="AN1346" s="158">
        <f t="shared" si="1042"/>
        <v>4000</v>
      </c>
      <c r="AO1346" s="159"/>
      <c r="AP1346" s="160"/>
      <c r="AQ1346" s="161"/>
      <c r="AR1346" s="162"/>
      <c r="AS1346" s="163"/>
      <c r="AT1346" s="164"/>
      <c r="AU1346" s="165"/>
      <c r="AV1346" s="166"/>
      <c r="AW1346" s="167"/>
      <c r="AX1346" s="146"/>
      <c r="AY1346" s="168"/>
    </row>
    <row r="1347" spans="1:51" s="263" customFormat="1" ht="17.25" hidden="1" customHeight="1" x14ac:dyDescent="0.25">
      <c r="A1347" s="173"/>
      <c r="B1347" s="225"/>
      <c r="C1347" s="352" t="s">
        <v>590</v>
      </c>
      <c r="D1347" s="240">
        <f t="shared" ref="D1347:P1347" si="1043">SUM(D1338:D1346)</f>
        <v>0</v>
      </c>
      <c r="E1347" s="240">
        <f t="shared" si="1043"/>
        <v>0</v>
      </c>
      <c r="F1347" s="240">
        <f t="shared" si="1043"/>
        <v>0</v>
      </c>
      <c r="G1347" s="240">
        <f t="shared" si="1043"/>
        <v>0</v>
      </c>
      <c r="H1347" s="240">
        <f t="shared" si="1043"/>
        <v>0</v>
      </c>
      <c r="I1347" s="240">
        <f t="shared" si="1043"/>
        <v>0</v>
      </c>
      <c r="J1347" s="240">
        <f t="shared" si="1043"/>
        <v>0</v>
      </c>
      <c r="K1347" s="240">
        <f t="shared" si="1043"/>
        <v>0</v>
      </c>
      <c r="L1347" s="240">
        <f t="shared" si="1043"/>
        <v>0</v>
      </c>
      <c r="M1347" s="240">
        <f t="shared" si="1043"/>
        <v>0</v>
      </c>
      <c r="N1347" s="240">
        <f t="shared" si="1043"/>
        <v>0</v>
      </c>
      <c r="O1347" s="240">
        <f t="shared" si="1043"/>
        <v>1038087</v>
      </c>
      <c r="P1347" s="240">
        <f t="shared" si="1043"/>
        <v>1063117</v>
      </c>
      <c r="Q1347" s="304">
        <f t="shared" si="1038"/>
        <v>1063117</v>
      </c>
      <c r="R1347" s="304">
        <f>MAX(E1347:Q1347)</f>
        <v>1063117</v>
      </c>
      <c r="S1347" s="304">
        <f>MAX(F1347:R1347)</f>
        <v>1063117</v>
      </c>
      <c r="T1347" s="304">
        <f>MAX(G1347:S1347)</f>
        <v>1063117</v>
      </c>
      <c r="U1347" s="157">
        <f t="shared" ref="U1347:AX1347" si="1044">SUM(U1338:U1346)</f>
        <v>0</v>
      </c>
      <c r="V1347" s="157">
        <f t="shared" si="1044"/>
        <v>0</v>
      </c>
      <c r="W1347" s="157">
        <f t="shared" si="1044"/>
        <v>0</v>
      </c>
      <c r="X1347" s="157">
        <f t="shared" si="1044"/>
        <v>0</v>
      </c>
      <c r="Y1347" s="157">
        <f t="shared" si="1044"/>
        <v>0</v>
      </c>
      <c r="Z1347" s="157">
        <f t="shared" si="1044"/>
        <v>0</v>
      </c>
      <c r="AA1347" s="157">
        <f t="shared" si="1044"/>
        <v>0</v>
      </c>
      <c r="AB1347" s="157">
        <f t="shared" si="1044"/>
        <v>0</v>
      </c>
      <c r="AC1347" s="157">
        <f t="shared" si="1044"/>
        <v>0</v>
      </c>
      <c r="AD1347" s="157">
        <f t="shared" si="1044"/>
        <v>0</v>
      </c>
      <c r="AE1347" s="157">
        <f t="shared" si="1044"/>
        <v>0</v>
      </c>
      <c r="AF1347" s="157">
        <f t="shared" si="1044"/>
        <v>0</v>
      </c>
      <c r="AG1347" s="157">
        <f t="shared" si="1044"/>
        <v>0</v>
      </c>
      <c r="AH1347" s="157">
        <f t="shared" si="1044"/>
        <v>0</v>
      </c>
      <c r="AI1347" s="157">
        <f t="shared" si="1044"/>
        <v>0</v>
      </c>
      <c r="AJ1347" s="157">
        <f t="shared" si="1044"/>
        <v>0</v>
      </c>
      <c r="AK1347" s="157">
        <f t="shared" si="1044"/>
        <v>0</v>
      </c>
      <c r="AL1347" s="157">
        <f t="shared" si="1044"/>
        <v>0</v>
      </c>
      <c r="AM1347" s="157">
        <f t="shared" si="1044"/>
        <v>0</v>
      </c>
      <c r="AN1347" s="157"/>
      <c r="AO1347" s="157"/>
      <c r="AP1347" s="157">
        <f t="shared" si="1044"/>
        <v>0</v>
      </c>
      <c r="AQ1347" s="157">
        <f t="shared" si="1044"/>
        <v>0</v>
      </c>
      <c r="AR1347" s="157">
        <f t="shared" si="1044"/>
        <v>0</v>
      </c>
      <c r="AS1347" s="157">
        <f t="shared" si="1044"/>
        <v>0</v>
      </c>
      <c r="AT1347" s="157">
        <f t="shared" si="1044"/>
        <v>0</v>
      </c>
      <c r="AU1347" s="157">
        <f t="shared" si="1044"/>
        <v>0</v>
      </c>
      <c r="AV1347" s="157">
        <f t="shared" si="1044"/>
        <v>0</v>
      </c>
      <c r="AW1347" s="157">
        <f t="shared" si="1044"/>
        <v>0</v>
      </c>
      <c r="AX1347" s="157">
        <f t="shared" si="1044"/>
        <v>0</v>
      </c>
      <c r="AY1347" s="189"/>
    </row>
    <row r="1348" spans="1:51" s="139" customFormat="1" ht="10.9" hidden="1" customHeight="1" x14ac:dyDescent="0.25">
      <c r="B1348" s="247"/>
      <c r="C1348" s="152"/>
      <c r="D1348" s="247"/>
      <c r="E1348" s="151"/>
      <c r="F1348" s="151"/>
      <c r="G1348" s="151"/>
      <c r="H1348" s="151"/>
      <c r="I1348" s="151"/>
      <c r="J1348" s="151"/>
      <c r="K1348" s="151"/>
      <c r="L1348" s="151"/>
      <c r="M1348" s="151"/>
      <c r="N1348" s="151"/>
      <c r="O1348" s="151"/>
      <c r="P1348" s="248"/>
      <c r="Q1348" s="249"/>
      <c r="R1348" s="250"/>
      <c r="S1348" s="250"/>
      <c r="T1348" s="251"/>
      <c r="U1348" s="199"/>
      <c r="V1348" s="179"/>
      <c r="W1348" s="249"/>
      <c r="X1348" s="249"/>
      <c r="Y1348" s="152"/>
      <c r="Z1348" s="153"/>
      <c r="AA1348" s="153"/>
      <c r="AB1348" s="154"/>
      <c r="AC1348" s="247"/>
      <c r="AD1348" s="252"/>
      <c r="AE1348" s="252"/>
      <c r="AF1348" s="252"/>
      <c r="AG1348" s="252"/>
      <c r="AH1348" s="252"/>
      <c r="AI1348" s="252"/>
      <c r="AJ1348" s="252"/>
      <c r="AK1348" s="252"/>
      <c r="AL1348" s="252"/>
      <c r="AM1348" s="214"/>
      <c r="AN1348" s="203"/>
      <c r="AO1348" s="204"/>
      <c r="AP1348" s="203"/>
      <c r="AQ1348" s="205"/>
      <c r="AR1348" s="206"/>
      <c r="AS1348" s="253"/>
      <c r="AT1348" s="254"/>
      <c r="AU1348" s="255"/>
      <c r="AV1348" s="256"/>
      <c r="AW1348" s="257"/>
      <c r="AX1348" s="214"/>
      <c r="AY1348" s="212"/>
    </row>
    <row r="1349" spans="1:51" s="289" customFormat="1" ht="20.85" hidden="1" customHeight="1" x14ac:dyDescent="0.25">
      <c r="A1349" s="269"/>
      <c r="B1349" s="272"/>
      <c r="C1349" s="356" t="s">
        <v>579</v>
      </c>
      <c r="D1349" s="272">
        <f t="shared" ref="D1349:O1349" si="1045">D1335+D1347</f>
        <v>0</v>
      </c>
      <c r="E1349" s="272">
        <f t="shared" si="1045"/>
        <v>0</v>
      </c>
      <c r="F1349" s="272">
        <f t="shared" si="1045"/>
        <v>0</v>
      </c>
      <c r="G1349" s="272">
        <f t="shared" si="1045"/>
        <v>0</v>
      </c>
      <c r="H1349" s="272">
        <f t="shared" si="1045"/>
        <v>0</v>
      </c>
      <c r="I1349" s="272">
        <f t="shared" si="1045"/>
        <v>0</v>
      </c>
      <c r="J1349" s="272">
        <f t="shared" si="1045"/>
        <v>0</v>
      </c>
      <c r="K1349" s="272">
        <f t="shared" si="1045"/>
        <v>0</v>
      </c>
      <c r="L1349" s="272">
        <f t="shared" si="1045"/>
        <v>0</v>
      </c>
      <c r="M1349" s="272">
        <f t="shared" si="1045"/>
        <v>1457070</v>
      </c>
      <c r="N1349" s="272">
        <f t="shared" si="1045"/>
        <v>1533506</v>
      </c>
      <c r="O1349" s="272">
        <f t="shared" si="1045"/>
        <v>2619366</v>
      </c>
      <c r="P1349" s="272">
        <f>P1335+P1347</f>
        <v>2671903</v>
      </c>
      <c r="Q1349" s="272">
        <f t="shared" ref="Q1349:AX1349" si="1046">Q1335+Q1347</f>
        <v>2676830</v>
      </c>
      <c r="R1349" s="272">
        <f t="shared" si="1046"/>
        <v>1240625.43</v>
      </c>
      <c r="S1349" s="272">
        <f t="shared" si="1046"/>
        <v>1063603.3244657535</v>
      </c>
      <c r="T1349" s="272">
        <f t="shared" si="1046"/>
        <v>1169622.058</v>
      </c>
      <c r="U1349" s="272">
        <f t="shared" si="1046"/>
        <v>0</v>
      </c>
      <c r="V1349" s="272">
        <f t="shared" si="1046"/>
        <v>0</v>
      </c>
      <c r="W1349" s="272">
        <f t="shared" si="1046"/>
        <v>0</v>
      </c>
      <c r="X1349" s="272">
        <f t="shared" si="1046"/>
        <v>0</v>
      </c>
      <c r="Y1349" s="272">
        <f t="shared" si="1046"/>
        <v>0</v>
      </c>
      <c r="Z1349" s="272">
        <f t="shared" si="1046"/>
        <v>0</v>
      </c>
      <c r="AA1349" s="272">
        <f t="shared" si="1046"/>
        <v>0</v>
      </c>
      <c r="AB1349" s="272">
        <f t="shared" si="1046"/>
        <v>0</v>
      </c>
      <c r="AC1349" s="272">
        <f t="shared" si="1046"/>
        <v>0</v>
      </c>
      <c r="AD1349" s="272">
        <f t="shared" si="1046"/>
        <v>0</v>
      </c>
      <c r="AE1349" s="272">
        <f t="shared" si="1046"/>
        <v>0</v>
      </c>
      <c r="AF1349" s="272">
        <f t="shared" si="1046"/>
        <v>0</v>
      </c>
      <c r="AG1349" s="272">
        <f t="shared" si="1046"/>
        <v>0</v>
      </c>
      <c r="AH1349" s="272">
        <f t="shared" si="1046"/>
        <v>0</v>
      </c>
      <c r="AI1349" s="272">
        <f t="shared" si="1046"/>
        <v>0</v>
      </c>
      <c r="AJ1349" s="272">
        <f t="shared" si="1046"/>
        <v>0</v>
      </c>
      <c r="AK1349" s="272">
        <f t="shared" si="1046"/>
        <v>0</v>
      </c>
      <c r="AL1349" s="272">
        <f t="shared" si="1046"/>
        <v>0</v>
      </c>
      <c r="AM1349" s="272">
        <f t="shared" si="1046"/>
        <v>0</v>
      </c>
      <c r="AN1349" s="272"/>
      <c r="AO1349" s="272"/>
      <c r="AP1349" s="272">
        <f t="shared" si="1046"/>
        <v>0</v>
      </c>
      <c r="AQ1349" s="272">
        <f t="shared" si="1046"/>
        <v>0</v>
      </c>
      <c r="AR1349" s="272">
        <f t="shared" si="1046"/>
        <v>0</v>
      </c>
      <c r="AS1349" s="272">
        <f t="shared" si="1046"/>
        <v>0</v>
      </c>
      <c r="AT1349" s="272">
        <f t="shared" si="1046"/>
        <v>0</v>
      </c>
      <c r="AU1349" s="272">
        <f t="shared" si="1046"/>
        <v>0</v>
      </c>
      <c r="AV1349" s="272">
        <f t="shared" si="1046"/>
        <v>0</v>
      </c>
      <c r="AW1349" s="272">
        <f t="shared" si="1046"/>
        <v>0</v>
      </c>
      <c r="AX1349" s="272">
        <f t="shared" si="1046"/>
        <v>0</v>
      </c>
      <c r="AY1349" s="288"/>
    </row>
    <row r="1350" spans="1:51" s="139" customFormat="1" ht="10.9" hidden="1" customHeight="1" x14ac:dyDescent="0.25">
      <c r="Q1350" s="310"/>
      <c r="R1350" s="310"/>
      <c r="S1350" s="310"/>
      <c r="T1350" s="310"/>
      <c r="U1350" s="311"/>
      <c r="V1350" s="312"/>
      <c r="W1350" s="310"/>
      <c r="X1350" s="310"/>
      <c r="Z1350" s="86"/>
      <c r="AA1350" s="86"/>
      <c r="AB1350" s="313"/>
      <c r="AD1350" s="314"/>
      <c r="AE1350" s="314"/>
      <c r="AF1350" s="314"/>
      <c r="AG1350" s="314"/>
      <c r="AH1350" s="314"/>
      <c r="AI1350" s="314"/>
      <c r="AJ1350" s="314"/>
      <c r="AK1350" s="314"/>
      <c r="AL1350" s="314"/>
      <c r="AM1350" s="315"/>
      <c r="AN1350" s="310"/>
      <c r="AO1350" s="316"/>
      <c r="AP1350" s="310"/>
      <c r="AQ1350" s="317"/>
      <c r="AR1350" s="317"/>
      <c r="AS1350" s="318"/>
      <c r="AT1350" s="318"/>
      <c r="AU1350" s="319"/>
      <c r="AV1350" s="310"/>
      <c r="AW1350" s="310"/>
      <c r="AX1350" s="310"/>
      <c r="AY1350" s="310"/>
    </row>
    <row r="1351" spans="1:51" s="139" customFormat="1" ht="10.9" hidden="1" customHeight="1" x14ac:dyDescent="0.25">
      <c r="Q1351" s="310"/>
      <c r="R1351" s="310"/>
      <c r="S1351" s="310"/>
      <c r="T1351" s="310"/>
      <c r="U1351" s="311"/>
      <c r="V1351" s="312"/>
      <c r="W1351" s="310"/>
      <c r="X1351" s="310"/>
      <c r="Z1351" s="86"/>
      <c r="AA1351" s="86"/>
      <c r="AB1351" s="313"/>
      <c r="AD1351" s="314"/>
      <c r="AE1351" s="314"/>
      <c r="AF1351" s="314"/>
      <c r="AG1351" s="314"/>
      <c r="AH1351" s="314"/>
      <c r="AI1351" s="314"/>
      <c r="AJ1351" s="314"/>
      <c r="AK1351" s="314"/>
      <c r="AL1351" s="314"/>
      <c r="AM1351" s="315"/>
      <c r="AN1351" s="310"/>
      <c r="AO1351" s="316"/>
      <c r="AP1351" s="310"/>
      <c r="AQ1351" s="317"/>
      <c r="AR1351" s="317"/>
      <c r="AS1351" s="318"/>
      <c r="AT1351" s="318"/>
      <c r="AU1351" s="319"/>
      <c r="AV1351" s="310"/>
      <c r="AW1351" s="310"/>
      <c r="AX1351" s="310"/>
      <c r="AY1351" s="310"/>
    </row>
    <row r="1352" spans="1:51" s="290" customFormat="1" ht="23.1" hidden="1" customHeight="1" x14ac:dyDescent="0.25">
      <c r="B1352" s="291" t="s">
        <v>591</v>
      </c>
      <c r="C1352" s="292"/>
      <c r="D1352" s="293"/>
      <c r="E1352" s="292"/>
      <c r="F1352" s="292"/>
      <c r="G1352" s="292"/>
      <c r="H1352" s="292"/>
      <c r="I1352" s="292"/>
      <c r="J1352" s="292"/>
      <c r="K1352" s="292"/>
      <c r="L1352" s="292"/>
      <c r="M1352" s="292"/>
      <c r="N1352" s="292"/>
      <c r="O1352" s="292"/>
      <c r="P1352" s="292"/>
      <c r="Q1352" s="292"/>
      <c r="R1352" s="292"/>
      <c r="S1352" s="294"/>
      <c r="T1352" s="292"/>
      <c r="U1352" s="292"/>
      <c r="V1352" s="292"/>
      <c r="W1352" s="292"/>
      <c r="X1352" s="292"/>
      <c r="Y1352" s="292"/>
      <c r="Z1352" s="295"/>
      <c r="AA1352" s="296"/>
      <c r="AB1352" s="116"/>
      <c r="AC1352" s="117"/>
      <c r="AD1352" s="117"/>
      <c r="AE1352" s="117"/>
      <c r="AF1352" s="117"/>
      <c r="AG1352" s="117"/>
      <c r="AH1352" s="117"/>
      <c r="AI1352" s="117"/>
      <c r="AJ1352" s="117"/>
      <c r="AK1352" s="117"/>
      <c r="AL1352" s="117"/>
      <c r="AM1352" s="117"/>
      <c r="AN1352" s="297"/>
      <c r="AO1352" s="292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</row>
    <row r="1353" spans="1:51" s="139" customFormat="1" ht="15" hidden="1" customHeight="1" x14ac:dyDescent="0.25">
      <c r="A1353" s="1"/>
      <c r="B1353" s="126"/>
      <c r="C1353" s="352" t="s">
        <v>592</v>
      </c>
      <c r="D1353" s="122"/>
      <c r="E1353" s="123"/>
      <c r="F1353" s="123"/>
      <c r="G1353" s="123"/>
      <c r="H1353" s="123"/>
      <c r="I1353" s="123"/>
      <c r="J1353" s="123"/>
      <c r="K1353" s="123"/>
      <c r="L1353" s="123"/>
      <c r="M1353" s="123"/>
      <c r="N1353" s="123"/>
      <c r="O1353" s="123"/>
      <c r="P1353" s="213"/>
      <c r="Q1353" s="76"/>
      <c r="R1353" s="108"/>
      <c r="S1353" s="108"/>
      <c r="T1353" s="94"/>
      <c r="U1353" s="120"/>
      <c r="V1353" s="67"/>
      <c r="W1353" s="123"/>
      <c r="X1353" s="123"/>
      <c r="Y1353" s="125"/>
      <c r="Z1353" s="126"/>
      <c r="AA1353" s="126"/>
      <c r="AB1353" s="127"/>
      <c r="AC1353" s="62"/>
      <c r="AD1353" s="215"/>
      <c r="AE1353" s="215"/>
      <c r="AF1353" s="215"/>
      <c r="AG1353" s="215"/>
      <c r="AH1353" s="215"/>
      <c r="AI1353" s="215"/>
      <c r="AJ1353" s="215"/>
      <c r="AK1353" s="215"/>
      <c r="AL1353" s="215"/>
      <c r="AM1353" s="125"/>
      <c r="AN1353" s="75"/>
      <c r="AO1353" s="216"/>
      <c r="AP1353" s="75"/>
      <c r="AQ1353" s="51"/>
      <c r="AR1353" s="217"/>
      <c r="AS1353" s="218"/>
      <c r="AT1353" s="219"/>
      <c r="AU1353" s="220"/>
      <c r="AV1353" s="135"/>
      <c r="AW1353" s="136"/>
      <c r="AX1353" s="137"/>
      <c r="AY1353" s="138"/>
    </row>
    <row r="1354" spans="1:51" ht="10.9" hidden="1" customHeight="1" x14ac:dyDescent="0.2">
      <c r="B1354" s="357">
        <v>1</v>
      </c>
      <c r="C1354" s="361" t="s">
        <v>593</v>
      </c>
      <c r="D1354" s="300"/>
      <c r="E1354" s="236"/>
      <c r="F1354" s="236"/>
      <c r="G1354" s="236"/>
      <c r="H1354" s="236"/>
      <c r="I1354" s="236"/>
      <c r="J1354" s="236"/>
      <c r="K1354" s="236"/>
      <c r="L1354" s="236"/>
      <c r="M1354" s="236"/>
      <c r="N1354" s="236"/>
      <c r="O1354" s="301">
        <v>68503</v>
      </c>
      <c r="P1354" s="237"/>
      <c r="Q1354" s="223">
        <f t="shared" ref="Q1354:Q1367" si="1047">MAX(D1354:P1354)</f>
        <v>68503</v>
      </c>
      <c r="R1354" s="147">
        <f t="shared" ref="R1354:R1367" si="1048">Q1354*$R$10</f>
        <v>7535.33</v>
      </c>
      <c r="S1354" s="147">
        <f t="shared" ref="S1354:S1362" si="1049">R1354/$S$5</f>
        <v>20.644739726027396</v>
      </c>
      <c r="T1354" s="148">
        <f t="shared" ref="T1354:T1362" si="1050">S1354*$T$5*$T$10</f>
        <v>4521.1979999999994</v>
      </c>
      <c r="U1354" s="420"/>
      <c r="V1354" s="407"/>
      <c r="W1354" s="236"/>
      <c r="X1354" s="236"/>
      <c r="Y1354" s="408"/>
      <c r="Z1354" s="409"/>
      <c r="AA1354" s="409"/>
      <c r="AB1354" s="410"/>
      <c r="AC1354" s="155"/>
      <c r="AD1354" s="156"/>
      <c r="AE1354" s="156"/>
      <c r="AF1354" s="156"/>
      <c r="AG1354" s="156"/>
      <c r="AH1354" s="156"/>
      <c r="AI1354" s="156"/>
      <c r="AJ1354" s="156"/>
      <c r="AK1354" s="156"/>
      <c r="AL1354" s="156"/>
      <c r="AM1354" s="157"/>
      <c r="AN1354" s="158">
        <f t="shared" ref="AN1354:AN1367" si="1051">$AN$641</f>
        <v>4000</v>
      </c>
      <c r="AO1354" s="159"/>
      <c r="AP1354" s="160"/>
      <c r="AQ1354" s="161"/>
      <c r="AR1354" s="162"/>
      <c r="AS1354" s="163"/>
      <c r="AT1354" s="164"/>
      <c r="AU1354" s="165"/>
      <c r="AV1354" s="166"/>
      <c r="AW1354" s="167"/>
      <c r="AX1354" s="146"/>
      <c r="AY1354" s="168"/>
    </row>
    <row r="1355" spans="1:51" ht="10.9" hidden="1" customHeight="1" x14ac:dyDescent="0.2">
      <c r="B1355" s="357">
        <v>2</v>
      </c>
      <c r="C1355" s="361" t="s">
        <v>594</v>
      </c>
      <c r="D1355" s="300"/>
      <c r="E1355" s="236"/>
      <c r="F1355" s="236"/>
      <c r="G1355" s="236"/>
      <c r="H1355" s="236"/>
      <c r="I1355" s="236"/>
      <c r="J1355" s="236"/>
      <c r="K1355" s="236"/>
      <c r="L1355" s="236"/>
      <c r="M1355" s="236"/>
      <c r="N1355" s="236"/>
      <c r="O1355" s="301">
        <v>48251</v>
      </c>
      <c r="P1355" s="237"/>
      <c r="Q1355" s="223">
        <f t="shared" si="1047"/>
        <v>48251</v>
      </c>
      <c r="R1355" s="147">
        <f t="shared" si="1048"/>
        <v>5307.61</v>
      </c>
      <c r="S1355" s="147">
        <f t="shared" si="1049"/>
        <v>14.541397260273971</v>
      </c>
      <c r="T1355" s="148">
        <f t="shared" si="1050"/>
        <v>3184.5659999999998</v>
      </c>
      <c r="U1355" s="420"/>
      <c r="V1355" s="407"/>
      <c r="W1355" s="236"/>
      <c r="X1355" s="236"/>
      <c r="Y1355" s="408"/>
      <c r="Z1355" s="409"/>
      <c r="AA1355" s="409"/>
      <c r="AB1355" s="410"/>
      <c r="AC1355" s="155"/>
      <c r="AD1355" s="156"/>
      <c r="AE1355" s="156"/>
      <c r="AF1355" s="156"/>
      <c r="AG1355" s="156"/>
      <c r="AH1355" s="156"/>
      <c r="AI1355" s="156"/>
      <c r="AJ1355" s="156"/>
      <c r="AK1355" s="156"/>
      <c r="AL1355" s="156"/>
      <c r="AM1355" s="157"/>
      <c r="AN1355" s="158">
        <f t="shared" si="1051"/>
        <v>4000</v>
      </c>
      <c r="AO1355" s="159"/>
      <c r="AP1355" s="160"/>
      <c r="AQ1355" s="161"/>
      <c r="AR1355" s="162"/>
      <c r="AS1355" s="163"/>
      <c r="AT1355" s="164"/>
      <c r="AU1355" s="165"/>
      <c r="AV1355" s="166"/>
      <c r="AW1355" s="167"/>
      <c r="AX1355" s="146"/>
      <c r="AY1355" s="168"/>
    </row>
    <row r="1356" spans="1:51" ht="10.9" hidden="1" customHeight="1" x14ac:dyDescent="0.2">
      <c r="B1356" s="357">
        <v>3</v>
      </c>
      <c r="C1356" s="361" t="s">
        <v>595</v>
      </c>
      <c r="D1356" s="300"/>
      <c r="E1356" s="236"/>
      <c r="F1356" s="236"/>
      <c r="G1356" s="236"/>
      <c r="H1356" s="236"/>
      <c r="I1356" s="236"/>
      <c r="J1356" s="236"/>
      <c r="K1356" s="236"/>
      <c r="L1356" s="236"/>
      <c r="M1356" s="236"/>
      <c r="N1356" s="236"/>
      <c r="O1356" s="301">
        <v>27233</v>
      </c>
      <c r="P1356" s="237"/>
      <c r="Q1356" s="223">
        <f t="shared" si="1047"/>
        <v>27233</v>
      </c>
      <c r="R1356" s="147">
        <f t="shared" si="1048"/>
        <v>2995.63</v>
      </c>
      <c r="S1356" s="147">
        <f t="shared" si="1049"/>
        <v>8.207205479452055</v>
      </c>
      <c r="T1356" s="148">
        <f t="shared" si="1050"/>
        <v>1797.3779999999999</v>
      </c>
      <c r="U1356" s="420"/>
      <c r="V1356" s="407"/>
      <c r="W1356" s="236"/>
      <c r="X1356" s="236"/>
      <c r="Y1356" s="408"/>
      <c r="Z1356" s="409"/>
      <c r="AA1356" s="409"/>
      <c r="AB1356" s="410"/>
      <c r="AC1356" s="155"/>
      <c r="AD1356" s="156"/>
      <c r="AE1356" s="156"/>
      <c r="AF1356" s="156"/>
      <c r="AG1356" s="156"/>
      <c r="AH1356" s="156"/>
      <c r="AI1356" s="156"/>
      <c r="AJ1356" s="156"/>
      <c r="AK1356" s="156"/>
      <c r="AL1356" s="156"/>
      <c r="AM1356" s="157"/>
      <c r="AN1356" s="158">
        <f t="shared" si="1051"/>
        <v>4000</v>
      </c>
      <c r="AO1356" s="159"/>
      <c r="AP1356" s="160"/>
      <c r="AQ1356" s="161"/>
      <c r="AR1356" s="162"/>
      <c r="AS1356" s="163"/>
      <c r="AT1356" s="164"/>
      <c r="AU1356" s="165"/>
      <c r="AV1356" s="166"/>
      <c r="AW1356" s="167"/>
      <c r="AX1356" s="146"/>
      <c r="AY1356" s="168"/>
    </row>
    <row r="1357" spans="1:51" ht="10.9" hidden="1" customHeight="1" x14ac:dyDescent="0.2">
      <c r="B1357" s="357">
        <v>4</v>
      </c>
      <c r="C1357" s="361" t="s">
        <v>596</v>
      </c>
      <c r="D1357" s="300"/>
      <c r="E1357" s="236"/>
      <c r="F1357" s="236"/>
      <c r="G1357" s="236"/>
      <c r="H1357" s="236"/>
      <c r="I1357" s="236"/>
      <c r="J1357" s="236"/>
      <c r="K1357" s="236"/>
      <c r="L1357" s="236"/>
      <c r="M1357" s="236"/>
      <c r="N1357" s="236"/>
      <c r="O1357" s="301">
        <v>54194</v>
      </c>
      <c r="P1357" s="237"/>
      <c r="Q1357" s="223">
        <f t="shared" si="1047"/>
        <v>54194</v>
      </c>
      <c r="R1357" s="147">
        <f t="shared" si="1048"/>
        <v>5961.34</v>
      </c>
      <c r="S1357" s="147">
        <f t="shared" si="1049"/>
        <v>16.332438356164385</v>
      </c>
      <c r="T1357" s="148">
        <f t="shared" si="1050"/>
        <v>3576.8040000000001</v>
      </c>
      <c r="U1357" s="420"/>
      <c r="V1357" s="407"/>
      <c r="W1357" s="236"/>
      <c r="X1357" s="236"/>
      <c r="Y1357" s="408"/>
      <c r="Z1357" s="409"/>
      <c r="AA1357" s="409"/>
      <c r="AB1357" s="410"/>
      <c r="AC1357" s="155"/>
      <c r="AD1357" s="156"/>
      <c r="AE1357" s="156"/>
      <c r="AF1357" s="156"/>
      <c r="AG1357" s="156"/>
      <c r="AH1357" s="156"/>
      <c r="AI1357" s="156"/>
      <c r="AJ1357" s="156"/>
      <c r="AK1357" s="156"/>
      <c r="AL1357" s="156"/>
      <c r="AM1357" s="157"/>
      <c r="AN1357" s="158">
        <f t="shared" si="1051"/>
        <v>4000</v>
      </c>
      <c r="AO1357" s="159"/>
      <c r="AP1357" s="160"/>
      <c r="AQ1357" s="161"/>
      <c r="AR1357" s="162"/>
      <c r="AS1357" s="163"/>
      <c r="AT1357" s="164"/>
      <c r="AU1357" s="165"/>
      <c r="AV1357" s="166"/>
      <c r="AW1357" s="167"/>
      <c r="AX1357" s="146"/>
      <c r="AY1357" s="168"/>
    </row>
    <row r="1358" spans="1:51" ht="10.9" hidden="1" customHeight="1" x14ac:dyDescent="0.2">
      <c r="B1358" s="357">
        <v>5</v>
      </c>
      <c r="C1358" s="361" t="s">
        <v>597</v>
      </c>
      <c r="D1358" s="300"/>
      <c r="E1358" s="236"/>
      <c r="F1358" s="236"/>
      <c r="G1358" s="236"/>
      <c r="H1358" s="236"/>
      <c r="I1358" s="236"/>
      <c r="J1358" s="236"/>
      <c r="K1358" s="236"/>
      <c r="L1358" s="236"/>
      <c r="M1358" s="236"/>
      <c r="N1358" s="236"/>
      <c r="O1358" s="301">
        <v>194948</v>
      </c>
      <c r="P1358" s="237"/>
      <c r="Q1358" s="223">
        <f t="shared" si="1047"/>
        <v>194948</v>
      </c>
      <c r="R1358" s="147">
        <f t="shared" si="1048"/>
        <v>21444.28</v>
      </c>
      <c r="S1358" s="147">
        <f t="shared" si="1049"/>
        <v>58.75145205479452</v>
      </c>
      <c r="T1358" s="148">
        <f t="shared" si="1050"/>
        <v>12866.567999999999</v>
      </c>
      <c r="U1358" s="420"/>
      <c r="V1358" s="407"/>
      <c r="W1358" s="236"/>
      <c r="X1358" s="236"/>
      <c r="Y1358" s="408"/>
      <c r="Z1358" s="409"/>
      <c r="AA1358" s="409"/>
      <c r="AB1358" s="410"/>
      <c r="AC1358" s="155"/>
      <c r="AD1358" s="156"/>
      <c r="AE1358" s="156"/>
      <c r="AF1358" s="156"/>
      <c r="AG1358" s="156"/>
      <c r="AH1358" s="156"/>
      <c r="AI1358" s="156"/>
      <c r="AJ1358" s="156"/>
      <c r="AK1358" s="156"/>
      <c r="AL1358" s="156"/>
      <c r="AM1358" s="157"/>
      <c r="AN1358" s="158">
        <f t="shared" si="1051"/>
        <v>4000</v>
      </c>
      <c r="AO1358" s="159"/>
      <c r="AP1358" s="160"/>
      <c r="AQ1358" s="161"/>
      <c r="AR1358" s="162"/>
      <c r="AS1358" s="163"/>
      <c r="AT1358" s="164"/>
      <c r="AU1358" s="165"/>
      <c r="AV1358" s="166"/>
      <c r="AW1358" s="167"/>
      <c r="AX1358" s="146"/>
      <c r="AY1358" s="168"/>
    </row>
    <row r="1359" spans="1:51" ht="10.9" hidden="1" customHeight="1" x14ac:dyDescent="0.2">
      <c r="B1359" s="357">
        <v>6</v>
      </c>
      <c r="C1359" s="361" t="s">
        <v>598</v>
      </c>
      <c r="D1359" s="300"/>
      <c r="E1359" s="236"/>
      <c r="F1359" s="236"/>
      <c r="G1359" s="236"/>
      <c r="H1359" s="236"/>
      <c r="I1359" s="236"/>
      <c r="J1359" s="236"/>
      <c r="K1359" s="236"/>
      <c r="L1359" s="236"/>
      <c r="M1359" s="236"/>
      <c r="N1359" s="236"/>
      <c r="O1359" s="301">
        <v>39297</v>
      </c>
      <c r="P1359" s="237"/>
      <c r="Q1359" s="223">
        <f t="shared" si="1047"/>
        <v>39297</v>
      </c>
      <c r="R1359" s="147">
        <f t="shared" si="1048"/>
        <v>4322.67</v>
      </c>
      <c r="S1359" s="147">
        <f t="shared" si="1049"/>
        <v>11.842931506849315</v>
      </c>
      <c r="T1359" s="148">
        <f t="shared" si="1050"/>
        <v>2593.6019999999999</v>
      </c>
      <c r="U1359" s="420"/>
      <c r="V1359" s="407"/>
      <c r="W1359" s="236"/>
      <c r="X1359" s="236"/>
      <c r="Y1359" s="408"/>
      <c r="Z1359" s="409"/>
      <c r="AA1359" s="409"/>
      <c r="AB1359" s="410"/>
      <c r="AC1359" s="155"/>
      <c r="AD1359" s="156"/>
      <c r="AE1359" s="156"/>
      <c r="AF1359" s="156"/>
      <c r="AG1359" s="156"/>
      <c r="AH1359" s="156"/>
      <c r="AI1359" s="156"/>
      <c r="AJ1359" s="156"/>
      <c r="AK1359" s="156"/>
      <c r="AL1359" s="156"/>
      <c r="AM1359" s="157"/>
      <c r="AN1359" s="158">
        <f t="shared" si="1051"/>
        <v>4000</v>
      </c>
      <c r="AO1359" s="159"/>
      <c r="AP1359" s="160"/>
      <c r="AQ1359" s="161"/>
      <c r="AR1359" s="162"/>
      <c r="AS1359" s="163"/>
      <c r="AT1359" s="164"/>
      <c r="AU1359" s="165"/>
      <c r="AV1359" s="166"/>
      <c r="AW1359" s="167"/>
      <c r="AX1359" s="146"/>
      <c r="AY1359" s="168"/>
    </row>
    <row r="1360" spans="1:51" ht="10.9" hidden="1" customHeight="1" x14ac:dyDescent="0.2">
      <c r="B1360" s="357">
        <v>7</v>
      </c>
      <c r="C1360" s="361" t="s">
        <v>599</v>
      </c>
      <c r="D1360" s="300"/>
      <c r="E1360" s="236"/>
      <c r="F1360" s="236"/>
      <c r="G1360" s="236"/>
      <c r="H1360" s="236"/>
      <c r="I1360" s="236"/>
      <c r="J1360" s="236"/>
      <c r="K1360" s="236"/>
      <c r="L1360" s="236"/>
      <c r="M1360" s="236"/>
      <c r="N1360" s="236"/>
      <c r="O1360" s="301">
        <v>73088</v>
      </c>
      <c r="P1360" s="237"/>
      <c r="Q1360" s="223">
        <f t="shared" si="1047"/>
        <v>73088</v>
      </c>
      <c r="R1360" s="147">
        <f t="shared" si="1048"/>
        <v>8039.68</v>
      </c>
      <c r="S1360" s="147">
        <f t="shared" si="1049"/>
        <v>22.026520547945207</v>
      </c>
      <c r="T1360" s="148">
        <f t="shared" si="1050"/>
        <v>4823.808</v>
      </c>
      <c r="U1360" s="420"/>
      <c r="V1360" s="407"/>
      <c r="W1360" s="236"/>
      <c r="X1360" s="236"/>
      <c r="Y1360" s="408"/>
      <c r="Z1360" s="409"/>
      <c r="AA1360" s="409"/>
      <c r="AB1360" s="410"/>
      <c r="AC1360" s="155"/>
      <c r="AD1360" s="156"/>
      <c r="AE1360" s="156"/>
      <c r="AF1360" s="156"/>
      <c r="AG1360" s="156"/>
      <c r="AH1360" s="156"/>
      <c r="AI1360" s="156"/>
      <c r="AJ1360" s="156"/>
      <c r="AK1360" s="156"/>
      <c r="AL1360" s="156"/>
      <c r="AM1360" s="157"/>
      <c r="AN1360" s="158">
        <f t="shared" si="1051"/>
        <v>4000</v>
      </c>
      <c r="AO1360" s="159"/>
      <c r="AP1360" s="160"/>
      <c r="AQ1360" s="161"/>
      <c r="AR1360" s="162"/>
      <c r="AS1360" s="163"/>
      <c r="AT1360" s="164"/>
      <c r="AU1360" s="165"/>
      <c r="AV1360" s="166"/>
      <c r="AW1360" s="167"/>
      <c r="AX1360" s="146"/>
      <c r="AY1360" s="168"/>
    </row>
    <row r="1361" spans="1:51" ht="10.9" hidden="1" customHeight="1" x14ac:dyDescent="0.2">
      <c r="B1361" s="357">
        <v>8</v>
      </c>
      <c r="C1361" s="361" t="s">
        <v>600</v>
      </c>
      <c r="D1361" s="300"/>
      <c r="E1361" s="236"/>
      <c r="F1361" s="236"/>
      <c r="G1361" s="236"/>
      <c r="H1361" s="236"/>
      <c r="I1361" s="236"/>
      <c r="J1361" s="236"/>
      <c r="K1361" s="236"/>
      <c r="L1361" s="236"/>
      <c r="M1361" s="236"/>
      <c r="N1361" s="236"/>
      <c r="O1361" s="301">
        <v>43435</v>
      </c>
      <c r="P1361" s="237"/>
      <c r="Q1361" s="223">
        <f t="shared" si="1047"/>
        <v>43435</v>
      </c>
      <c r="R1361" s="147">
        <f t="shared" si="1048"/>
        <v>4777.8500000000004</v>
      </c>
      <c r="S1361" s="147">
        <f t="shared" si="1049"/>
        <v>13.090000000000002</v>
      </c>
      <c r="T1361" s="148">
        <f t="shared" si="1050"/>
        <v>2866.71</v>
      </c>
      <c r="U1361" s="420"/>
      <c r="V1361" s="407"/>
      <c r="W1361" s="236"/>
      <c r="X1361" s="236"/>
      <c r="Y1361" s="408"/>
      <c r="Z1361" s="409"/>
      <c r="AA1361" s="409"/>
      <c r="AB1361" s="410"/>
      <c r="AC1361" s="155"/>
      <c r="AD1361" s="156"/>
      <c r="AE1361" s="156"/>
      <c r="AF1361" s="156"/>
      <c r="AG1361" s="156"/>
      <c r="AH1361" s="156"/>
      <c r="AI1361" s="156"/>
      <c r="AJ1361" s="156"/>
      <c r="AK1361" s="156"/>
      <c r="AL1361" s="156"/>
      <c r="AM1361" s="157"/>
      <c r="AN1361" s="158">
        <f t="shared" si="1051"/>
        <v>4000</v>
      </c>
      <c r="AO1361" s="159"/>
      <c r="AP1361" s="160"/>
      <c r="AQ1361" s="161"/>
      <c r="AR1361" s="162"/>
      <c r="AS1361" s="163"/>
      <c r="AT1361" s="164"/>
      <c r="AU1361" s="165"/>
      <c r="AV1361" s="166"/>
      <c r="AW1361" s="167"/>
      <c r="AX1361" s="146"/>
      <c r="AY1361" s="168"/>
    </row>
    <row r="1362" spans="1:51" ht="10.9" hidden="1" customHeight="1" x14ac:dyDescent="0.2">
      <c r="B1362" s="357">
        <v>9</v>
      </c>
      <c r="C1362" s="361" t="s">
        <v>601</v>
      </c>
      <c r="D1362" s="300"/>
      <c r="E1362" s="236"/>
      <c r="F1362" s="236"/>
      <c r="G1362" s="236"/>
      <c r="H1362" s="236"/>
      <c r="I1362" s="236"/>
      <c r="J1362" s="236"/>
      <c r="K1362" s="236"/>
      <c r="L1362" s="236"/>
      <c r="M1362" s="236"/>
      <c r="N1362" s="236"/>
      <c r="O1362" s="301">
        <v>199630</v>
      </c>
      <c r="P1362" s="237"/>
      <c r="Q1362" s="223">
        <f t="shared" si="1047"/>
        <v>199630</v>
      </c>
      <c r="R1362" s="147">
        <f t="shared" si="1048"/>
        <v>21959.3</v>
      </c>
      <c r="S1362" s="147">
        <f t="shared" si="1049"/>
        <v>60.162465753424655</v>
      </c>
      <c r="T1362" s="148">
        <f t="shared" si="1050"/>
        <v>13175.58</v>
      </c>
      <c r="U1362" s="420"/>
      <c r="V1362" s="407"/>
      <c r="W1362" s="236"/>
      <c r="X1362" s="236"/>
      <c r="Y1362" s="408"/>
      <c r="Z1362" s="409"/>
      <c r="AA1362" s="409"/>
      <c r="AB1362" s="410"/>
      <c r="AC1362" s="155"/>
      <c r="AD1362" s="156"/>
      <c r="AE1362" s="156"/>
      <c r="AF1362" s="156"/>
      <c r="AG1362" s="156"/>
      <c r="AH1362" s="156"/>
      <c r="AI1362" s="156"/>
      <c r="AJ1362" s="156"/>
      <c r="AK1362" s="156"/>
      <c r="AL1362" s="156"/>
      <c r="AM1362" s="157"/>
      <c r="AN1362" s="158">
        <f t="shared" si="1051"/>
        <v>4000</v>
      </c>
      <c r="AO1362" s="159"/>
      <c r="AP1362" s="160"/>
      <c r="AQ1362" s="161"/>
      <c r="AR1362" s="162"/>
      <c r="AS1362" s="163"/>
      <c r="AT1362" s="164"/>
      <c r="AU1362" s="165"/>
      <c r="AV1362" s="166"/>
      <c r="AW1362" s="167"/>
      <c r="AX1362" s="146"/>
      <c r="AY1362" s="168"/>
    </row>
    <row r="1363" spans="1:51" ht="10.9" hidden="1" customHeight="1" x14ac:dyDescent="0.2">
      <c r="B1363" s="357"/>
      <c r="C1363" s="505"/>
      <c r="D1363" s="300"/>
      <c r="E1363" s="236"/>
      <c r="F1363" s="236"/>
      <c r="G1363" s="236"/>
      <c r="H1363" s="236"/>
      <c r="I1363" s="236"/>
      <c r="J1363" s="236"/>
      <c r="K1363" s="236"/>
      <c r="L1363" s="236"/>
      <c r="M1363" s="236"/>
      <c r="N1363" s="236"/>
      <c r="O1363" s="301"/>
      <c r="P1363" s="237"/>
      <c r="Q1363" s="223"/>
      <c r="R1363" s="147"/>
      <c r="S1363" s="147"/>
      <c r="T1363" s="148"/>
      <c r="U1363" s="420" t="s">
        <v>787</v>
      </c>
      <c r="V1363" s="407">
        <v>10</v>
      </c>
      <c r="W1363" s="236">
        <f>(115*0.25)*365</f>
        <v>10493.75</v>
      </c>
      <c r="X1363" s="236"/>
      <c r="Y1363" s="408"/>
      <c r="Z1363" s="409"/>
      <c r="AA1363" s="409"/>
      <c r="AB1363" s="410"/>
      <c r="AC1363" s="411">
        <f>W1363*52%</f>
        <v>5456.75</v>
      </c>
      <c r="AD1363" s="412">
        <f>W1363*25%</f>
        <v>2623.4375</v>
      </c>
      <c r="AE1363" s="412">
        <f>W1363*9%</f>
        <v>944.4375</v>
      </c>
      <c r="AF1363" s="412">
        <f>W1363*5%</f>
        <v>524.6875</v>
      </c>
      <c r="AG1363" s="412">
        <f>W1363*3%</f>
        <v>314.8125</v>
      </c>
      <c r="AH1363" s="412">
        <f>W1363*1%</f>
        <v>104.9375</v>
      </c>
      <c r="AI1363" s="412">
        <f>W1363*2%</f>
        <v>209.875</v>
      </c>
      <c r="AJ1363" s="412">
        <f>W1363*1%</f>
        <v>104.9375</v>
      </c>
      <c r="AK1363" s="412">
        <f>W1363*4%</f>
        <v>419.75</v>
      </c>
      <c r="AL1363" s="412">
        <f>W1363*1%</f>
        <v>104.9375</v>
      </c>
      <c r="AM1363" s="413">
        <f>SUM(AD1363:AI1363)</f>
        <v>4722.1875</v>
      </c>
      <c r="AN1363" s="158">
        <f t="shared" si="1051"/>
        <v>4000</v>
      </c>
      <c r="AO1363" s="159">
        <v>0.2</v>
      </c>
      <c r="AP1363" s="160">
        <f>AM1363*AN1363*$AP$5</f>
        <v>79083418.5</v>
      </c>
      <c r="AQ1363" s="161">
        <f>AP1363*$AQ$5</f>
        <v>21967.618007409299</v>
      </c>
      <c r="AR1363" s="162">
        <f>AQ1363*$AR$5</f>
        <v>4393.5236014818602</v>
      </c>
      <c r="AS1363" s="163"/>
      <c r="AT1363" s="233"/>
      <c r="AU1363" s="187"/>
      <c r="AV1363" s="414">
        <f>AR1363/$AV$5</f>
        <v>0.62692973765437499</v>
      </c>
      <c r="AW1363" s="415"/>
      <c r="AX1363" s="146">
        <f>SUM(AU1363:AV1363)</f>
        <v>0.62692973765437499</v>
      </c>
      <c r="AY1363" s="168"/>
    </row>
    <row r="1364" spans="1:51" ht="10.9" hidden="1" customHeight="1" x14ac:dyDescent="0.2">
      <c r="B1364" s="357">
        <v>10</v>
      </c>
      <c r="C1364" s="506" t="s">
        <v>602</v>
      </c>
      <c r="D1364" s="300"/>
      <c r="E1364" s="236"/>
      <c r="F1364" s="236"/>
      <c r="G1364" s="236"/>
      <c r="H1364" s="236"/>
      <c r="I1364" s="236"/>
      <c r="J1364" s="236"/>
      <c r="K1364" s="236"/>
      <c r="L1364" s="236"/>
      <c r="M1364" s="236"/>
      <c r="N1364" s="236"/>
      <c r="O1364" s="301"/>
      <c r="P1364" s="237"/>
      <c r="Q1364" s="223">
        <f t="shared" si="1047"/>
        <v>0</v>
      </c>
      <c r="R1364" s="147">
        <f t="shared" si="1048"/>
        <v>0</v>
      </c>
      <c r="S1364" s="147">
        <f>R1364/$S$5</f>
        <v>0</v>
      </c>
      <c r="T1364" s="148">
        <f>S1364*$T$5*$T$10</f>
        <v>0</v>
      </c>
      <c r="U1364" s="420"/>
      <c r="V1364" s="407"/>
      <c r="W1364" s="236"/>
      <c r="X1364" s="236"/>
      <c r="Y1364" s="408"/>
      <c r="Z1364" s="409"/>
      <c r="AA1364" s="409"/>
      <c r="AB1364" s="410"/>
      <c r="AC1364" s="155"/>
      <c r="AD1364" s="156"/>
      <c r="AE1364" s="156"/>
      <c r="AF1364" s="156"/>
      <c r="AG1364" s="156"/>
      <c r="AH1364" s="156"/>
      <c r="AI1364" s="156"/>
      <c r="AJ1364" s="156"/>
      <c r="AK1364" s="156"/>
      <c r="AL1364" s="156"/>
      <c r="AM1364" s="157"/>
      <c r="AN1364" s="158">
        <f t="shared" si="1051"/>
        <v>4000</v>
      </c>
      <c r="AO1364" s="159"/>
      <c r="AP1364" s="160"/>
      <c r="AQ1364" s="161"/>
      <c r="AR1364" s="162"/>
      <c r="AS1364" s="163"/>
      <c r="AT1364" s="164"/>
      <c r="AU1364" s="165"/>
      <c r="AV1364" s="166"/>
      <c r="AW1364" s="167"/>
      <c r="AX1364" s="146"/>
      <c r="AY1364" s="168"/>
    </row>
    <row r="1365" spans="1:51" ht="10.9" hidden="1" customHeight="1" x14ac:dyDescent="0.2">
      <c r="B1365" s="357">
        <v>11</v>
      </c>
      <c r="C1365" s="330" t="s">
        <v>603</v>
      </c>
      <c r="D1365" s="300"/>
      <c r="E1365" s="236"/>
      <c r="F1365" s="236"/>
      <c r="G1365" s="236"/>
      <c r="H1365" s="236"/>
      <c r="I1365" s="236"/>
      <c r="J1365" s="236"/>
      <c r="K1365" s="236"/>
      <c r="L1365" s="236"/>
      <c r="M1365" s="236"/>
      <c r="N1365" s="236"/>
      <c r="O1365" s="301">
        <v>34287</v>
      </c>
      <c r="P1365" s="237"/>
      <c r="Q1365" s="223">
        <f t="shared" si="1047"/>
        <v>34287</v>
      </c>
      <c r="R1365" s="147">
        <f t="shared" si="1048"/>
        <v>3771.57</v>
      </c>
      <c r="S1365" s="147">
        <f>R1365/$S$5</f>
        <v>10.333068493150686</v>
      </c>
      <c r="T1365" s="148">
        <f>S1365*$T$5*$T$10</f>
        <v>2262.942</v>
      </c>
      <c r="U1365" s="420"/>
      <c r="V1365" s="407"/>
      <c r="W1365" s="236"/>
      <c r="X1365" s="236"/>
      <c r="Y1365" s="408"/>
      <c r="Z1365" s="409"/>
      <c r="AA1365" s="409"/>
      <c r="AB1365" s="410"/>
      <c r="AC1365" s="155"/>
      <c r="AD1365" s="156"/>
      <c r="AE1365" s="156"/>
      <c r="AF1365" s="156"/>
      <c r="AG1365" s="156"/>
      <c r="AH1365" s="156"/>
      <c r="AI1365" s="156"/>
      <c r="AJ1365" s="156"/>
      <c r="AK1365" s="156"/>
      <c r="AL1365" s="156"/>
      <c r="AM1365" s="157"/>
      <c r="AN1365" s="158">
        <f t="shared" si="1051"/>
        <v>4000</v>
      </c>
      <c r="AO1365" s="159"/>
      <c r="AP1365" s="160"/>
      <c r="AQ1365" s="161"/>
      <c r="AR1365" s="162"/>
      <c r="AS1365" s="163"/>
      <c r="AT1365" s="164"/>
      <c r="AU1365" s="165"/>
      <c r="AV1365" s="166"/>
      <c r="AW1365" s="167"/>
      <c r="AX1365" s="146"/>
      <c r="AY1365" s="168"/>
    </row>
    <row r="1366" spans="1:51" ht="10.9" hidden="1" customHeight="1" x14ac:dyDescent="0.2">
      <c r="B1366" s="357">
        <v>12</v>
      </c>
      <c r="C1366" s="330" t="s">
        <v>604</v>
      </c>
      <c r="D1366" s="300"/>
      <c r="E1366" s="236"/>
      <c r="F1366" s="236"/>
      <c r="G1366" s="236"/>
      <c r="H1366" s="236"/>
      <c r="I1366" s="236"/>
      <c r="J1366" s="236"/>
      <c r="K1366" s="236"/>
      <c r="L1366" s="236"/>
      <c r="M1366" s="236"/>
      <c r="N1366" s="236"/>
      <c r="O1366" s="301"/>
      <c r="P1366" s="237"/>
      <c r="Q1366" s="223">
        <f t="shared" si="1047"/>
        <v>0</v>
      </c>
      <c r="R1366" s="147">
        <f t="shared" si="1048"/>
        <v>0</v>
      </c>
      <c r="S1366" s="147">
        <f>R1366/$S$5</f>
        <v>0</v>
      </c>
      <c r="T1366" s="148">
        <f>S1366*$T$5*$T$10</f>
        <v>0</v>
      </c>
      <c r="U1366" s="420"/>
      <c r="V1366" s="407"/>
      <c r="W1366" s="236"/>
      <c r="X1366" s="236"/>
      <c r="Y1366" s="408"/>
      <c r="Z1366" s="409"/>
      <c r="AA1366" s="409"/>
      <c r="AB1366" s="410"/>
      <c r="AC1366" s="155"/>
      <c r="AD1366" s="156"/>
      <c r="AE1366" s="156"/>
      <c r="AF1366" s="156"/>
      <c r="AG1366" s="156"/>
      <c r="AH1366" s="156"/>
      <c r="AI1366" s="156"/>
      <c r="AJ1366" s="156"/>
      <c r="AK1366" s="156"/>
      <c r="AL1366" s="156"/>
      <c r="AM1366" s="157"/>
      <c r="AN1366" s="158">
        <f t="shared" si="1051"/>
        <v>4000</v>
      </c>
      <c r="AO1366" s="159"/>
      <c r="AP1366" s="160"/>
      <c r="AQ1366" s="161"/>
      <c r="AR1366" s="162"/>
      <c r="AS1366" s="163"/>
      <c r="AT1366" s="164"/>
      <c r="AU1366" s="165"/>
      <c r="AV1366" s="166"/>
      <c r="AW1366" s="167"/>
      <c r="AX1366" s="146"/>
      <c r="AY1366" s="168"/>
    </row>
    <row r="1367" spans="1:51" ht="10.9" hidden="1" customHeight="1" x14ac:dyDescent="0.2">
      <c r="B1367" s="357">
        <v>13</v>
      </c>
      <c r="C1367" s="330" t="s">
        <v>605</v>
      </c>
      <c r="D1367" s="300"/>
      <c r="E1367" s="236"/>
      <c r="F1367" s="236"/>
      <c r="G1367" s="236"/>
      <c r="H1367" s="236"/>
      <c r="I1367" s="236"/>
      <c r="J1367" s="236"/>
      <c r="K1367" s="236"/>
      <c r="L1367" s="236"/>
      <c r="M1367" s="236"/>
      <c r="N1367" s="236"/>
      <c r="O1367" s="301">
        <v>6147</v>
      </c>
      <c r="P1367" s="237"/>
      <c r="Q1367" s="223">
        <f t="shared" si="1047"/>
        <v>6147</v>
      </c>
      <c r="R1367" s="147">
        <f t="shared" si="1048"/>
        <v>676.17</v>
      </c>
      <c r="S1367" s="147">
        <f>R1367/$S$5</f>
        <v>1.8525205479452054</v>
      </c>
      <c r="T1367" s="148">
        <f>S1367*$T$5*$T$10</f>
        <v>405.70199999999994</v>
      </c>
      <c r="U1367" s="420"/>
      <c r="V1367" s="407"/>
      <c r="W1367" s="236"/>
      <c r="X1367" s="236"/>
      <c r="Y1367" s="408"/>
      <c r="Z1367" s="409"/>
      <c r="AA1367" s="409"/>
      <c r="AB1367" s="410"/>
      <c r="AC1367" s="155"/>
      <c r="AD1367" s="156"/>
      <c r="AE1367" s="156"/>
      <c r="AF1367" s="156"/>
      <c r="AG1367" s="156"/>
      <c r="AH1367" s="156"/>
      <c r="AI1367" s="156"/>
      <c r="AJ1367" s="156"/>
      <c r="AK1367" s="156"/>
      <c r="AL1367" s="156"/>
      <c r="AM1367" s="157"/>
      <c r="AN1367" s="158">
        <f t="shared" si="1051"/>
        <v>4000</v>
      </c>
      <c r="AO1367" s="159"/>
      <c r="AP1367" s="160"/>
      <c r="AQ1367" s="161"/>
      <c r="AR1367" s="162"/>
      <c r="AS1367" s="163"/>
      <c r="AT1367" s="164"/>
      <c r="AU1367" s="165"/>
      <c r="AV1367" s="166"/>
      <c r="AW1367" s="167"/>
      <c r="AX1367" s="146"/>
      <c r="AY1367" s="168"/>
    </row>
    <row r="1368" spans="1:51" s="263" customFormat="1" ht="16.7" hidden="1" customHeight="1" x14ac:dyDescent="0.25">
      <c r="A1368" s="173"/>
      <c r="B1368" s="225"/>
      <c r="C1368" s="352" t="s">
        <v>606</v>
      </c>
      <c r="D1368" s="240">
        <f t="shared" ref="D1368:K1368" si="1052">SUM(D1354:D1367)</f>
        <v>0</v>
      </c>
      <c r="E1368" s="240">
        <f t="shared" si="1052"/>
        <v>0</v>
      </c>
      <c r="F1368" s="240">
        <f t="shared" si="1052"/>
        <v>0</v>
      </c>
      <c r="G1368" s="240">
        <f t="shared" si="1052"/>
        <v>0</v>
      </c>
      <c r="H1368" s="240">
        <f t="shared" si="1052"/>
        <v>0</v>
      </c>
      <c r="I1368" s="240">
        <f t="shared" si="1052"/>
        <v>0</v>
      </c>
      <c r="J1368" s="240">
        <f t="shared" si="1052"/>
        <v>0</v>
      </c>
      <c r="K1368" s="240">
        <f t="shared" si="1052"/>
        <v>0</v>
      </c>
      <c r="L1368" s="240">
        <v>729962</v>
      </c>
      <c r="M1368" s="240">
        <v>743860</v>
      </c>
      <c r="N1368" s="240">
        <v>760422</v>
      </c>
      <c r="O1368" s="240">
        <f t="shared" ref="O1368:AX1368" si="1053">SUM(O1354:O1367)</f>
        <v>789013</v>
      </c>
      <c r="P1368" s="240">
        <f t="shared" si="1053"/>
        <v>0</v>
      </c>
      <c r="Q1368" s="240">
        <f>SUM(Q1354:Q1367)</f>
        <v>789013</v>
      </c>
      <c r="R1368" s="240">
        <f>SUM(R1354:R1367)</f>
        <v>86791.430000000008</v>
      </c>
      <c r="S1368" s="240">
        <f>SUM(S1354:S1367)</f>
        <v>237.78473972602737</v>
      </c>
      <c r="T1368" s="240">
        <f>SUM(T1354:T1367)</f>
        <v>52074.858</v>
      </c>
      <c r="U1368" s="240">
        <f t="shared" si="1053"/>
        <v>0</v>
      </c>
      <c r="V1368" s="240">
        <f t="shared" si="1053"/>
        <v>10</v>
      </c>
      <c r="W1368" s="240">
        <f t="shared" si="1053"/>
        <v>10493.75</v>
      </c>
      <c r="X1368" s="240">
        <f t="shared" si="1053"/>
        <v>0</v>
      </c>
      <c r="Y1368" s="240">
        <f t="shared" si="1053"/>
        <v>0</v>
      </c>
      <c r="Z1368" s="240">
        <f t="shared" si="1053"/>
        <v>0</v>
      </c>
      <c r="AA1368" s="240">
        <f t="shared" si="1053"/>
        <v>0</v>
      </c>
      <c r="AB1368" s="240">
        <f t="shared" si="1053"/>
        <v>0</v>
      </c>
      <c r="AC1368" s="240">
        <f t="shared" si="1053"/>
        <v>5456.75</v>
      </c>
      <c r="AD1368" s="240">
        <f t="shared" si="1053"/>
        <v>2623.4375</v>
      </c>
      <c r="AE1368" s="240">
        <f t="shared" si="1053"/>
        <v>944.4375</v>
      </c>
      <c r="AF1368" s="240">
        <f t="shared" si="1053"/>
        <v>524.6875</v>
      </c>
      <c r="AG1368" s="240">
        <f t="shared" si="1053"/>
        <v>314.8125</v>
      </c>
      <c r="AH1368" s="240">
        <f t="shared" si="1053"/>
        <v>104.9375</v>
      </c>
      <c r="AI1368" s="240">
        <f t="shared" si="1053"/>
        <v>209.875</v>
      </c>
      <c r="AJ1368" s="240">
        <f t="shared" si="1053"/>
        <v>104.9375</v>
      </c>
      <c r="AK1368" s="240">
        <f t="shared" si="1053"/>
        <v>419.75</v>
      </c>
      <c r="AL1368" s="240">
        <f t="shared" si="1053"/>
        <v>104.9375</v>
      </c>
      <c r="AM1368" s="240">
        <f t="shared" si="1053"/>
        <v>4722.1875</v>
      </c>
      <c r="AN1368" s="240"/>
      <c r="AO1368" s="240"/>
      <c r="AP1368" s="240">
        <f t="shared" si="1053"/>
        <v>79083418.5</v>
      </c>
      <c r="AQ1368" s="240">
        <f t="shared" si="1053"/>
        <v>21967.618007409299</v>
      </c>
      <c r="AR1368" s="240">
        <f t="shared" si="1053"/>
        <v>4393.5236014818602</v>
      </c>
      <c r="AS1368" s="240">
        <f t="shared" si="1053"/>
        <v>0</v>
      </c>
      <c r="AT1368" s="240">
        <f t="shared" si="1053"/>
        <v>0</v>
      </c>
      <c r="AU1368" s="240">
        <f t="shared" si="1053"/>
        <v>0</v>
      </c>
      <c r="AV1368" s="240">
        <f t="shared" si="1053"/>
        <v>0.62692973765437499</v>
      </c>
      <c r="AW1368" s="240">
        <f t="shared" si="1053"/>
        <v>0</v>
      </c>
      <c r="AX1368" s="240">
        <f t="shared" si="1053"/>
        <v>0.62692973765437499</v>
      </c>
      <c r="AY1368" s="189"/>
    </row>
    <row r="1369" spans="1:51" s="139" customFormat="1" ht="10.9" hidden="1" customHeight="1" x14ac:dyDescent="0.25">
      <c r="B1369" s="247"/>
      <c r="C1369" s="152"/>
      <c r="D1369" s="247"/>
      <c r="E1369" s="151"/>
      <c r="F1369" s="151"/>
      <c r="G1369" s="151"/>
      <c r="H1369" s="151"/>
      <c r="I1369" s="151"/>
      <c r="J1369" s="151"/>
      <c r="K1369" s="151"/>
      <c r="L1369" s="151"/>
      <c r="M1369" s="151"/>
      <c r="N1369" s="151"/>
      <c r="O1369" s="151"/>
      <c r="P1369" s="248"/>
      <c r="Q1369" s="249"/>
      <c r="R1369" s="250"/>
      <c r="S1369" s="250"/>
      <c r="T1369" s="251"/>
      <c r="U1369" s="199"/>
      <c r="V1369" s="179"/>
      <c r="W1369" s="249"/>
      <c r="X1369" s="249"/>
      <c r="Y1369" s="152"/>
      <c r="Z1369" s="153"/>
      <c r="AA1369" s="153"/>
      <c r="AB1369" s="154"/>
      <c r="AC1369" s="247"/>
      <c r="AD1369" s="252"/>
      <c r="AE1369" s="252"/>
      <c r="AF1369" s="252"/>
      <c r="AG1369" s="252"/>
      <c r="AH1369" s="252"/>
      <c r="AI1369" s="252"/>
      <c r="AJ1369" s="252"/>
      <c r="AK1369" s="252"/>
      <c r="AL1369" s="252"/>
      <c r="AM1369" s="214"/>
      <c r="AN1369" s="203"/>
      <c r="AO1369" s="204"/>
      <c r="AP1369" s="203"/>
      <c r="AQ1369" s="205"/>
      <c r="AR1369" s="206"/>
      <c r="AS1369" s="253"/>
      <c r="AT1369" s="254"/>
      <c r="AU1369" s="255"/>
      <c r="AV1369" s="256"/>
      <c r="AW1369" s="257"/>
      <c r="AX1369" s="214"/>
      <c r="AY1369" s="212"/>
    </row>
    <row r="1370" spans="1:51" s="139" customFormat="1" ht="15" hidden="1" customHeight="1" x14ac:dyDescent="0.25">
      <c r="A1370" s="1"/>
      <c r="B1370" s="126"/>
      <c r="C1370" s="352" t="s">
        <v>607</v>
      </c>
      <c r="D1370" s="122"/>
      <c r="E1370" s="123"/>
      <c r="F1370" s="123"/>
      <c r="G1370" s="123"/>
      <c r="H1370" s="123"/>
      <c r="I1370" s="123"/>
      <c r="J1370" s="123"/>
      <c r="K1370" s="123"/>
      <c r="L1370" s="123"/>
      <c r="M1370" s="123"/>
      <c r="N1370" s="123"/>
      <c r="O1370" s="123"/>
      <c r="P1370" s="213"/>
      <c r="Q1370" s="76"/>
      <c r="R1370" s="108"/>
      <c r="S1370" s="108"/>
      <c r="T1370" s="94"/>
      <c r="U1370" s="120"/>
      <c r="V1370" s="67"/>
      <c r="W1370" s="123"/>
      <c r="X1370" s="123"/>
      <c r="Y1370" s="125"/>
      <c r="Z1370" s="126"/>
      <c r="AA1370" s="126"/>
      <c r="AB1370" s="127"/>
      <c r="AC1370" s="62"/>
      <c r="AD1370" s="215"/>
      <c r="AE1370" s="215"/>
      <c r="AF1370" s="215"/>
      <c r="AG1370" s="215"/>
      <c r="AH1370" s="215"/>
      <c r="AI1370" s="215"/>
      <c r="AJ1370" s="215"/>
      <c r="AK1370" s="215"/>
      <c r="AL1370" s="215"/>
      <c r="AM1370" s="125"/>
      <c r="AN1370" s="75"/>
      <c r="AO1370" s="216"/>
      <c r="AP1370" s="75"/>
      <c r="AQ1370" s="51"/>
      <c r="AR1370" s="217"/>
      <c r="AS1370" s="218"/>
      <c r="AT1370" s="219"/>
      <c r="AU1370" s="220"/>
      <c r="AV1370" s="135"/>
      <c r="AW1370" s="136"/>
      <c r="AX1370" s="137"/>
      <c r="AY1370" s="138"/>
    </row>
    <row r="1371" spans="1:51" ht="10.9" hidden="1" customHeight="1" x14ac:dyDescent="0.25">
      <c r="B1371" s="140">
        <v>1</v>
      </c>
      <c r="C1371" s="345" t="s">
        <v>608</v>
      </c>
      <c r="D1371" s="235"/>
      <c r="E1371" s="236"/>
      <c r="F1371" s="236"/>
      <c r="G1371" s="236"/>
      <c r="H1371" s="236"/>
      <c r="I1371" s="236"/>
      <c r="J1371" s="236"/>
      <c r="K1371" s="236"/>
      <c r="L1371" s="236"/>
      <c r="M1371" s="236"/>
      <c r="N1371" s="236">
        <v>75577</v>
      </c>
      <c r="O1371" s="236"/>
      <c r="P1371" s="237"/>
      <c r="Q1371" s="223">
        <f t="shared" ref="Q1371:Q1396" si="1054">MAX(D1371:P1371)</f>
        <v>75577</v>
      </c>
      <c r="R1371" s="147">
        <f t="shared" ref="R1371:R1399" si="1055">Q1371*$R$10</f>
        <v>8313.4699999999993</v>
      </c>
      <c r="S1371" s="147">
        <f t="shared" ref="S1371:S1399" si="1056">R1371/$S$5</f>
        <v>22.776630136986299</v>
      </c>
      <c r="T1371" s="148">
        <f t="shared" ref="T1371:T1399" si="1057">S1371*$T$5*$T$10</f>
        <v>4988.0819999999994</v>
      </c>
      <c r="U1371" s="420"/>
      <c r="V1371" s="407"/>
      <c r="W1371" s="236"/>
      <c r="X1371" s="236"/>
      <c r="Y1371" s="408"/>
      <c r="Z1371" s="409"/>
      <c r="AA1371" s="409"/>
      <c r="AB1371" s="410"/>
      <c r="AC1371" s="155"/>
      <c r="AD1371" s="156"/>
      <c r="AE1371" s="156"/>
      <c r="AF1371" s="156"/>
      <c r="AG1371" s="156"/>
      <c r="AH1371" s="156"/>
      <c r="AI1371" s="156"/>
      <c r="AJ1371" s="156"/>
      <c r="AK1371" s="156"/>
      <c r="AL1371" s="156"/>
      <c r="AM1371" s="157"/>
      <c r="AN1371" s="158">
        <f t="shared" ref="AN1371:AN1399" si="1058">$AN$641</f>
        <v>4000</v>
      </c>
      <c r="AO1371" s="159"/>
      <c r="AP1371" s="160"/>
      <c r="AQ1371" s="161"/>
      <c r="AR1371" s="162"/>
      <c r="AS1371" s="163"/>
      <c r="AT1371" s="164"/>
      <c r="AU1371" s="165"/>
      <c r="AV1371" s="166"/>
      <c r="AW1371" s="167"/>
      <c r="AX1371" s="146"/>
      <c r="AY1371" s="168"/>
    </row>
    <row r="1372" spans="1:51" ht="10.9" hidden="1" customHeight="1" x14ac:dyDescent="0.25">
      <c r="B1372" s="140">
        <v>2</v>
      </c>
      <c r="C1372" s="345" t="s">
        <v>609</v>
      </c>
      <c r="D1372" s="235"/>
      <c r="E1372" s="236"/>
      <c r="F1372" s="236"/>
      <c r="G1372" s="236"/>
      <c r="H1372" s="236"/>
      <c r="I1372" s="236"/>
      <c r="J1372" s="236"/>
      <c r="K1372" s="236"/>
      <c r="L1372" s="236"/>
      <c r="M1372" s="236"/>
      <c r="N1372" s="236">
        <v>126798</v>
      </c>
      <c r="O1372" s="236"/>
      <c r="P1372" s="237"/>
      <c r="Q1372" s="223">
        <f t="shared" si="1054"/>
        <v>126798</v>
      </c>
      <c r="R1372" s="147">
        <f t="shared" si="1055"/>
        <v>13947.78</v>
      </c>
      <c r="S1372" s="147">
        <f t="shared" si="1056"/>
        <v>38.213095890410962</v>
      </c>
      <c r="T1372" s="148">
        <f t="shared" si="1057"/>
        <v>8368.6679999999997</v>
      </c>
      <c r="U1372" s="420"/>
      <c r="V1372" s="407"/>
      <c r="W1372" s="236"/>
      <c r="X1372" s="236"/>
      <c r="Y1372" s="408"/>
      <c r="Z1372" s="409"/>
      <c r="AA1372" s="409"/>
      <c r="AB1372" s="410"/>
      <c r="AC1372" s="155"/>
      <c r="AD1372" s="156"/>
      <c r="AE1372" s="156"/>
      <c r="AF1372" s="156"/>
      <c r="AG1372" s="156"/>
      <c r="AH1372" s="156"/>
      <c r="AI1372" s="156"/>
      <c r="AJ1372" s="156"/>
      <c r="AK1372" s="156"/>
      <c r="AL1372" s="156"/>
      <c r="AM1372" s="157"/>
      <c r="AN1372" s="158">
        <f t="shared" si="1058"/>
        <v>4000</v>
      </c>
      <c r="AO1372" s="159"/>
      <c r="AP1372" s="160"/>
      <c r="AQ1372" s="161"/>
      <c r="AR1372" s="162"/>
      <c r="AS1372" s="163"/>
      <c r="AT1372" s="164"/>
      <c r="AU1372" s="165"/>
      <c r="AV1372" s="166"/>
      <c r="AW1372" s="167"/>
      <c r="AX1372" s="146"/>
      <c r="AY1372" s="168"/>
    </row>
    <row r="1373" spans="1:51" ht="10.9" hidden="1" customHeight="1" x14ac:dyDescent="0.25">
      <c r="B1373" s="140">
        <v>3</v>
      </c>
      <c r="C1373" s="345" t="s">
        <v>610</v>
      </c>
      <c r="D1373" s="235"/>
      <c r="E1373" s="236"/>
      <c r="F1373" s="236"/>
      <c r="G1373" s="236"/>
      <c r="H1373" s="236"/>
      <c r="I1373" s="236"/>
      <c r="J1373" s="236"/>
      <c r="K1373" s="236"/>
      <c r="L1373" s="236"/>
      <c r="M1373" s="236"/>
      <c r="N1373" s="236">
        <v>55784</v>
      </c>
      <c r="O1373" s="236"/>
      <c r="P1373" s="237"/>
      <c r="Q1373" s="223">
        <f t="shared" si="1054"/>
        <v>55784</v>
      </c>
      <c r="R1373" s="147">
        <f t="shared" si="1055"/>
        <v>6136.24</v>
      </c>
      <c r="S1373" s="147">
        <f t="shared" si="1056"/>
        <v>16.811616438356165</v>
      </c>
      <c r="T1373" s="148">
        <f t="shared" si="1057"/>
        <v>3681.7439999999997</v>
      </c>
      <c r="U1373" s="420"/>
      <c r="V1373" s="407"/>
      <c r="W1373" s="236"/>
      <c r="X1373" s="236"/>
      <c r="Y1373" s="408"/>
      <c r="Z1373" s="409"/>
      <c r="AA1373" s="409"/>
      <c r="AB1373" s="410"/>
      <c r="AC1373" s="155"/>
      <c r="AD1373" s="156"/>
      <c r="AE1373" s="156"/>
      <c r="AF1373" s="156"/>
      <c r="AG1373" s="156"/>
      <c r="AH1373" s="156"/>
      <c r="AI1373" s="156"/>
      <c r="AJ1373" s="156"/>
      <c r="AK1373" s="156"/>
      <c r="AL1373" s="156"/>
      <c r="AM1373" s="157"/>
      <c r="AN1373" s="158">
        <f t="shared" si="1058"/>
        <v>4000</v>
      </c>
      <c r="AO1373" s="159"/>
      <c r="AP1373" s="160"/>
      <c r="AQ1373" s="161"/>
      <c r="AR1373" s="162"/>
      <c r="AS1373" s="163"/>
      <c r="AT1373" s="164"/>
      <c r="AU1373" s="165"/>
      <c r="AV1373" s="166"/>
      <c r="AW1373" s="167"/>
      <c r="AX1373" s="146"/>
      <c r="AY1373" s="168"/>
    </row>
    <row r="1374" spans="1:51" ht="10.9" hidden="1" customHeight="1" x14ac:dyDescent="0.25">
      <c r="B1374" s="140">
        <v>4</v>
      </c>
      <c r="C1374" s="345" t="s">
        <v>611</v>
      </c>
      <c r="D1374" s="235"/>
      <c r="E1374" s="236"/>
      <c r="F1374" s="236"/>
      <c r="G1374" s="236"/>
      <c r="H1374" s="236"/>
      <c r="I1374" s="236"/>
      <c r="J1374" s="236"/>
      <c r="K1374" s="236"/>
      <c r="L1374" s="236"/>
      <c r="M1374" s="236"/>
      <c r="N1374" s="236">
        <v>62119</v>
      </c>
      <c r="O1374" s="236"/>
      <c r="P1374" s="237"/>
      <c r="Q1374" s="223">
        <f t="shared" si="1054"/>
        <v>62119</v>
      </c>
      <c r="R1374" s="147">
        <f t="shared" si="1055"/>
        <v>6833.09</v>
      </c>
      <c r="S1374" s="147">
        <f t="shared" si="1056"/>
        <v>18.720794520547944</v>
      </c>
      <c r="T1374" s="148">
        <f t="shared" si="1057"/>
        <v>4099.8539999999994</v>
      </c>
      <c r="U1374" s="420"/>
      <c r="V1374" s="407"/>
      <c r="W1374" s="236"/>
      <c r="X1374" s="236"/>
      <c r="Y1374" s="408"/>
      <c r="Z1374" s="409"/>
      <c r="AA1374" s="409"/>
      <c r="AB1374" s="410"/>
      <c r="AC1374" s="155"/>
      <c r="AD1374" s="156"/>
      <c r="AE1374" s="156"/>
      <c r="AF1374" s="156"/>
      <c r="AG1374" s="156"/>
      <c r="AH1374" s="156"/>
      <c r="AI1374" s="156"/>
      <c r="AJ1374" s="156"/>
      <c r="AK1374" s="156"/>
      <c r="AL1374" s="156"/>
      <c r="AM1374" s="157"/>
      <c r="AN1374" s="158">
        <f t="shared" si="1058"/>
        <v>4000</v>
      </c>
      <c r="AO1374" s="159"/>
      <c r="AP1374" s="160"/>
      <c r="AQ1374" s="161"/>
      <c r="AR1374" s="162"/>
      <c r="AS1374" s="163"/>
      <c r="AT1374" s="164"/>
      <c r="AU1374" s="165"/>
      <c r="AV1374" s="166"/>
      <c r="AW1374" s="167"/>
      <c r="AX1374" s="146"/>
      <c r="AY1374" s="168"/>
    </row>
    <row r="1375" spans="1:51" ht="10.9" hidden="1" customHeight="1" x14ac:dyDescent="0.25">
      <c r="B1375" s="140">
        <v>5</v>
      </c>
      <c r="C1375" s="342" t="s">
        <v>612</v>
      </c>
      <c r="D1375" s="235"/>
      <c r="E1375" s="236"/>
      <c r="F1375" s="236"/>
      <c r="G1375" s="236"/>
      <c r="H1375" s="236"/>
      <c r="I1375" s="236"/>
      <c r="J1375" s="236"/>
      <c r="K1375" s="236"/>
      <c r="L1375" s="236"/>
      <c r="M1375" s="236"/>
      <c r="N1375" s="236">
        <v>84230</v>
      </c>
      <c r="O1375" s="236"/>
      <c r="P1375" s="237"/>
      <c r="Q1375" s="223">
        <f t="shared" si="1054"/>
        <v>84230</v>
      </c>
      <c r="R1375" s="147">
        <f t="shared" si="1055"/>
        <v>9265.2999999999993</v>
      </c>
      <c r="S1375" s="147">
        <f t="shared" si="1056"/>
        <v>25.384383561643833</v>
      </c>
      <c r="T1375" s="148">
        <f t="shared" si="1057"/>
        <v>5559.1799999999994</v>
      </c>
      <c r="U1375" s="420"/>
      <c r="V1375" s="407"/>
      <c r="W1375" s="236"/>
      <c r="X1375" s="236"/>
      <c r="Y1375" s="408"/>
      <c r="Z1375" s="409"/>
      <c r="AA1375" s="409"/>
      <c r="AB1375" s="410"/>
      <c r="AC1375" s="155"/>
      <c r="AD1375" s="156"/>
      <c r="AE1375" s="156"/>
      <c r="AF1375" s="156"/>
      <c r="AG1375" s="156"/>
      <c r="AH1375" s="156"/>
      <c r="AI1375" s="156"/>
      <c r="AJ1375" s="156"/>
      <c r="AK1375" s="156"/>
      <c r="AL1375" s="156"/>
      <c r="AM1375" s="157"/>
      <c r="AN1375" s="158">
        <f t="shared" si="1058"/>
        <v>4000</v>
      </c>
      <c r="AO1375" s="159"/>
      <c r="AP1375" s="160"/>
      <c r="AQ1375" s="161"/>
      <c r="AR1375" s="162"/>
      <c r="AS1375" s="163"/>
      <c r="AT1375" s="164"/>
      <c r="AU1375" s="165"/>
      <c r="AV1375" s="166"/>
      <c r="AW1375" s="167"/>
      <c r="AX1375" s="146"/>
      <c r="AY1375" s="168"/>
    </row>
    <row r="1376" spans="1:51" ht="10.9" hidden="1" customHeight="1" x14ac:dyDescent="0.25">
      <c r="B1376" s="140">
        <v>6</v>
      </c>
      <c r="C1376" s="342" t="s">
        <v>613</v>
      </c>
      <c r="D1376" s="235"/>
      <c r="E1376" s="236"/>
      <c r="F1376" s="236"/>
      <c r="G1376" s="236"/>
      <c r="H1376" s="236"/>
      <c r="I1376" s="236"/>
      <c r="J1376" s="236"/>
      <c r="K1376" s="236"/>
      <c r="L1376" s="236"/>
      <c r="M1376" s="236"/>
      <c r="N1376" s="236">
        <v>40490</v>
      </c>
      <c r="O1376" s="236"/>
      <c r="P1376" s="237"/>
      <c r="Q1376" s="223">
        <f t="shared" si="1054"/>
        <v>40490</v>
      </c>
      <c r="R1376" s="147">
        <f t="shared" si="1055"/>
        <v>4453.8999999999996</v>
      </c>
      <c r="S1376" s="147">
        <f t="shared" si="1056"/>
        <v>12.202465753424656</v>
      </c>
      <c r="T1376" s="148">
        <f t="shared" si="1057"/>
        <v>2672.3399999999997</v>
      </c>
      <c r="U1376" s="420"/>
      <c r="V1376" s="407"/>
      <c r="W1376" s="236"/>
      <c r="X1376" s="236"/>
      <c r="Y1376" s="408"/>
      <c r="Z1376" s="409"/>
      <c r="AA1376" s="409"/>
      <c r="AB1376" s="410"/>
      <c r="AC1376" s="155"/>
      <c r="AD1376" s="156"/>
      <c r="AE1376" s="156"/>
      <c r="AF1376" s="156"/>
      <c r="AG1376" s="156"/>
      <c r="AH1376" s="156"/>
      <c r="AI1376" s="156"/>
      <c r="AJ1376" s="156"/>
      <c r="AK1376" s="156"/>
      <c r="AL1376" s="156"/>
      <c r="AM1376" s="157"/>
      <c r="AN1376" s="158">
        <f t="shared" si="1058"/>
        <v>4000</v>
      </c>
      <c r="AO1376" s="159"/>
      <c r="AP1376" s="160"/>
      <c r="AQ1376" s="161"/>
      <c r="AR1376" s="162"/>
      <c r="AS1376" s="163"/>
      <c r="AT1376" s="164"/>
      <c r="AU1376" s="165"/>
      <c r="AV1376" s="166"/>
      <c r="AW1376" s="167"/>
      <c r="AX1376" s="146"/>
      <c r="AY1376" s="168"/>
    </row>
    <row r="1377" spans="2:51" ht="10.9" hidden="1" customHeight="1" x14ac:dyDescent="0.25">
      <c r="B1377" s="140">
        <v>7</v>
      </c>
      <c r="C1377" s="342" t="s">
        <v>614</v>
      </c>
      <c r="D1377" s="235"/>
      <c r="E1377" s="236"/>
      <c r="F1377" s="236"/>
      <c r="G1377" s="236"/>
      <c r="H1377" s="236"/>
      <c r="I1377" s="236"/>
      <c r="J1377" s="236"/>
      <c r="K1377" s="236"/>
      <c r="L1377" s="236"/>
      <c r="M1377" s="236"/>
      <c r="N1377" s="236">
        <v>111943</v>
      </c>
      <c r="O1377" s="236"/>
      <c r="P1377" s="237"/>
      <c r="Q1377" s="223">
        <f t="shared" si="1054"/>
        <v>111943</v>
      </c>
      <c r="R1377" s="147">
        <f t="shared" si="1055"/>
        <v>12313.73</v>
      </c>
      <c r="S1377" s="147">
        <f t="shared" si="1056"/>
        <v>33.736246575342463</v>
      </c>
      <c r="T1377" s="148">
        <f t="shared" si="1057"/>
        <v>7388.2379999999994</v>
      </c>
      <c r="U1377" s="420"/>
      <c r="V1377" s="407"/>
      <c r="W1377" s="236"/>
      <c r="X1377" s="236"/>
      <c r="Y1377" s="408"/>
      <c r="Z1377" s="409"/>
      <c r="AA1377" s="409"/>
      <c r="AB1377" s="410"/>
      <c r="AC1377" s="155"/>
      <c r="AD1377" s="156"/>
      <c r="AE1377" s="156"/>
      <c r="AF1377" s="156"/>
      <c r="AG1377" s="156"/>
      <c r="AH1377" s="156"/>
      <c r="AI1377" s="156"/>
      <c r="AJ1377" s="156"/>
      <c r="AK1377" s="156"/>
      <c r="AL1377" s="156"/>
      <c r="AM1377" s="157"/>
      <c r="AN1377" s="158">
        <f t="shared" si="1058"/>
        <v>4000</v>
      </c>
      <c r="AO1377" s="159"/>
      <c r="AP1377" s="160"/>
      <c r="AQ1377" s="161"/>
      <c r="AR1377" s="162"/>
      <c r="AS1377" s="163"/>
      <c r="AT1377" s="164"/>
      <c r="AU1377" s="165"/>
      <c r="AV1377" s="166"/>
      <c r="AW1377" s="167"/>
      <c r="AX1377" s="146"/>
      <c r="AY1377" s="168"/>
    </row>
    <row r="1378" spans="2:51" ht="10.9" hidden="1" customHeight="1" x14ac:dyDescent="0.25">
      <c r="B1378" s="140">
        <v>8</v>
      </c>
      <c r="C1378" s="342" t="s">
        <v>615</v>
      </c>
      <c r="D1378" s="235"/>
      <c r="E1378" s="236"/>
      <c r="F1378" s="236"/>
      <c r="G1378" s="236"/>
      <c r="H1378" s="236"/>
      <c r="I1378" s="236"/>
      <c r="J1378" s="236"/>
      <c r="K1378" s="236"/>
      <c r="L1378" s="236"/>
      <c r="M1378" s="236"/>
      <c r="N1378" s="236">
        <v>196085</v>
      </c>
      <c r="O1378" s="236"/>
      <c r="P1378" s="237"/>
      <c r="Q1378" s="223">
        <f t="shared" si="1054"/>
        <v>196085</v>
      </c>
      <c r="R1378" s="147">
        <f t="shared" si="1055"/>
        <v>21569.35</v>
      </c>
      <c r="S1378" s="147">
        <f t="shared" si="1056"/>
        <v>59.094109589041089</v>
      </c>
      <c r="T1378" s="148">
        <f t="shared" si="1057"/>
        <v>12941.609999999999</v>
      </c>
      <c r="U1378" s="420"/>
      <c r="V1378" s="407"/>
      <c r="W1378" s="236"/>
      <c r="X1378" s="236"/>
      <c r="Y1378" s="408"/>
      <c r="Z1378" s="409"/>
      <c r="AA1378" s="409"/>
      <c r="AB1378" s="410"/>
      <c r="AC1378" s="155"/>
      <c r="AD1378" s="156"/>
      <c r="AE1378" s="156"/>
      <c r="AF1378" s="156"/>
      <c r="AG1378" s="156"/>
      <c r="AH1378" s="156"/>
      <c r="AI1378" s="156"/>
      <c r="AJ1378" s="156"/>
      <c r="AK1378" s="156"/>
      <c r="AL1378" s="156"/>
      <c r="AM1378" s="157"/>
      <c r="AN1378" s="158">
        <f t="shared" si="1058"/>
        <v>4000</v>
      </c>
      <c r="AO1378" s="159"/>
      <c r="AP1378" s="160"/>
      <c r="AQ1378" s="161"/>
      <c r="AR1378" s="162"/>
      <c r="AS1378" s="163"/>
      <c r="AT1378" s="164"/>
      <c r="AU1378" s="165"/>
      <c r="AV1378" s="166"/>
      <c r="AW1378" s="167"/>
      <c r="AX1378" s="146"/>
      <c r="AY1378" s="168"/>
    </row>
    <row r="1379" spans="2:51" ht="10.9" hidden="1" customHeight="1" x14ac:dyDescent="0.25">
      <c r="B1379" s="140">
        <v>9</v>
      </c>
      <c r="C1379" s="342" t="s">
        <v>616</v>
      </c>
      <c r="D1379" s="235"/>
      <c r="E1379" s="236"/>
      <c r="F1379" s="236"/>
      <c r="G1379" s="236"/>
      <c r="H1379" s="236"/>
      <c r="I1379" s="236"/>
      <c r="J1379" s="236"/>
      <c r="K1379" s="236"/>
      <c r="L1379" s="236"/>
      <c r="M1379" s="236"/>
      <c r="N1379" s="236">
        <v>48536</v>
      </c>
      <c r="O1379" s="236"/>
      <c r="P1379" s="237"/>
      <c r="Q1379" s="223">
        <f t="shared" si="1054"/>
        <v>48536</v>
      </c>
      <c r="R1379" s="147">
        <f t="shared" si="1055"/>
        <v>5338.96</v>
      </c>
      <c r="S1379" s="147">
        <f t="shared" si="1056"/>
        <v>14.627287671232876</v>
      </c>
      <c r="T1379" s="148">
        <f t="shared" si="1057"/>
        <v>3203.3759999999997</v>
      </c>
      <c r="U1379" s="420"/>
      <c r="V1379" s="407"/>
      <c r="W1379" s="236"/>
      <c r="X1379" s="236"/>
      <c r="Y1379" s="408"/>
      <c r="Z1379" s="409"/>
      <c r="AA1379" s="409"/>
      <c r="AB1379" s="410"/>
      <c r="AC1379" s="155"/>
      <c r="AD1379" s="156"/>
      <c r="AE1379" s="156"/>
      <c r="AF1379" s="156"/>
      <c r="AG1379" s="156"/>
      <c r="AH1379" s="156"/>
      <c r="AI1379" s="156"/>
      <c r="AJ1379" s="156"/>
      <c r="AK1379" s="156"/>
      <c r="AL1379" s="156"/>
      <c r="AM1379" s="157"/>
      <c r="AN1379" s="158">
        <f t="shared" si="1058"/>
        <v>4000</v>
      </c>
      <c r="AO1379" s="159"/>
      <c r="AP1379" s="160"/>
      <c r="AQ1379" s="161"/>
      <c r="AR1379" s="162"/>
      <c r="AS1379" s="163"/>
      <c r="AT1379" s="164"/>
      <c r="AU1379" s="165"/>
      <c r="AV1379" s="166"/>
      <c r="AW1379" s="167"/>
      <c r="AX1379" s="146"/>
      <c r="AY1379" s="168"/>
    </row>
    <row r="1380" spans="2:51" ht="10.9" hidden="1" customHeight="1" x14ac:dyDescent="0.25">
      <c r="B1380" s="140">
        <v>10</v>
      </c>
      <c r="C1380" s="342" t="s">
        <v>617</v>
      </c>
      <c r="D1380" s="235"/>
      <c r="E1380" s="236"/>
      <c r="F1380" s="236"/>
      <c r="G1380" s="236"/>
      <c r="H1380" s="236"/>
      <c r="I1380" s="236"/>
      <c r="J1380" s="236"/>
      <c r="K1380" s="236"/>
      <c r="L1380" s="236"/>
      <c r="M1380" s="236"/>
      <c r="N1380" s="236">
        <v>82951</v>
      </c>
      <c r="O1380" s="236"/>
      <c r="P1380" s="237"/>
      <c r="Q1380" s="223">
        <f t="shared" si="1054"/>
        <v>82951</v>
      </c>
      <c r="R1380" s="147">
        <f t="shared" si="1055"/>
        <v>9124.61</v>
      </c>
      <c r="S1380" s="147">
        <f t="shared" si="1056"/>
        <v>24.998931506849317</v>
      </c>
      <c r="T1380" s="148">
        <f t="shared" si="1057"/>
        <v>5474.7660000000005</v>
      </c>
      <c r="U1380" s="420"/>
      <c r="V1380" s="407"/>
      <c r="W1380" s="236"/>
      <c r="X1380" s="236"/>
      <c r="Y1380" s="408"/>
      <c r="Z1380" s="409"/>
      <c r="AA1380" s="409"/>
      <c r="AB1380" s="410"/>
      <c r="AC1380" s="155"/>
      <c r="AD1380" s="156"/>
      <c r="AE1380" s="156"/>
      <c r="AF1380" s="156"/>
      <c r="AG1380" s="156"/>
      <c r="AH1380" s="156"/>
      <c r="AI1380" s="156"/>
      <c r="AJ1380" s="156"/>
      <c r="AK1380" s="156"/>
      <c r="AL1380" s="156"/>
      <c r="AM1380" s="157"/>
      <c r="AN1380" s="158">
        <f t="shared" si="1058"/>
        <v>4000</v>
      </c>
      <c r="AO1380" s="159"/>
      <c r="AP1380" s="160"/>
      <c r="AQ1380" s="161"/>
      <c r="AR1380" s="162"/>
      <c r="AS1380" s="163"/>
      <c r="AT1380" s="164"/>
      <c r="AU1380" s="165"/>
      <c r="AV1380" s="166"/>
      <c r="AW1380" s="167"/>
      <c r="AX1380" s="146"/>
      <c r="AY1380" s="168"/>
    </row>
    <row r="1381" spans="2:51" ht="10.9" hidden="1" customHeight="1" x14ac:dyDescent="0.25">
      <c r="B1381" s="140">
        <v>11</v>
      </c>
      <c r="C1381" s="342" t="s">
        <v>618</v>
      </c>
      <c r="D1381" s="235"/>
      <c r="E1381" s="236"/>
      <c r="F1381" s="236"/>
      <c r="G1381" s="236"/>
      <c r="H1381" s="236"/>
      <c r="I1381" s="236"/>
      <c r="J1381" s="236"/>
      <c r="K1381" s="236"/>
      <c r="L1381" s="236"/>
      <c r="M1381" s="236"/>
      <c r="N1381" s="236">
        <v>148522</v>
      </c>
      <c r="O1381" s="236"/>
      <c r="P1381" s="237"/>
      <c r="Q1381" s="223">
        <f t="shared" si="1054"/>
        <v>148522</v>
      </c>
      <c r="R1381" s="147">
        <f t="shared" si="1055"/>
        <v>16337.42</v>
      </c>
      <c r="S1381" s="147">
        <f t="shared" si="1056"/>
        <v>44.760054794520549</v>
      </c>
      <c r="T1381" s="148">
        <f t="shared" si="1057"/>
        <v>9802.4519999999993</v>
      </c>
      <c r="U1381" s="420"/>
      <c r="V1381" s="407"/>
      <c r="W1381" s="236"/>
      <c r="X1381" s="236"/>
      <c r="Y1381" s="408"/>
      <c r="Z1381" s="409"/>
      <c r="AA1381" s="409"/>
      <c r="AB1381" s="410"/>
      <c r="AC1381" s="155"/>
      <c r="AD1381" s="156"/>
      <c r="AE1381" s="156"/>
      <c r="AF1381" s="156"/>
      <c r="AG1381" s="156"/>
      <c r="AH1381" s="156"/>
      <c r="AI1381" s="156"/>
      <c r="AJ1381" s="156"/>
      <c r="AK1381" s="156"/>
      <c r="AL1381" s="156"/>
      <c r="AM1381" s="157"/>
      <c r="AN1381" s="158">
        <f t="shared" si="1058"/>
        <v>4000</v>
      </c>
      <c r="AO1381" s="159"/>
      <c r="AP1381" s="160"/>
      <c r="AQ1381" s="161"/>
      <c r="AR1381" s="162"/>
      <c r="AS1381" s="163"/>
      <c r="AT1381" s="164"/>
      <c r="AU1381" s="165"/>
      <c r="AV1381" s="166"/>
      <c r="AW1381" s="167"/>
      <c r="AX1381" s="146"/>
      <c r="AY1381" s="168"/>
    </row>
    <row r="1382" spans="2:51" ht="10.9" hidden="1" customHeight="1" x14ac:dyDescent="0.25">
      <c r="B1382" s="140">
        <v>12</v>
      </c>
      <c r="C1382" s="345" t="s">
        <v>619</v>
      </c>
      <c r="D1382" s="235"/>
      <c r="E1382" s="236"/>
      <c r="F1382" s="236"/>
      <c r="G1382" s="236"/>
      <c r="H1382" s="236"/>
      <c r="I1382" s="236"/>
      <c r="J1382" s="236"/>
      <c r="K1382" s="236"/>
      <c r="L1382" s="236"/>
      <c r="M1382" s="236"/>
      <c r="N1382" s="236">
        <v>18365</v>
      </c>
      <c r="O1382" s="236"/>
      <c r="P1382" s="237"/>
      <c r="Q1382" s="223">
        <f t="shared" si="1054"/>
        <v>18365</v>
      </c>
      <c r="R1382" s="147">
        <f t="shared" si="1055"/>
        <v>2020.15</v>
      </c>
      <c r="S1382" s="147">
        <f t="shared" si="1056"/>
        <v>5.534657534246576</v>
      </c>
      <c r="T1382" s="148">
        <f t="shared" si="1057"/>
        <v>1212.0900000000001</v>
      </c>
      <c r="U1382" s="420"/>
      <c r="V1382" s="407"/>
      <c r="W1382" s="236"/>
      <c r="X1382" s="236"/>
      <c r="Y1382" s="408"/>
      <c r="Z1382" s="409"/>
      <c r="AA1382" s="409"/>
      <c r="AB1382" s="410"/>
      <c r="AC1382" s="155"/>
      <c r="AD1382" s="156"/>
      <c r="AE1382" s="156"/>
      <c r="AF1382" s="156"/>
      <c r="AG1382" s="156"/>
      <c r="AH1382" s="156"/>
      <c r="AI1382" s="156"/>
      <c r="AJ1382" s="156"/>
      <c r="AK1382" s="156"/>
      <c r="AL1382" s="156"/>
      <c r="AM1382" s="157"/>
      <c r="AN1382" s="158">
        <f t="shared" si="1058"/>
        <v>4000</v>
      </c>
      <c r="AO1382" s="159"/>
      <c r="AP1382" s="160"/>
      <c r="AQ1382" s="161"/>
      <c r="AR1382" s="162"/>
      <c r="AS1382" s="163"/>
      <c r="AT1382" s="164"/>
      <c r="AU1382" s="165"/>
      <c r="AV1382" s="166"/>
      <c r="AW1382" s="167"/>
      <c r="AX1382" s="146"/>
      <c r="AY1382" s="168"/>
    </row>
    <row r="1383" spans="2:51" ht="10.9" hidden="1" customHeight="1" x14ac:dyDescent="0.25">
      <c r="B1383" s="140">
        <v>13</v>
      </c>
      <c r="C1383" s="345" t="s">
        <v>620</v>
      </c>
      <c r="D1383" s="235"/>
      <c r="E1383" s="236"/>
      <c r="F1383" s="236"/>
      <c r="G1383" s="236"/>
      <c r="H1383" s="236"/>
      <c r="I1383" s="236"/>
      <c r="J1383" s="236"/>
      <c r="K1383" s="236"/>
      <c r="L1383" s="236"/>
      <c r="M1383" s="236"/>
      <c r="N1383" s="236">
        <v>39537</v>
      </c>
      <c r="O1383" s="236"/>
      <c r="P1383" s="237"/>
      <c r="Q1383" s="223">
        <f t="shared" si="1054"/>
        <v>39537</v>
      </c>
      <c r="R1383" s="147">
        <f t="shared" si="1055"/>
        <v>4349.07</v>
      </c>
      <c r="S1383" s="147">
        <f t="shared" si="1056"/>
        <v>11.915260273972603</v>
      </c>
      <c r="T1383" s="148">
        <f t="shared" si="1057"/>
        <v>2609.4419999999996</v>
      </c>
      <c r="U1383" s="420"/>
      <c r="V1383" s="407"/>
      <c r="W1383" s="236"/>
      <c r="X1383" s="236"/>
      <c r="Y1383" s="408"/>
      <c r="Z1383" s="409"/>
      <c r="AA1383" s="409"/>
      <c r="AB1383" s="410"/>
      <c r="AC1383" s="155"/>
      <c r="AD1383" s="156"/>
      <c r="AE1383" s="156"/>
      <c r="AF1383" s="156"/>
      <c r="AG1383" s="156"/>
      <c r="AH1383" s="156"/>
      <c r="AI1383" s="156"/>
      <c r="AJ1383" s="156"/>
      <c r="AK1383" s="156"/>
      <c r="AL1383" s="156"/>
      <c r="AM1383" s="157"/>
      <c r="AN1383" s="158">
        <f t="shared" si="1058"/>
        <v>4000</v>
      </c>
      <c r="AO1383" s="159"/>
      <c r="AP1383" s="160"/>
      <c r="AQ1383" s="161"/>
      <c r="AR1383" s="162"/>
      <c r="AS1383" s="163"/>
      <c r="AT1383" s="164"/>
      <c r="AU1383" s="165"/>
      <c r="AV1383" s="166"/>
      <c r="AW1383" s="167"/>
      <c r="AX1383" s="146"/>
      <c r="AY1383" s="168"/>
    </row>
    <row r="1384" spans="2:51" ht="10.9" hidden="1" customHeight="1" x14ac:dyDescent="0.25">
      <c r="B1384" s="140">
        <v>14</v>
      </c>
      <c r="C1384" s="345" t="s">
        <v>621</v>
      </c>
      <c r="D1384" s="235"/>
      <c r="E1384" s="236"/>
      <c r="F1384" s="236"/>
      <c r="G1384" s="236"/>
      <c r="H1384" s="236"/>
      <c r="I1384" s="236"/>
      <c r="J1384" s="236"/>
      <c r="K1384" s="236"/>
      <c r="L1384" s="236"/>
      <c r="M1384" s="236"/>
      <c r="N1384" s="236">
        <v>81658</v>
      </c>
      <c r="O1384" s="236"/>
      <c r="P1384" s="237"/>
      <c r="Q1384" s="223">
        <f t="shared" si="1054"/>
        <v>81658</v>
      </c>
      <c r="R1384" s="147">
        <f t="shared" si="1055"/>
        <v>8982.3799999999992</v>
      </c>
      <c r="S1384" s="147">
        <f t="shared" si="1056"/>
        <v>24.609260273972602</v>
      </c>
      <c r="T1384" s="148">
        <f t="shared" si="1057"/>
        <v>5389.427999999999</v>
      </c>
      <c r="U1384" s="420"/>
      <c r="V1384" s="407"/>
      <c r="W1384" s="236"/>
      <c r="X1384" s="236"/>
      <c r="Y1384" s="408"/>
      <c r="Z1384" s="409"/>
      <c r="AA1384" s="409"/>
      <c r="AB1384" s="410"/>
      <c r="AC1384" s="155"/>
      <c r="AD1384" s="156"/>
      <c r="AE1384" s="156"/>
      <c r="AF1384" s="156"/>
      <c r="AG1384" s="156"/>
      <c r="AH1384" s="156"/>
      <c r="AI1384" s="156"/>
      <c r="AJ1384" s="156"/>
      <c r="AK1384" s="156"/>
      <c r="AL1384" s="156"/>
      <c r="AM1384" s="157"/>
      <c r="AN1384" s="158">
        <f t="shared" si="1058"/>
        <v>4000</v>
      </c>
      <c r="AO1384" s="159"/>
      <c r="AP1384" s="160"/>
      <c r="AQ1384" s="161"/>
      <c r="AR1384" s="162"/>
      <c r="AS1384" s="163"/>
      <c r="AT1384" s="164"/>
      <c r="AU1384" s="165"/>
      <c r="AV1384" s="166"/>
      <c r="AW1384" s="167"/>
      <c r="AX1384" s="146"/>
      <c r="AY1384" s="168"/>
    </row>
    <row r="1385" spans="2:51" ht="10.9" hidden="1" customHeight="1" x14ac:dyDescent="0.25">
      <c r="B1385" s="140">
        <v>15</v>
      </c>
      <c r="C1385" s="342" t="s">
        <v>622</v>
      </c>
      <c r="D1385" s="235"/>
      <c r="E1385" s="236"/>
      <c r="F1385" s="236"/>
      <c r="G1385" s="236"/>
      <c r="H1385" s="236"/>
      <c r="I1385" s="236"/>
      <c r="J1385" s="236"/>
      <c r="K1385" s="236"/>
      <c r="L1385" s="236"/>
      <c r="M1385" s="236"/>
      <c r="N1385" s="236">
        <v>195716</v>
      </c>
      <c r="O1385" s="236"/>
      <c r="P1385" s="237"/>
      <c r="Q1385" s="223">
        <f t="shared" si="1054"/>
        <v>195716</v>
      </c>
      <c r="R1385" s="147">
        <f t="shared" si="1055"/>
        <v>21528.76</v>
      </c>
      <c r="S1385" s="147">
        <f t="shared" si="1056"/>
        <v>58.982904109589036</v>
      </c>
      <c r="T1385" s="148">
        <f t="shared" si="1057"/>
        <v>12917.255999999999</v>
      </c>
      <c r="U1385" s="420"/>
      <c r="V1385" s="407"/>
      <c r="W1385" s="236"/>
      <c r="X1385" s="236"/>
      <c r="Y1385" s="408"/>
      <c r="Z1385" s="409"/>
      <c r="AA1385" s="409"/>
      <c r="AB1385" s="410"/>
      <c r="AC1385" s="155"/>
      <c r="AD1385" s="156"/>
      <c r="AE1385" s="156"/>
      <c r="AF1385" s="156"/>
      <c r="AG1385" s="156"/>
      <c r="AH1385" s="156"/>
      <c r="AI1385" s="156"/>
      <c r="AJ1385" s="156"/>
      <c r="AK1385" s="156"/>
      <c r="AL1385" s="156"/>
      <c r="AM1385" s="157"/>
      <c r="AN1385" s="158">
        <f t="shared" si="1058"/>
        <v>4000</v>
      </c>
      <c r="AO1385" s="159"/>
      <c r="AP1385" s="160"/>
      <c r="AQ1385" s="161"/>
      <c r="AR1385" s="162"/>
      <c r="AS1385" s="163"/>
      <c r="AT1385" s="164"/>
      <c r="AU1385" s="165"/>
      <c r="AV1385" s="166"/>
      <c r="AW1385" s="167"/>
      <c r="AX1385" s="146"/>
      <c r="AY1385" s="168"/>
    </row>
    <row r="1386" spans="2:51" ht="10.9" hidden="1" customHeight="1" x14ac:dyDescent="0.25">
      <c r="B1386" s="140">
        <v>16</v>
      </c>
      <c r="C1386" s="342" t="s">
        <v>623</v>
      </c>
      <c r="D1386" s="235"/>
      <c r="E1386" s="236"/>
      <c r="F1386" s="236"/>
      <c r="G1386" s="236"/>
      <c r="H1386" s="236"/>
      <c r="I1386" s="236"/>
      <c r="J1386" s="236"/>
      <c r="K1386" s="236"/>
      <c r="L1386" s="236"/>
      <c r="M1386" s="236"/>
      <c r="N1386" s="236">
        <v>182001</v>
      </c>
      <c r="O1386" s="236"/>
      <c r="P1386" s="237"/>
      <c r="Q1386" s="223">
        <f t="shared" si="1054"/>
        <v>182001</v>
      </c>
      <c r="R1386" s="147">
        <f t="shared" si="1055"/>
        <v>20020.11</v>
      </c>
      <c r="S1386" s="147">
        <f t="shared" si="1056"/>
        <v>54.849616438356165</v>
      </c>
      <c r="T1386" s="148">
        <f t="shared" si="1057"/>
        <v>12012.066000000001</v>
      </c>
      <c r="U1386" s="420"/>
      <c r="V1386" s="407"/>
      <c r="W1386" s="236"/>
      <c r="X1386" s="236"/>
      <c r="Y1386" s="408"/>
      <c r="Z1386" s="409"/>
      <c r="AA1386" s="409"/>
      <c r="AB1386" s="410"/>
      <c r="AC1386" s="155"/>
      <c r="AD1386" s="156"/>
      <c r="AE1386" s="156"/>
      <c r="AF1386" s="156"/>
      <c r="AG1386" s="156"/>
      <c r="AH1386" s="156"/>
      <c r="AI1386" s="156"/>
      <c r="AJ1386" s="156"/>
      <c r="AK1386" s="156"/>
      <c r="AL1386" s="156"/>
      <c r="AM1386" s="157"/>
      <c r="AN1386" s="158">
        <f t="shared" si="1058"/>
        <v>4000</v>
      </c>
      <c r="AO1386" s="159"/>
      <c r="AP1386" s="160"/>
      <c r="AQ1386" s="161"/>
      <c r="AR1386" s="162"/>
      <c r="AS1386" s="163"/>
      <c r="AT1386" s="164"/>
      <c r="AU1386" s="165"/>
      <c r="AV1386" s="166"/>
      <c r="AW1386" s="167"/>
      <c r="AX1386" s="146"/>
      <c r="AY1386" s="168"/>
    </row>
    <row r="1387" spans="2:51" ht="10.9" hidden="1" customHeight="1" x14ac:dyDescent="0.25">
      <c r="B1387" s="140">
        <v>17</v>
      </c>
      <c r="C1387" s="342" t="s">
        <v>624</v>
      </c>
      <c r="D1387" s="235"/>
      <c r="E1387" s="236"/>
      <c r="F1387" s="236"/>
      <c r="G1387" s="236"/>
      <c r="H1387" s="236"/>
      <c r="I1387" s="236"/>
      <c r="J1387" s="236"/>
      <c r="K1387" s="236"/>
      <c r="L1387" s="236"/>
      <c r="M1387" s="236"/>
      <c r="N1387" s="236">
        <v>129893</v>
      </c>
      <c r="O1387" s="236"/>
      <c r="P1387" s="237"/>
      <c r="Q1387" s="223">
        <f t="shared" si="1054"/>
        <v>129893</v>
      </c>
      <c r="R1387" s="147">
        <f t="shared" si="1055"/>
        <v>14288.23</v>
      </c>
      <c r="S1387" s="147">
        <f t="shared" si="1056"/>
        <v>39.145835616438355</v>
      </c>
      <c r="T1387" s="148">
        <f t="shared" si="1057"/>
        <v>8572.9380000000001</v>
      </c>
      <c r="U1387" s="420"/>
      <c r="V1387" s="407"/>
      <c r="W1387" s="236"/>
      <c r="X1387" s="236"/>
      <c r="Y1387" s="408"/>
      <c r="Z1387" s="409"/>
      <c r="AA1387" s="409"/>
      <c r="AB1387" s="410"/>
      <c r="AC1387" s="155"/>
      <c r="AD1387" s="156"/>
      <c r="AE1387" s="156"/>
      <c r="AF1387" s="156"/>
      <c r="AG1387" s="156"/>
      <c r="AH1387" s="156"/>
      <c r="AI1387" s="156"/>
      <c r="AJ1387" s="156"/>
      <c r="AK1387" s="156"/>
      <c r="AL1387" s="156"/>
      <c r="AM1387" s="157"/>
      <c r="AN1387" s="158">
        <f t="shared" si="1058"/>
        <v>4000</v>
      </c>
      <c r="AO1387" s="159"/>
      <c r="AP1387" s="160"/>
      <c r="AQ1387" s="161"/>
      <c r="AR1387" s="162"/>
      <c r="AS1387" s="163"/>
      <c r="AT1387" s="164"/>
      <c r="AU1387" s="165"/>
      <c r="AV1387" s="166"/>
      <c r="AW1387" s="167"/>
      <c r="AX1387" s="146"/>
      <c r="AY1387" s="168"/>
    </row>
    <row r="1388" spans="2:51" ht="10.9" hidden="1" customHeight="1" x14ac:dyDescent="0.25">
      <c r="B1388" s="140">
        <v>18</v>
      </c>
      <c r="C1388" s="342" t="s">
        <v>625</v>
      </c>
      <c r="D1388" s="235"/>
      <c r="E1388" s="236"/>
      <c r="F1388" s="236"/>
      <c r="G1388" s="236"/>
      <c r="H1388" s="236"/>
      <c r="I1388" s="236"/>
      <c r="J1388" s="236"/>
      <c r="K1388" s="236"/>
      <c r="L1388" s="236"/>
      <c r="M1388" s="236"/>
      <c r="N1388" s="236">
        <v>79053</v>
      </c>
      <c r="O1388" s="236"/>
      <c r="P1388" s="237"/>
      <c r="Q1388" s="223">
        <f t="shared" si="1054"/>
        <v>79053</v>
      </c>
      <c r="R1388" s="147">
        <f t="shared" si="1055"/>
        <v>8695.83</v>
      </c>
      <c r="S1388" s="147">
        <f t="shared" si="1056"/>
        <v>23.824191780821916</v>
      </c>
      <c r="T1388" s="148">
        <f t="shared" si="1057"/>
        <v>5217.4979999999996</v>
      </c>
      <c r="U1388" s="420"/>
      <c r="V1388" s="407"/>
      <c r="W1388" s="236"/>
      <c r="X1388" s="236"/>
      <c r="Y1388" s="408"/>
      <c r="Z1388" s="409"/>
      <c r="AA1388" s="409"/>
      <c r="AB1388" s="410"/>
      <c r="AC1388" s="155"/>
      <c r="AD1388" s="156"/>
      <c r="AE1388" s="156"/>
      <c r="AF1388" s="156"/>
      <c r="AG1388" s="156"/>
      <c r="AH1388" s="156"/>
      <c r="AI1388" s="156"/>
      <c r="AJ1388" s="156"/>
      <c r="AK1388" s="156"/>
      <c r="AL1388" s="156"/>
      <c r="AM1388" s="157"/>
      <c r="AN1388" s="158">
        <f t="shared" si="1058"/>
        <v>4000</v>
      </c>
      <c r="AO1388" s="159"/>
      <c r="AP1388" s="160"/>
      <c r="AQ1388" s="161"/>
      <c r="AR1388" s="162"/>
      <c r="AS1388" s="163"/>
      <c r="AT1388" s="164"/>
      <c r="AU1388" s="165"/>
      <c r="AV1388" s="166"/>
      <c r="AW1388" s="167"/>
      <c r="AX1388" s="146"/>
      <c r="AY1388" s="168"/>
    </row>
    <row r="1389" spans="2:51" ht="10.9" hidden="1" customHeight="1" x14ac:dyDescent="0.25">
      <c r="B1389" s="140">
        <v>19</v>
      </c>
      <c r="C1389" s="342" t="s">
        <v>626</v>
      </c>
      <c r="D1389" s="235"/>
      <c r="E1389" s="236"/>
      <c r="F1389" s="236"/>
      <c r="G1389" s="236"/>
      <c r="H1389" s="236"/>
      <c r="I1389" s="236"/>
      <c r="J1389" s="236"/>
      <c r="K1389" s="236"/>
      <c r="L1389" s="236"/>
      <c r="M1389" s="236"/>
      <c r="N1389" s="236">
        <v>153432</v>
      </c>
      <c r="O1389" s="236"/>
      <c r="P1389" s="237"/>
      <c r="Q1389" s="223">
        <f t="shared" si="1054"/>
        <v>153432</v>
      </c>
      <c r="R1389" s="147">
        <f t="shared" si="1055"/>
        <v>16877.52</v>
      </c>
      <c r="S1389" s="147">
        <f t="shared" si="1056"/>
        <v>46.239780821917812</v>
      </c>
      <c r="T1389" s="148">
        <f t="shared" si="1057"/>
        <v>10126.512000000001</v>
      </c>
      <c r="U1389" s="420"/>
      <c r="V1389" s="407"/>
      <c r="W1389" s="236"/>
      <c r="X1389" s="236"/>
      <c r="Y1389" s="408"/>
      <c r="Z1389" s="409"/>
      <c r="AA1389" s="409"/>
      <c r="AB1389" s="410"/>
      <c r="AC1389" s="155"/>
      <c r="AD1389" s="156"/>
      <c r="AE1389" s="156"/>
      <c r="AF1389" s="156"/>
      <c r="AG1389" s="156"/>
      <c r="AH1389" s="156"/>
      <c r="AI1389" s="156"/>
      <c r="AJ1389" s="156"/>
      <c r="AK1389" s="156"/>
      <c r="AL1389" s="156"/>
      <c r="AM1389" s="157"/>
      <c r="AN1389" s="158">
        <f t="shared" si="1058"/>
        <v>4000</v>
      </c>
      <c r="AO1389" s="159"/>
      <c r="AP1389" s="160"/>
      <c r="AQ1389" s="161"/>
      <c r="AR1389" s="162"/>
      <c r="AS1389" s="163"/>
      <c r="AT1389" s="164"/>
      <c r="AU1389" s="165"/>
      <c r="AV1389" s="166"/>
      <c r="AW1389" s="167"/>
      <c r="AX1389" s="146"/>
      <c r="AY1389" s="168"/>
    </row>
    <row r="1390" spans="2:51" ht="10.9" hidden="1" customHeight="1" x14ac:dyDescent="0.25">
      <c r="B1390" s="140">
        <v>20</v>
      </c>
      <c r="C1390" s="342" t="s">
        <v>627</v>
      </c>
      <c r="D1390" s="235"/>
      <c r="E1390" s="236"/>
      <c r="F1390" s="236"/>
      <c r="G1390" s="236"/>
      <c r="H1390" s="236"/>
      <c r="I1390" s="236"/>
      <c r="J1390" s="236"/>
      <c r="K1390" s="236"/>
      <c r="L1390" s="236"/>
      <c r="M1390" s="236"/>
      <c r="N1390" s="236">
        <v>65434</v>
      </c>
      <c r="O1390" s="236"/>
      <c r="P1390" s="237"/>
      <c r="Q1390" s="223">
        <f t="shared" si="1054"/>
        <v>65434</v>
      </c>
      <c r="R1390" s="147">
        <f t="shared" si="1055"/>
        <v>7197.74</v>
      </c>
      <c r="S1390" s="147">
        <f t="shared" si="1056"/>
        <v>19.719835616438356</v>
      </c>
      <c r="T1390" s="148">
        <f t="shared" si="1057"/>
        <v>4318.6439999999993</v>
      </c>
      <c r="U1390" s="420"/>
      <c r="V1390" s="407"/>
      <c r="W1390" s="236"/>
      <c r="X1390" s="236"/>
      <c r="Y1390" s="408"/>
      <c r="Z1390" s="409"/>
      <c r="AA1390" s="409"/>
      <c r="AB1390" s="410"/>
      <c r="AC1390" s="155"/>
      <c r="AD1390" s="156"/>
      <c r="AE1390" s="156"/>
      <c r="AF1390" s="156"/>
      <c r="AG1390" s="156"/>
      <c r="AH1390" s="156"/>
      <c r="AI1390" s="156"/>
      <c r="AJ1390" s="156"/>
      <c r="AK1390" s="156"/>
      <c r="AL1390" s="156"/>
      <c r="AM1390" s="157"/>
      <c r="AN1390" s="158">
        <f t="shared" si="1058"/>
        <v>4000</v>
      </c>
      <c r="AO1390" s="159"/>
      <c r="AP1390" s="160"/>
      <c r="AQ1390" s="161"/>
      <c r="AR1390" s="162"/>
      <c r="AS1390" s="163"/>
      <c r="AT1390" s="164"/>
      <c r="AU1390" s="165"/>
      <c r="AV1390" s="166"/>
      <c r="AW1390" s="167"/>
      <c r="AX1390" s="146"/>
      <c r="AY1390" s="168"/>
    </row>
    <row r="1391" spans="2:51" ht="10.9" hidden="1" customHeight="1" x14ac:dyDescent="0.25">
      <c r="B1391" s="140">
        <v>21</v>
      </c>
      <c r="C1391" s="342" t="s">
        <v>628</v>
      </c>
      <c r="D1391" s="235"/>
      <c r="E1391" s="236"/>
      <c r="F1391" s="236"/>
      <c r="G1391" s="236"/>
      <c r="H1391" s="236"/>
      <c r="I1391" s="236"/>
      <c r="J1391" s="236"/>
      <c r="K1391" s="236"/>
      <c r="L1391" s="236"/>
      <c r="M1391" s="236"/>
      <c r="N1391" s="236">
        <v>93218</v>
      </c>
      <c r="O1391" s="236"/>
      <c r="P1391" s="237"/>
      <c r="Q1391" s="223">
        <f t="shared" si="1054"/>
        <v>93218</v>
      </c>
      <c r="R1391" s="147">
        <f t="shared" si="1055"/>
        <v>10253.98</v>
      </c>
      <c r="S1391" s="147">
        <f t="shared" si="1056"/>
        <v>28.093095890410957</v>
      </c>
      <c r="T1391" s="148">
        <f t="shared" si="1057"/>
        <v>6152.3879999999999</v>
      </c>
      <c r="U1391" s="420"/>
      <c r="V1391" s="407"/>
      <c r="W1391" s="236"/>
      <c r="X1391" s="236"/>
      <c r="Y1391" s="408"/>
      <c r="Z1391" s="409"/>
      <c r="AA1391" s="409"/>
      <c r="AB1391" s="410"/>
      <c r="AC1391" s="155"/>
      <c r="AD1391" s="156"/>
      <c r="AE1391" s="156"/>
      <c r="AF1391" s="156"/>
      <c r="AG1391" s="156"/>
      <c r="AH1391" s="156"/>
      <c r="AI1391" s="156"/>
      <c r="AJ1391" s="156"/>
      <c r="AK1391" s="156"/>
      <c r="AL1391" s="156"/>
      <c r="AM1391" s="157"/>
      <c r="AN1391" s="158">
        <f t="shared" si="1058"/>
        <v>4000</v>
      </c>
      <c r="AO1391" s="159"/>
      <c r="AP1391" s="160"/>
      <c r="AQ1391" s="161"/>
      <c r="AR1391" s="162"/>
      <c r="AS1391" s="163"/>
      <c r="AT1391" s="164"/>
      <c r="AU1391" s="165"/>
      <c r="AV1391" s="166"/>
      <c r="AW1391" s="167"/>
      <c r="AX1391" s="146"/>
      <c r="AY1391" s="168"/>
    </row>
    <row r="1392" spans="2:51" ht="10.9" hidden="1" customHeight="1" x14ac:dyDescent="0.25">
      <c r="B1392" s="140">
        <v>22</v>
      </c>
      <c r="C1392" s="342" t="s">
        <v>629</v>
      </c>
      <c r="D1392" s="235"/>
      <c r="E1392" s="236"/>
      <c r="F1392" s="236"/>
      <c r="G1392" s="236"/>
      <c r="H1392" s="236"/>
      <c r="I1392" s="236"/>
      <c r="J1392" s="236"/>
      <c r="K1392" s="236"/>
      <c r="L1392" s="236"/>
      <c r="M1392" s="236"/>
      <c r="N1392" s="236">
        <v>101148</v>
      </c>
      <c r="O1392" s="236"/>
      <c r="P1392" s="237"/>
      <c r="Q1392" s="223">
        <f t="shared" si="1054"/>
        <v>101148</v>
      </c>
      <c r="R1392" s="147">
        <f t="shared" si="1055"/>
        <v>11126.28</v>
      </c>
      <c r="S1392" s="147">
        <f t="shared" si="1056"/>
        <v>30.482958904109591</v>
      </c>
      <c r="T1392" s="148">
        <f t="shared" si="1057"/>
        <v>6675.768</v>
      </c>
      <c r="U1392" s="420"/>
      <c r="V1392" s="407"/>
      <c r="W1392" s="236"/>
      <c r="X1392" s="236"/>
      <c r="Y1392" s="408"/>
      <c r="Z1392" s="409"/>
      <c r="AA1392" s="409"/>
      <c r="AB1392" s="410"/>
      <c r="AC1392" s="155"/>
      <c r="AD1392" s="156"/>
      <c r="AE1392" s="156"/>
      <c r="AF1392" s="156"/>
      <c r="AG1392" s="156"/>
      <c r="AH1392" s="156"/>
      <c r="AI1392" s="156"/>
      <c r="AJ1392" s="156"/>
      <c r="AK1392" s="156"/>
      <c r="AL1392" s="156"/>
      <c r="AM1392" s="157"/>
      <c r="AN1392" s="158">
        <f t="shared" si="1058"/>
        <v>4000</v>
      </c>
      <c r="AO1392" s="159"/>
      <c r="AP1392" s="160"/>
      <c r="AQ1392" s="161"/>
      <c r="AR1392" s="162"/>
      <c r="AS1392" s="163"/>
      <c r="AT1392" s="164"/>
      <c r="AU1392" s="165"/>
      <c r="AV1392" s="166"/>
      <c r="AW1392" s="167"/>
      <c r="AX1392" s="146"/>
      <c r="AY1392" s="168"/>
    </row>
    <row r="1393" spans="1:51" ht="10.9" hidden="1" customHeight="1" x14ac:dyDescent="0.25">
      <c r="B1393" s="140">
        <v>23</v>
      </c>
      <c r="C1393" s="342" t="s">
        <v>630</v>
      </c>
      <c r="D1393" s="235"/>
      <c r="E1393" s="236"/>
      <c r="F1393" s="236"/>
      <c r="G1393" s="236"/>
      <c r="H1393" s="236"/>
      <c r="I1393" s="236"/>
      <c r="J1393" s="236"/>
      <c r="K1393" s="236"/>
      <c r="L1393" s="236"/>
      <c r="M1393" s="236"/>
      <c r="N1393" s="236">
        <v>32971</v>
      </c>
      <c r="O1393" s="236"/>
      <c r="P1393" s="237"/>
      <c r="Q1393" s="223">
        <f t="shared" si="1054"/>
        <v>32971</v>
      </c>
      <c r="R1393" s="147">
        <f t="shared" si="1055"/>
        <v>3626.81</v>
      </c>
      <c r="S1393" s="147">
        <f t="shared" si="1056"/>
        <v>9.9364657534246579</v>
      </c>
      <c r="T1393" s="148">
        <f t="shared" si="1057"/>
        <v>2176.0859999999998</v>
      </c>
      <c r="U1393" s="420"/>
      <c r="V1393" s="407"/>
      <c r="W1393" s="236"/>
      <c r="X1393" s="236"/>
      <c r="Y1393" s="408"/>
      <c r="Z1393" s="409"/>
      <c r="AA1393" s="409"/>
      <c r="AB1393" s="410"/>
      <c r="AC1393" s="155"/>
      <c r="AD1393" s="156"/>
      <c r="AE1393" s="156"/>
      <c r="AF1393" s="156"/>
      <c r="AG1393" s="156"/>
      <c r="AH1393" s="156"/>
      <c r="AI1393" s="156"/>
      <c r="AJ1393" s="156"/>
      <c r="AK1393" s="156"/>
      <c r="AL1393" s="156"/>
      <c r="AM1393" s="157"/>
      <c r="AN1393" s="158">
        <f t="shared" si="1058"/>
        <v>4000</v>
      </c>
      <c r="AO1393" s="159"/>
      <c r="AP1393" s="160"/>
      <c r="AQ1393" s="161"/>
      <c r="AR1393" s="162"/>
      <c r="AS1393" s="163"/>
      <c r="AT1393" s="164"/>
      <c r="AU1393" s="165"/>
      <c r="AV1393" s="166"/>
      <c r="AW1393" s="167"/>
      <c r="AX1393" s="146"/>
      <c r="AY1393" s="168"/>
    </row>
    <row r="1394" spans="1:51" ht="10.9" hidden="1" customHeight="1" x14ac:dyDescent="0.25">
      <c r="B1394" s="140">
        <v>24</v>
      </c>
      <c r="C1394" s="342" t="s">
        <v>631</v>
      </c>
      <c r="D1394" s="235"/>
      <c r="E1394" s="236"/>
      <c r="F1394" s="236"/>
      <c r="G1394" s="236"/>
      <c r="H1394" s="236"/>
      <c r="I1394" s="236"/>
      <c r="J1394" s="236"/>
      <c r="K1394" s="236"/>
      <c r="L1394" s="236"/>
      <c r="M1394" s="236"/>
      <c r="N1394" s="236">
        <v>15874</v>
      </c>
      <c r="O1394" s="236"/>
      <c r="P1394" s="237"/>
      <c r="Q1394" s="223">
        <f t="shared" si="1054"/>
        <v>15874</v>
      </c>
      <c r="R1394" s="147">
        <f t="shared" si="1055"/>
        <v>1746.14</v>
      </c>
      <c r="S1394" s="147">
        <f t="shared" si="1056"/>
        <v>4.7839452054794522</v>
      </c>
      <c r="T1394" s="148">
        <f t="shared" si="1057"/>
        <v>1047.684</v>
      </c>
      <c r="U1394" s="420"/>
      <c r="V1394" s="407"/>
      <c r="W1394" s="236"/>
      <c r="X1394" s="236"/>
      <c r="Y1394" s="408"/>
      <c r="Z1394" s="409"/>
      <c r="AA1394" s="409"/>
      <c r="AB1394" s="410"/>
      <c r="AC1394" s="155"/>
      <c r="AD1394" s="156"/>
      <c r="AE1394" s="156"/>
      <c r="AF1394" s="156"/>
      <c r="AG1394" s="156"/>
      <c r="AH1394" s="156"/>
      <c r="AI1394" s="156"/>
      <c r="AJ1394" s="156"/>
      <c r="AK1394" s="156"/>
      <c r="AL1394" s="156"/>
      <c r="AM1394" s="157"/>
      <c r="AN1394" s="158">
        <f t="shared" si="1058"/>
        <v>4000</v>
      </c>
      <c r="AO1394" s="159"/>
      <c r="AP1394" s="160"/>
      <c r="AQ1394" s="161"/>
      <c r="AR1394" s="162"/>
      <c r="AS1394" s="163"/>
      <c r="AT1394" s="164"/>
      <c r="AU1394" s="165"/>
      <c r="AV1394" s="166"/>
      <c r="AW1394" s="167"/>
      <c r="AX1394" s="146"/>
      <c r="AY1394" s="168"/>
    </row>
    <row r="1395" spans="1:51" ht="10.9" hidden="1" customHeight="1" x14ac:dyDescent="0.25">
      <c r="B1395" s="140">
        <v>25</v>
      </c>
      <c r="C1395" s="342" t="s">
        <v>632</v>
      </c>
      <c r="D1395" s="235"/>
      <c r="E1395" s="236"/>
      <c r="F1395" s="236"/>
      <c r="G1395" s="236"/>
      <c r="H1395" s="236"/>
      <c r="I1395" s="236"/>
      <c r="J1395" s="236"/>
      <c r="K1395" s="236"/>
      <c r="L1395" s="236"/>
      <c r="M1395" s="236"/>
      <c r="N1395" s="236">
        <v>114427</v>
      </c>
      <c r="O1395" s="236"/>
      <c r="P1395" s="237"/>
      <c r="Q1395" s="223">
        <f t="shared" si="1054"/>
        <v>114427</v>
      </c>
      <c r="R1395" s="147">
        <f t="shared" si="1055"/>
        <v>12586.97</v>
      </c>
      <c r="S1395" s="147">
        <f t="shared" si="1056"/>
        <v>34.484849315068494</v>
      </c>
      <c r="T1395" s="148">
        <f t="shared" si="1057"/>
        <v>7552.1820000000007</v>
      </c>
      <c r="U1395" s="420"/>
      <c r="V1395" s="407"/>
      <c r="W1395" s="236"/>
      <c r="X1395" s="236"/>
      <c r="Y1395" s="408"/>
      <c r="Z1395" s="409"/>
      <c r="AA1395" s="409"/>
      <c r="AB1395" s="410"/>
      <c r="AC1395" s="155"/>
      <c r="AD1395" s="156"/>
      <c r="AE1395" s="156"/>
      <c r="AF1395" s="156"/>
      <c r="AG1395" s="156"/>
      <c r="AH1395" s="156"/>
      <c r="AI1395" s="156"/>
      <c r="AJ1395" s="156"/>
      <c r="AK1395" s="156"/>
      <c r="AL1395" s="156"/>
      <c r="AM1395" s="157"/>
      <c r="AN1395" s="158">
        <f t="shared" si="1058"/>
        <v>4000</v>
      </c>
      <c r="AO1395" s="159"/>
      <c r="AP1395" s="160"/>
      <c r="AQ1395" s="161"/>
      <c r="AR1395" s="162"/>
      <c r="AS1395" s="163"/>
      <c r="AT1395" s="164"/>
      <c r="AU1395" s="165"/>
      <c r="AV1395" s="166"/>
      <c r="AW1395" s="167"/>
      <c r="AX1395" s="146"/>
      <c r="AY1395" s="168"/>
    </row>
    <row r="1396" spans="1:51" ht="10.9" hidden="1" customHeight="1" x14ac:dyDescent="0.25">
      <c r="B1396" s="140">
        <v>26</v>
      </c>
      <c r="C1396" s="342" t="s">
        <v>633</v>
      </c>
      <c r="D1396" s="235"/>
      <c r="E1396" s="236"/>
      <c r="F1396" s="236"/>
      <c r="G1396" s="236"/>
      <c r="H1396" s="236"/>
      <c r="I1396" s="236"/>
      <c r="J1396" s="236"/>
      <c r="K1396" s="236"/>
      <c r="L1396" s="236"/>
      <c r="M1396" s="236"/>
      <c r="N1396" s="236">
        <v>24639</v>
      </c>
      <c r="O1396" s="236"/>
      <c r="P1396" s="237"/>
      <c r="Q1396" s="223">
        <f t="shared" si="1054"/>
        <v>24639</v>
      </c>
      <c r="R1396" s="147">
        <f t="shared" si="1055"/>
        <v>2710.29</v>
      </c>
      <c r="S1396" s="147">
        <f t="shared" si="1056"/>
        <v>7.4254520547945209</v>
      </c>
      <c r="T1396" s="148">
        <f t="shared" si="1057"/>
        <v>1626.174</v>
      </c>
      <c r="U1396" s="420"/>
      <c r="V1396" s="407"/>
      <c r="W1396" s="236"/>
      <c r="X1396" s="236"/>
      <c r="Y1396" s="408"/>
      <c r="Z1396" s="409"/>
      <c r="AA1396" s="409"/>
      <c r="AB1396" s="410"/>
      <c r="AC1396" s="155"/>
      <c r="AD1396" s="156"/>
      <c r="AE1396" s="156"/>
      <c r="AF1396" s="156"/>
      <c r="AG1396" s="156"/>
      <c r="AH1396" s="156"/>
      <c r="AI1396" s="156"/>
      <c r="AJ1396" s="156"/>
      <c r="AK1396" s="156"/>
      <c r="AL1396" s="156"/>
      <c r="AM1396" s="157"/>
      <c r="AN1396" s="158">
        <f t="shared" si="1058"/>
        <v>4000</v>
      </c>
      <c r="AO1396" s="159"/>
      <c r="AP1396" s="160"/>
      <c r="AQ1396" s="161"/>
      <c r="AR1396" s="162"/>
      <c r="AS1396" s="163"/>
      <c r="AT1396" s="164"/>
      <c r="AU1396" s="165"/>
      <c r="AV1396" s="166"/>
      <c r="AW1396" s="167"/>
      <c r="AX1396" s="146"/>
      <c r="AY1396" s="168"/>
    </row>
    <row r="1397" spans="1:51" ht="10.9" hidden="1" customHeight="1" x14ac:dyDescent="0.25">
      <c r="B1397" s="140">
        <v>27</v>
      </c>
      <c r="C1397" s="342" t="s">
        <v>634</v>
      </c>
      <c r="D1397" s="235"/>
      <c r="E1397" s="236"/>
      <c r="F1397" s="236"/>
      <c r="G1397" s="236"/>
      <c r="H1397" s="236"/>
      <c r="I1397" s="236"/>
      <c r="J1397" s="236"/>
      <c r="K1397" s="236"/>
      <c r="L1397" s="236"/>
      <c r="M1397" s="236"/>
      <c r="N1397" s="236">
        <v>164512</v>
      </c>
      <c r="O1397" s="236"/>
      <c r="P1397" s="237"/>
      <c r="Q1397" s="223">
        <f>MAX(D1397:P1397)</f>
        <v>164512</v>
      </c>
      <c r="R1397" s="147">
        <f t="shared" si="1055"/>
        <v>18096.32</v>
      </c>
      <c r="S1397" s="147">
        <f t="shared" si="1056"/>
        <v>49.578958904109591</v>
      </c>
      <c r="T1397" s="148">
        <f t="shared" si="1057"/>
        <v>10857.791999999999</v>
      </c>
      <c r="U1397" s="420"/>
      <c r="V1397" s="407"/>
      <c r="W1397" s="236"/>
      <c r="X1397" s="236"/>
      <c r="Y1397" s="408"/>
      <c r="Z1397" s="409"/>
      <c r="AA1397" s="409"/>
      <c r="AB1397" s="410"/>
      <c r="AC1397" s="155"/>
      <c r="AD1397" s="156"/>
      <c r="AE1397" s="156"/>
      <c r="AF1397" s="156"/>
      <c r="AG1397" s="156"/>
      <c r="AH1397" s="156"/>
      <c r="AI1397" s="156"/>
      <c r="AJ1397" s="156"/>
      <c r="AK1397" s="156"/>
      <c r="AL1397" s="156"/>
      <c r="AM1397" s="157"/>
      <c r="AN1397" s="158">
        <f t="shared" si="1058"/>
        <v>4000</v>
      </c>
      <c r="AO1397" s="159"/>
      <c r="AP1397" s="160"/>
      <c r="AQ1397" s="161"/>
      <c r="AR1397" s="162"/>
      <c r="AS1397" s="163"/>
      <c r="AT1397" s="164"/>
      <c r="AU1397" s="165"/>
      <c r="AV1397" s="166"/>
      <c r="AW1397" s="167"/>
      <c r="AX1397" s="146"/>
      <c r="AY1397" s="168"/>
    </row>
    <row r="1398" spans="1:51" ht="10.9" hidden="1" customHeight="1" x14ac:dyDescent="0.25">
      <c r="B1398" s="140">
        <v>28</v>
      </c>
      <c r="C1398" s="342" t="s">
        <v>635</v>
      </c>
      <c r="D1398" s="235"/>
      <c r="E1398" s="236"/>
      <c r="F1398" s="236"/>
      <c r="G1398" s="236"/>
      <c r="H1398" s="236"/>
      <c r="I1398" s="236"/>
      <c r="J1398" s="236"/>
      <c r="K1398" s="236"/>
      <c r="L1398" s="236"/>
      <c r="M1398" s="236"/>
      <c r="N1398" s="236">
        <v>50763</v>
      </c>
      <c r="O1398" s="236"/>
      <c r="P1398" s="237"/>
      <c r="Q1398" s="223">
        <f>MAX(D1398:P1398)</f>
        <v>50763</v>
      </c>
      <c r="R1398" s="147">
        <f t="shared" si="1055"/>
        <v>5583.93</v>
      </c>
      <c r="S1398" s="147">
        <f t="shared" si="1056"/>
        <v>15.298438356164384</v>
      </c>
      <c r="T1398" s="148">
        <f t="shared" si="1057"/>
        <v>3350.3580000000002</v>
      </c>
      <c r="U1398" s="420"/>
      <c r="V1398" s="407"/>
      <c r="W1398" s="236"/>
      <c r="X1398" s="236"/>
      <c r="Y1398" s="408"/>
      <c r="Z1398" s="409"/>
      <c r="AA1398" s="409"/>
      <c r="AB1398" s="410"/>
      <c r="AC1398" s="155"/>
      <c r="AD1398" s="156"/>
      <c r="AE1398" s="156"/>
      <c r="AF1398" s="156"/>
      <c r="AG1398" s="156"/>
      <c r="AH1398" s="156"/>
      <c r="AI1398" s="156"/>
      <c r="AJ1398" s="156"/>
      <c r="AK1398" s="156"/>
      <c r="AL1398" s="156"/>
      <c r="AM1398" s="157"/>
      <c r="AN1398" s="158">
        <f t="shared" si="1058"/>
        <v>4000</v>
      </c>
      <c r="AO1398" s="159"/>
      <c r="AP1398" s="160"/>
      <c r="AQ1398" s="161"/>
      <c r="AR1398" s="162"/>
      <c r="AS1398" s="163"/>
      <c r="AT1398" s="164"/>
      <c r="AU1398" s="165"/>
      <c r="AV1398" s="166"/>
      <c r="AW1398" s="167"/>
      <c r="AX1398" s="146"/>
      <c r="AY1398" s="168"/>
    </row>
    <row r="1399" spans="1:51" ht="10.9" hidden="1" customHeight="1" x14ac:dyDescent="0.25">
      <c r="B1399" s="140">
        <v>29</v>
      </c>
      <c r="C1399" s="342" t="s">
        <v>636</v>
      </c>
      <c r="D1399" s="235"/>
      <c r="E1399" s="236"/>
      <c r="F1399" s="236"/>
      <c r="G1399" s="236"/>
      <c r="H1399" s="236"/>
      <c r="I1399" s="236"/>
      <c r="J1399" s="236"/>
      <c r="K1399" s="236"/>
      <c r="L1399" s="236"/>
      <c r="M1399" s="236"/>
      <c r="N1399" s="236">
        <v>256705</v>
      </c>
      <c r="O1399" s="236"/>
      <c r="P1399" s="237"/>
      <c r="Q1399" s="223">
        <f>MAX(D1399:P1399)</f>
        <v>256705</v>
      </c>
      <c r="R1399" s="147">
        <f t="shared" si="1055"/>
        <v>28237.55</v>
      </c>
      <c r="S1399" s="147">
        <f t="shared" si="1056"/>
        <v>77.363150684931512</v>
      </c>
      <c r="T1399" s="148">
        <f t="shared" si="1057"/>
        <v>16942.530000000002</v>
      </c>
      <c r="U1399" s="420"/>
      <c r="V1399" s="407"/>
      <c r="W1399" s="236"/>
      <c r="X1399" s="236"/>
      <c r="Y1399" s="408"/>
      <c r="Z1399" s="409"/>
      <c r="AA1399" s="409"/>
      <c r="AB1399" s="410"/>
      <c r="AC1399" s="155"/>
      <c r="AD1399" s="156"/>
      <c r="AE1399" s="156"/>
      <c r="AF1399" s="156"/>
      <c r="AG1399" s="156"/>
      <c r="AH1399" s="156"/>
      <c r="AI1399" s="156"/>
      <c r="AJ1399" s="156"/>
      <c r="AK1399" s="156"/>
      <c r="AL1399" s="156"/>
      <c r="AM1399" s="157"/>
      <c r="AN1399" s="158">
        <f t="shared" si="1058"/>
        <v>4000</v>
      </c>
      <c r="AO1399" s="159"/>
      <c r="AP1399" s="160"/>
      <c r="AQ1399" s="161"/>
      <c r="AR1399" s="162"/>
      <c r="AS1399" s="163"/>
      <c r="AT1399" s="164"/>
      <c r="AU1399" s="165"/>
      <c r="AV1399" s="166"/>
      <c r="AW1399" s="167"/>
      <c r="AX1399" s="146"/>
      <c r="AY1399" s="168"/>
    </row>
    <row r="1400" spans="1:51" s="263" customFormat="1" ht="17.25" hidden="1" customHeight="1" x14ac:dyDescent="0.25">
      <c r="A1400" s="173"/>
      <c r="B1400" s="365"/>
      <c r="C1400" s="352" t="s">
        <v>637</v>
      </c>
      <c r="D1400" s="240">
        <f>SUM(D1371:D1399)</f>
        <v>0</v>
      </c>
      <c r="E1400" s="240">
        <f t="shared" ref="E1400:P1400" si="1059">SUM(E1371:E1399)</f>
        <v>0</v>
      </c>
      <c r="F1400" s="240">
        <f t="shared" si="1059"/>
        <v>0</v>
      </c>
      <c r="G1400" s="240">
        <f t="shared" si="1059"/>
        <v>0</v>
      </c>
      <c r="H1400" s="240">
        <f t="shared" si="1059"/>
        <v>0</v>
      </c>
      <c r="I1400" s="240">
        <f t="shared" si="1059"/>
        <v>0</v>
      </c>
      <c r="J1400" s="240">
        <f t="shared" si="1059"/>
        <v>0</v>
      </c>
      <c r="K1400" s="240">
        <f t="shared" si="1059"/>
        <v>0</v>
      </c>
      <c r="L1400" s="240">
        <f t="shared" si="1059"/>
        <v>0</v>
      </c>
      <c r="M1400" s="240">
        <f t="shared" si="1059"/>
        <v>0</v>
      </c>
      <c r="N1400" s="240">
        <f t="shared" si="1059"/>
        <v>2832381</v>
      </c>
      <c r="O1400" s="240">
        <f t="shared" si="1059"/>
        <v>0</v>
      </c>
      <c r="P1400" s="240">
        <f t="shared" si="1059"/>
        <v>0</v>
      </c>
      <c r="Q1400" s="157">
        <f>SUM(Q1371:Q1399)</f>
        <v>2832381</v>
      </c>
      <c r="R1400" s="157">
        <f>SUM(R1371:R1399)</f>
        <v>311561.90999999997</v>
      </c>
      <c r="S1400" s="157">
        <f>SUM(S1371:S1399)</f>
        <v>853.59427397260276</v>
      </c>
      <c r="T1400" s="157">
        <f>SUM(T1371:T1399)</f>
        <v>186937.14600000001</v>
      </c>
      <c r="U1400" s="157">
        <f t="shared" ref="U1400:AX1400" si="1060">SUM(U1371:U1399)</f>
        <v>0</v>
      </c>
      <c r="V1400" s="157">
        <f t="shared" si="1060"/>
        <v>0</v>
      </c>
      <c r="W1400" s="157">
        <f t="shared" si="1060"/>
        <v>0</v>
      </c>
      <c r="X1400" s="157">
        <f t="shared" si="1060"/>
        <v>0</v>
      </c>
      <c r="Y1400" s="157">
        <f t="shared" si="1060"/>
        <v>0</v>
      </c>
      <c r="Z1400" s="157">
        <f t="shared" si="1060"/>
        <v>0</v>
      </c>
      <c r="AA1400" s="157">
        <f t="shared" si="1060"/>
        <v>0</v>
      </c>
      <c r="AB1400" s="157">
        <f t="shared" si="1060"/>
        <v>0</v>
      </c>
      <c r="AC1400" s="157">
        <f t="shared" si="1060"/>
        <v>0</v>
      </c>
      <c r="AD1400" s="157">
        <f t="shared" si="1060"/>
        <v>0</v>
      </c>
      <c r="AE1400" s="157">
        <f t="shared" si="1060"/>
        <v>0</v>
      </c>
      <c r="AF1400" s="157">
        <f t="shared" si="1060"/>
        <v>0</v>
      </c>
      <c r="AG1400" s="157">
        <f t="shared" si="1060"/>
        <v>0</v>
      </c>
      <c r="AH1400" s="157">
        <f t="shared" si="1060"/>
        <v>0</v>
      </c>
      <c r="AI1400" s="157">
        <f t="shared" si="1060"/>
        <v>0</v>
      </c>
      <c r="AJ1400" s="157">
        <f t="shared" si="1060"/>
        <v>0</v>
      </c>
      <c r="AK1400" s="157">
        <f t="shared" si="1060"/>
        <v>0</v>
      </c>
      <c r="AL1400" s="157">
        <f t="shared" si="1060"/>
        <v>0</v>
      </c>
      <c r="AM1400" s="157">
        <f t="shared" si="1060"/>
        <v>0</v>
      </c>
      <c r="AN1400" s="157"/>
      <c r="AO1400" s="157"/>
      <c r="AP1400" s="157">
        <f t="shared" si="1060"/>
        <v>0</v>
      </c>
      <c r="AQ1400" s="157">
        <f t="shared" si="1060"/>
        <v>0</v>
      </c>
      <c r="AR1400" s="157">
        <f t="shared" si="1060"/>
        <v>0</v>
      </c>
      <c r="AS1400" s="157">
        <f t="shared" si="1060"/>
        <v>0</v>
      </c>
      <c r="AT1400" s="157">
        <f t="shared" si="1060"/>
        <v>0</v>
      </c>
      <c r="AU1400" s="157">
        <f t="shared" si="1060"/>
        <v>0</v>
      </c>
      <c r="AV1400" s="157">
        <f t="shared" si="1060"/>
        <v>0</v>
      </c>
      <c r="AW1400" s="157">
        <f t="shared" si="1060"/>
        <v>0</v>
      </c>
      <c r="AX1400" s="157">
        <f t="shared" si="1060"/>
        <v>0</v>
      </c>
      <c r="AY1400" s="189"/>
    </row>
    <row r="1401" spans="1:51" s="139" customFormat="1" ht="10.9" hidden="1" customHeight="1" x14ac:dyDescent="0.25">
      <c r="B1401" s="247"/>
      <c r="C1401" s="152"/>
      <c r="D1401" s="247"/>
      <c r="E1401" s="151"/>
      <c r="F1401" s="151"/>
      <c r="G1401" s="151"/>
      <c r="H1401" s="151"/>
      <c r="I1401" s="151"/>
      <c r="J1401" s="151"/>
      <c r="K1401" s="151"/>
      <c r="L1401" s="151"/>
      <c r="M1401" s="151"/>
      <c r="N1401" s="151"/>
      <c r="O1401" s="151"/>
      <c r="P1401" s="248"/>
      <c r="Q1401" s="249"/>
      <c r="R1401" s="250"/>
      <c r="S1401" s="250"/>
      <c r="T1401" s="251"/>
      <c r="U1401" s="199"/>
      <c r="V1401" s="179"/>
      <c r="W1401" s="249"/>
      <c r="X1401" s="249"/>
      <c r="Y1401" s="152"/>
      <c r="Z1401" s="153"/>
      <c r="AA1401" s="153"/>
      <c r="AB1401" s="154"/>
      <c r="AC1401" s="247"/>
      <c r="AD1401" s="252"/>
      <c r="AE1401" s="252"/>
      <c r="AF1401" s="252"/>
      <c r="AG1401" s="252"/>
      <c r="AH1401" s="252"/>
      <c r="AI1401" s="252"/>
      <c r="AJ1401" s="252"/>
      <c r="AK1401" s="252"/>
      <c r="AL1401" s="252"/>
      <c r="AM1401" s="214"/>
      <c r="AN1401" s="203"/>
      <c r="AO1401" s="204"/>
      <c r="AP1401" s="203"/>
      <c r="AQ1401" s="205"/>
      <c r="AR1401" s="206"/>
      <c r="AS1401" s="253"/>
      <c r="AT1401" s="254"/>
      <c r="AU1401" s="255"/>
      <c r="AV1401" s="256"/>
      <c r="AW1401" s="257"/>
      <c r="AX1401" s="214"/>
      <c r="AY1401" s="212"/>
    </row>
    <row r="1402" spans="1:51" s="289" customFormat="1" ht="20.85" hidden="1" customHeight="1" x14ac:dyDescent="0.25">
      <c r="A1402" s="269"/>
      <c r="B1402" s="272"/>
      <c r="C1402" s="356" t="s">
        <v>637</v>
      </c>
      <c r="D1402" s="272">
        <f>D1368+D1400</f>
        <v>0</v>
      </c>
      <c r="E1402" s="272">
        <f t="shared" ref="E1402:AX1402" si="1061">E1368+E1400</f>
        <v>0</v>
      </c>
      <c r="F1402" s="272">
        <f t="shared" si="1061"/>
        <v>0</v>
      </c>
      <c r="G1402" s="272">
        <f t="shared" si="1061"/>
        <v>0</v>
      </c>
      <c r="H1402" s="272">
        <f t="shared" si="1061"/>
        <v>0</v>
      </c>
      <c r="I1402" s="272">
        <f t="shared" si="1061"/>
        <v>0</v>
      </c>
      <c r="J1402" s="272">
        <f t="shared" si="1061"/>
        <v>0</v>
      </c>
      <c r="K1402" s="272">
        <f t="shared" si="1061"/>
        <v>0</v>
      </c>
      <c r="L1402" s="272">
        <f t="shared" si="1061"/>
        <v>729962</v>
      </c>
      <c r="M1402" s="272">
        <f t="shared" si="1061"/>
        <v>743860</v>
      </c>
      <c r="N1402" s="272">
        <f t="shared" si="1061"/>
        <v>3592803</v>
      </c>
      <c r="O1402" s="272">
        <f t="shared" si="1061"/>
        <v>789013</v>
      </c>
      <c r="P1402" s="272">
        <f t="shared" si="1061"/>
        <v>0</v>
      </c>
      <c r="Q1402" s="272">
        <f t="shared" si="1061"/>
        <v>3621394</v>
      </c>
      <c r="R1402" s="272">
        <f t="shared" si="1061"/>
        <v>398353.33999999997</v>
      </c>
      <c r="S1402" s="272">
        <f t="shared" si="1061"/>
        <v>1091.3790136986302</v>
      </c>
      <c r="T1402" s="272">
        <f t="shared" si="1061"/>
        <v>239012.00400000002</v>
      </c>
      <c r="U1402" s="272">
        <f t="shared" si="1061"/>
        <v>0</v>
      </c>
      <c r="V1402" s="272">
        <f t="shared" si="1061"/>
        <v>10</v>
      </c>
      <c r="W1402" s="272">
        <f t="shared" si="1061"/>
        <v>10493.75</v>
      </c>
      <c r="X1402" s="272">
        <f t="shared" si="1061"/>
        <v>0</v>
      </c>
      <c r="Y1402" s="272">
        <f t="shared" si="1061"/>
        <v>0</v>
      </c>
      <c r="Z1402" s="272">
        <f t="shared" si="1061"/>
        <v>0</v>
      </c>
      <c r="AA1402" s="272">
        <f t="shared" si="1061"/>
        <v>0</v>
      </c>
      <c r="AB1402" s="272">
        <f t="shared" si="1061"/>
        <v>0</v>
      </c>
      <c r="AC1402" s="272">
        <f t="shared" si="1061"/>
        <v>5456.75</v>
      </c>
      <c r="AD1402" s="272">
        <f t="shared" si="1061"/>
        <v>2623.4375</v>
      </c>
      <c r="AE1402" s="272">
        <f t="shared" si="1061"/>
        <v>944.4375</v>
      </c>
      <c r="AF1402" s="272">
        <f t="shared" si="1061"/>
        <v>524.6875</v>
      </c>
      <c r="AG1402" s="272">
        <f t="shared" si="1061"/>
        <v>314.8125</v>
      </c>
      <c r="AH1402" s="272">
        <f t="shared" si="1061"/>
        <v>104.9375</v>
      </c>
      <c r="AI1402" s="272">
        <f t="shared" si="1061"/>
        <v>209.875</v>
      </c>
      <c r="AJ1402" s="272">
        <f t="shared" si="1061"/>
        <v>104.9375</v>
      </c>
      <c r="AK1402" s="272">
        <f t="shared" si="1061"/>
        <v>419.75</v>
      </c>
      <c r="AL1402" s="272">
        <f t="shared" si="1061"/>
        <v>104.9375</v>
      </c>
      <c r="AM1402" s="272">
        <f t="shared" si="1061"/>
        <v>4722.1875</v>
      </c>
      <c r="AN1402" s="272">
        <f t="shared" si="1061"/>
        <v>0</v>
      </c>
      <c r="AO1402" s="272">
        <f t="shared" si="1061"/>
        <v>0</v>
      </c>
      <c r="AP1402" s="272">
        <f t="shared" si="1061"/>
        <v>79083418.5</v>
      </c>
      <c r="AQ1402" s="272">
        <f t="shared" si="1061"/>
        <v>21967.618007409299</v>
      </c>
      <c r="AR1402" s="272">
        <f t="shared" si="1061"/>
        <v>4393.5236014818602</v>
      </c>
      <c r="AS1402" s="272">
        <f t="shared" si="1061"/>
        <v>0</v>
      </c>
      <c r="AT1402" s="272">
        <f t="shared" si="1061"/>
        <v>0</v>
      </c>
      <c r="AU1402" s="272">
        <f t="shared" si="1061"/>
        <v>0</v>
      </c>
      <c r="AV1402" s="272">
        <f t="shared" si="1061"/>
        <v>0.62692973765437499</v>
      </c>
      <c r="AW1402" s="272">
        <f t="shared" si="1061"/>
        <v>0</v>
      </c>
      <c r="AX1402" s="272">
        <f t="shared" si="1061"/>
        <v>0.62692973765437499</v>
      </c>
      <c r="AY1402" s="288"/>
    </row>
    <row r="1403" spans="1:51" s="139" customFormat="1" ht="10.9" hidden="1" customHeight="1" x14ac:dyDescent="0.25">
      <c r="Q1403" s="310"/>
      <c r="R1403" s="310"/>
      <c r="S1403" s="310"/>
      <c r="T1403" s="310"/>
      <c r="U1403" s="311"/>
      <c r="V1403" s="312"/>
      <c r="W1403" s="310"/>
      <c r="X1403" s="310"/>
      <c r="Z1403" s="86"/>
      <c r="AA1403" s="86"/>
      <c r="AB1403" s="313"/>
      <c r="AD1403" s="314"/>
      <c r="AE1403" s="314"/>
      <c r="AF1403" s="314"/>
      <c r="AG1403" s="314"/>
      <c r="AH1403" s="314"/>
      <c r="AI1403" s="314"/>
      <c r="AJ1403" s="314"/>
      <c r="AK1403" s="314"/>
      <c r="AL1403" s="314"/>
      <c r="AM1403" s="315"/>
      <c r="AN1403" s="310"/>
      <c r="AO1403" s="316"/>
      <c r="AP1403" s="310"/>
      <c r="AQ1403" s="317"/>
      <c r="AR1403" s="317"/>
      <c r="AS1403" s="318"/>
      <c r="AT1403" s="318"/>
      <c r="AU1403" s="319"/>
      <c r="AV1403" s="310"/>
      <c r="AW1403" s="310"/>
      <c r="AX1403" s="310"/>
      <c r="AY1403" s="310"/>
    </row>
    <row r="1404" spans="1:51" s="289" customFormat="1" ht="32.25" hidden="1" customHeight="1" thickBot="1" x14ac:dyDescent="0.3">
      <c r="A1404" s="269"/>
      <c r="B1404" s="272"/>
      <c r="C1404" s="366" t="s">
        <v>638</v>
      </c>
      <c r="D1404" s="367">
        <f>D928+D1000+D1174+D1218+D1319+D1349+D1402</f>
        <v>830184</v>
      </c>
      <c r="E1404" s="367">
        <f>E928+E1000+E1174+E1218+E1319+E1349+E1402</f>
        <v>0</v>
      </c>
      <c r="F1404" s="367">
        <f>F928+F1000+F1174+F1218+F1319+F1349+F1402</f>
        <v>0</v>
      </c>
      <c r="G1404" s="367">
        <f>G928+G1000+G1174+G1218+G1319+G1349+G1402</f>
        <v>0</v>
      </c>
      <c r="H1404" s="367">
        <f>H848+H921+H1174+H1218+H1319+H1349+H1402</f>
        <v>0</v>
      </c>
      <c r="I1404" s="367">
        <f t="shared" ref="I1404:P1404" si="1062">I848+I921+I1174+I1218+I1319+I1349+I1402</f>
        <v>35835204</v>
      </c>
      <c r="J1404" s="367">
        <f t="shared" si="1062"/>
        <v>36914545</v>
      </c>
      <c r="K1404" s="367">
        <f t="shared" si="1062"/>
        <v>41583593</v>
      </c>
      <c r="L1404" s="367">
        <f t="shared" si="1062"/>
        <v>43506266</v>
      </c>
      <c r="M1404" s="367">
        <f t="shared" si="1062"/>
        <v>45609988</v>
      </c>
      <c r="N1404" s="367">
        <f t="shared" si="1062"/>
        <v>82964203</v>
      </c>
      <c r="O1404" s="367">
        <f t="shared" si="1062"/>
        <v>164124842</v>
      </c>
      <c r="P1404" s="367">
        <f t="shared" si="1062"/>
        <v>2671903</v>
      </c>
      <c r="Q1404" s="367">
        <f>Q848+Q921+Q1174+Q1218+Q1319+Q1349+Q1402</f>
        <v>244354585</v>
      </c>
      <c r="R1404" s="367">
        <f>R848+R921+R1174+R1218+R1319+R1349+R1402</f>
        <v>47229000.57</v>
      </c>
      <c r="S1404" s="367">
        <f>S848+S921+S1174+S1218+S1319+S1349+S1402</f>
        <v>8192155.0958630135</v>
      </c>
      <c r="T1404" s="367">
        <f>T848+T921+T1174+T1218+T1319+T1349+T1402</f>
        <v>39225556.947800003</v>
      </c>
      <c r="U1404" s="368">
        <f t="shared" ref="U1404:AX1404" si="1063">U848+U921+U1174+U1218+U1319+U1349+U1402</f>
        <v>0</v>
      </c>
      <c r="V1404" s="368">
        <f t="shared" si="1063"/>
        <v>171.5</v>
      </c>
      <c r="W1404" s="368">
        <f>W848+W921+W1174+W1218+W1319+W1349+W1402</f>
        <v>8405072.8160073049</v>
      </c>
      <c r="X1404" s="368">
        <f t="shared" si="1063"/>
        <v>0</v>
      </c>
      <c r="Y1404" s="368">
        <f t="shared" si="1063"/>
        <v>0</v>
      </c>
      <c r="Z1404" s="368">
        <f t="shared" si="1063"/>
        <v>0</v>
      </c>
      <c r="AA1404" s="368">
        <f t="shared" si="1063"/>
        <v>0.25</v>
      </c>
      <c r="AB1404" s="368">
        <f t="shared" si="1063"/>
        <v>0</v>
      </c>
      <c r="AC1404" s="368">
        <f>AC848+AC921+AC1174+AC1218+AC1319+AC1349+AC1402</f>
        <v>4480039.3143237997</v>
      </c>
      <c r="AD1404" s="368">
        <f t="shared" si="1063"/>
        <v>1963051.8290018265</v>
      </c>
      <c r="AE1404" s="368">
        <f t="shared" si="1063"/>
        <v>759049.65031565749</v>
      </c>
      <c r="AF1404" s="368">
        <f t="shared" si="1063"/>
        <v>410508.14080036531</v>
      </c>
      <c r="AG1404" s="368">
        <f t="shared" si="1063"/>
        <v>241191.23448021917</v>
      </c>
      <c r="AH1404" s="368">
        <f t="shared" si="1063"/>
        <v>97442.578160073055</v>
      </c>
      <c r="AI1404" s="368">
        <f t="shared" si="1063"/>
        <v>155437.78132014611</v>
      </c>
      <c r="AJ1404" s="368">
        <f t="shared" si="1063"/>
        <v>97442.578160073055</v>
      </c>
      <c r="AK1404" s="368">
        <f t="shared" si="1063"/>
        <v>313065.56264029228</v>
      </c>
      <c r="AL1404" s="368">
        <f t="shared" si="1063"/>
        <v>160596.70316007306</v>
      </c>
      <c r="AM1404" s="368">
        <f>AM848+AM921+AM1174+AM1218+AM1319+AM1349+AM1402</f>
        <v>3626681.2140782876</v>
      </c>
      <c r="AN1404" s="368">
        <f t="shared" si="1063"/>
        <v>0</v>
      </c>
      <c r="AO1404" s="368">
        <f t="shared" si="1063"/>
        <v>2.1999999999999997</v>
      </c>
      <c r="AP1404" s="368">
        <f>AP848+AP921+AP1174+AP1218+AP1319+AP1349+AP1402</f>
        <v>62691606042.811905</v>
      </c>
      <c r="AQ1404" s="368">
        <f t="shared" si="1063"/>
        <v>17414336.405038994</v>
      </c>
      <c r="AR1404" s="368">
        <f t="shared" si="1063"/>
        <v>3482867.2810077989</v>
      </c>
      <c r="AS1404" s="368">
        <f>AS636</f>
        <v>2066.2874251449389</v>
      </c>
      <c r="AT1404" s="368">
        <f>AT636</f>
        <v>2066.2874251449389</v>
      </c>
      <c r="AU1404" s="368">
        <f t="shared" si="1063"/>
        <v>37.75</v>
      </c>
      <c r="AV1404" s="368">
        <f t="shared" si="1063"/>
        <v>496.98448644517686</v>
      </c>
      <c r="AW1404" s="368">
        <f t="shared" si="1063"/>
        <v>372.59676356555121</v>
      </c>
      <c r="AX1404" s="368">
        <f t="shared" si="1063"/>
        <v>534.7344864451768</v>
      </c>
      <c r="AY1404" s="288"/>
    </row>
    <row r="1407" spans="1:51" x14ac:dyDescent="0.25">
      <c r="AU1407" s="507" t="s">
        <v>788</v>
      </c>
      <c r="AW1407" s="478" t="s">
        <v>789</v>
      </c>
    </row>
    <row r="1408" spans="1:51" x14ac:dyDescent="0.25">
      <c r="AU1408" s="507" t="s">
        <v>790</v>
      </c>
      <c r="AW1408" s="478" t="s">
        <v>791</v>
      </c>
    </row>
    <row r="1409" spans="47:49" x14ac:dyDescent="0.25">
      <c r="AU1409" s="507" t="s">
        <v>792</v>
      </c>
      <c r="AW1409" s="478" t="s">
        <v>793</v>
      </c>
    </row>
    <row r="1410" spans="47:49" x14ac:dyDescent="0.25">
      <c r="AU1410" s="507" t="s">
        <v>794</v>
      </c>
      <c r="AW1410" s="478" t="s">
        <v>795</v>
      </c>
    </row>
    <row r="1411" spans="47:49" x14ac:dyDescent="0.25">
      <c r="AU1411" s="507" t="s">
        <v>796</v>
      </c>
      <c r="AW1411" s="478" t="s">
        <v>797</v>
      </c>
    </row>
    <row r="1412" spans="47:49" x14ac:dyDescent="0.25">
      <c r="AU1412" s="507" t="s">
        <v>798</v>
      </c>
      <c r="AW1412" s="478" t="s">
        <v>799</v>
      </c>
    </row>
    <row r="1413" spans="47:49" x14ac:dyDescent="0.25">
      <c r="AU1413" s="507" t="s">
        <v>800</v>
      </c>
      <c r="AW1413" s="478" t="s">
        <v>801</v>
      </c>
    </row>
  </sheetData>
  <mergeCells count="12">
    <mergeCell ref="AA2:AB2"/>
    <mergeCell ref="U2:Z2"/>
    <mergeCell ref="S2:T2"/>
    <mergeCell ref="D2:Q2"/>
    <mergeCell ref="AS1:AX1"/>
    <mergeCell ref="AU2:AX2"/>
    <mergeCell ref="AS2:AT2"/>
    <mergeCell ref="AP2:AQ2"/>
    <mergeCell ref="AN2:AO2"/>
    <mergeCell ref="AC2:AM2"/>
    <mergeCell ref="AN3:AO3"/>
    <mergeCell ref="AP3:AQ3"/>
  </mergeCells>
  <pageMargins left="0.7" right="0.7" top="0.75" bottom="0.75" header="0.3" footer="0.3"/>
  <pageSetup scale="97" orientation="portrait" horizontalDpi="1200" verticalDpi="1200" r:id="rId1"/>
  <colBreaks count="2" manualBreakCount="2">
    <brk id="35" max="1412" man="1"/>
    <brk id="4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46"/>
  <sheetViews>
    <sheetView tabSelected="1" workbookViewId="0">
      <selection activeCell="BD26" sqref="BD26"/>
    </sheetView>
  </sheetViews>
  <sheetFormatPr defaultColWidth="8.85546875" defaultRowHeight="15" x14ac:dyDescent="0.25"/>
  <cols>
    <col min="1" max="1" width="5.28515625" style="260" customWidth="1"/>
    <col min="2" max="2" width="35.7109375" style="260" customWidth="1"/>
    <col min="3" max="3" width="9.85546875" style="260" hidden="1" customWidth="1"/>
    <col min="4" max="4" width="10.140625" style="260" hidden="1" customWidth="1"/>
    <col min="5" max="7" width="10.42578125" style="260" hidden="1" customWidth="1"/>
    <col min="8" max="8" width="13.42578125" style="260" hidden="1" customWidth="1"/>
    <col min="9" max="12" width="13.85546875" style="260" hidden="1" customWidth="1"/>
    <col min="13" max="13" width="14.85546875" style="260" hidden="1" customWidth="1"/>
    <col min="14" max="15" width="14.42578125" style="260" hidden="1" customWidth="1"/>
    <col min="16" max="16" width="15.7109375" style="260" hidden="1" customWidth="1"/>
    <col min="17" max="17" width="17.7109375" style="260" hidden="1" customWidth="1"/>
    <col min="18" max="18" width="17.85546875" style="260" hidden="1" customWidth="1"/>
    <col min="19" max="19" width="17.42578125" style="474" hidden="1" customWidth="1"/>
    <col min="20" max="20" width="22.28515625" style="475" hidden="1" customWidth="1"/>
    <col min="21" max="21" width="12.140625" style="476" hidden="1" customWidth="1"/>
    <col min="22" max="22" width="14.42578125" style="477" hidden="1" customWidth="1"/>
    <col min="23" max="23" width="15.140625" style="477" hidden="1" customWidth="1"/>
    <col min="24" max="24" width="18" style="260" hidden="1" customWidth="1"/>
    <col min="25" max="25" width="25.42578125" style="478" hidden="1" customWidth="1"/>
    <col min="26" max="26" width="10" style="478" hidden="1" customWidth="1"/>
    <col min="27" max="27" width="9.42578125" style="479" hidden="1" customWidth="1"/>
    <col min="28" max="28" width="16" style="480" bestFit="1" customWidth="1"/>
    <col min="29" max="30" width="12.28515625" style="480" bestFit="1" customWidth="1"/>
    <col min="31" max="31" width="11.5703125" style="480" bestFit="1" customWidth="1"/>
    <col min="32" max="33" width="10.85546875" style="480" bestFit="1" customWidth="1"/>
    <col min="34" max="34" width="11.140625" style="480" customWidth="1"/>
    <col min="35" max="36" width="10.85546875" style="480" bestFit="1" customWidth="1"/>
    <col min="37" max="37" width="11" style="480" hidden="1" customWidth="1"/>
    <col min="38" max="38" width="15.42578125" style="481" hidden="1" customWidth="1"/>
    <col min="39" max="39" width="10.28515625" style="477" hidden="1" customWidth="1"/>
    <col min="40" max="40" width="10.7109375" style="477" hidden="1" customWidth="1"/>
    <col min="41" max="41" width="27" style="477" hidden="1" customWidth="1"/>
    <col min="42" max="42" width="18.42578125" style="482" hidden="1" customWidth="1"/>
    <col min="43" max="43" width="23.42578125" style="477" hidden="1" customWidth="1"/>
    <col min="44" max="44" width="12.28515625" style="483" hidden="1" customWidth="1"/>
    <col min="45" max="45" width="25" style="477" customWidth="1"/>
    <col min="46" max="46" width="11.7109375" style="484" hidden="1" customWidth="1"/>
    <col min="47" max="49" width="11.7109375" style="477" hidden="1" customWidth="1"/>
    <col min="50" max="50" width="48.140625" style="477" hidden="1" customWidth="1"/>
    <col min="51" max="51" width="0" style="260" hidden="1" customWidth="1"/>
    <col min="52" max="16384" width="8.85546875" style="260"/>
  </cols>
  <sheetData>
    <row r="1" spans="1:51" s="1" customFormat="1" ht="39" customHeight="1" thickBot="1" x14ac:dyDescent="0.3">
      <c r="A1" s="568" t="s">
        <v>802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  <c r="T1" s="569"/>
      <c r="U1" s="569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  <c r="AG1" s="569"/>
      <c r="AH1" s="569"/>
      <c r="AI1" s="569"/>
      <c r="AJ1" s="569"/>
      <c r="AK1" s="569"/>
      <c r="AL1" s="569"/>
      <c r="AM1" s="569"/>
      <c r="AN1" s="569"/>
      <c r="AO1" s="569"/>
      <c r="AP1" s="569"/>
      <c r="AQ1" s="569"/>
      <c r="AR1" s="569"/>
      <c r="AS1" s="570"/>
      <c r="AT1" s="516"/>
      <c r="AU1" s="516"/>
      <c r="AV1" s="516"/>
      <c r="AW1" s="516"/>
      <c r="AX1" s="9"/>
    </row>
    <row r="2" spans="1:51" s="40" customFormat="1" ht="21.95" hidden="1" customHeight="1" x14ac:dyDescent="0.3">
      <c r="A2" s="41"/>
      <c r="B2" s="20"/>
      <c r="C2" s="19" t="s">
        <v>45</v>
      </c>
      <c r="D2" s="28" t="s">
        <v>45</v>
      </c>
      <c r="E2" s="28" t="s">
        <v>45</v>
      </c>
      <c r="F2" s="28" t="s">
        <v>45</v>
      </c>
      <c r="G2" s="28" t="s">
        <v>45</v>
      </c>
      <c r="H2" s="28" t="s">
        <v>45</v>
      </c>
      <c r="I2" s="28" t="s">
        <v>45</v>
      </c>
      <c r="J2" s="28" t="s">
        <v>45</v>
      </c>
      <c r="K2" s="28" t="s">
        <v>45</v>
      </c>
      <c r="L2" s="28" t="s">
        <v>45</v>
      </c>
      <c r="M2" s="28" t="s">
        <v>45</v>
      </c>
      <c r="N2" s="28" t="s">
        <v>45</v>
      </c>
      <c r="O2" s="28" t="s">
        <v>45</v>
      </c>
      <c r="P2" s="29" t="s">
        <v>45</v>
      </c>
      <c r="Q2" s="531"/>
      <c r="R2" s="532"/>
      <c r="S2" s="532"/>
      <c r="T2" s="533"/>
      <c r="U2" s="22" t="s">
        <v>46</v>
      </c>
      <c r="V2" s="28" t="s">
        <v>18</v>
      </c>
      <c r="W2" s="28"/>
      <c r="X2" s="29"/>
      <c r="Y2" s="534"/>
      <c r="Z2" s="535" t="s">
        <v>47</v>
      </c>
      <c r="AA2" s="535" t="s">
        <v>47</v>
      </c>
      <c r="AB2" s="19" t="s">
        <v>48</v>
      </c>
      <c r="AC2" s="28" t="s">
        <v>48</v>
      </c>
      <c r="AD2" s="28" t="s">
        <v>48</v>
      </c>
      <c r="AE2" s="28" t="s">
        <v>48</v>
      </c>
      <c r="AF2" s="28" t="s">
        <v>48</v>
      </c>
      <c r="AG2" s="28" t="s">
        <v>48</v>
      </c>
      <c r="AH2" s="28" t="s">
        <v>48</v>
      </c>
      <c r="AI2" s="28" t="s">
        <v>48</v>
      </c>
      <c r="AJ2" s="28" t="s">
        <v>48</v>
      </c>
      <c r="AK2" s="28" t="s">
        <v>48</v>
      </c>
      <c r="AL2" s="536" t="s">
        <v>48</v>
      </c>
      <c r="AM2" s="33" t="s">
        <v>49</v>
      </c>
      <c r="AN2" s="35" t="s">
        <v>50</v>
      </c>
      <c r="AO2" s="19" t="s">
        <v>51</v>
      </c>
      <c r="AP2" s="30" t="s">
        <v>52</v>
      </c>
      <c r="AQ2" s="33" t="s">
        <v>52</v>
      </c>
      <c r="AR2" s="537" t="s">
        <v>53</v>
      </c>
      <c r="AS2" s="38" t="s">
        <v>53</v>
      </c>
      <c r="AT2" s="58" t="s">
        <v>54</v>
      </c>
      <c r="AU2" s="59" t="s">
        <v>53</v>
      </c>
      <c r="AV2" s="57"/>
      <c r="AW2" s="45" t="s">
        <v>53</v>
      </c>
      <c r="AX2" s="60"/>
    </row>
    <row r="3" spans="1:51" s="86" customFormat="1" ht="13.5" hidden="1" thickBot="1" x14ac:dyDescent="0.3">
      <c r="A3" s="62"/>
      <c r="B3" s="63"/>
      <c r="C3" s="64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65"/>
      <c r="Q3" s="65"/>
      <c r="R3" s="47">
        <v>365</v>
      </c>
      <c r="S3" s="47">
        <v>365</v>
      </c>
      <c r="T3" s="66"/>
      <c r="U3" s="67"/>
      <c r="V3" s="68"/>
      <c r="W3" s="68"/>
      <c r="X3" s="69"/>
      <c r="Y3" s="70"/>
      <c r="Z3" s="70"/>
      <c r="AA3" s="71">
        <f>SUM(AB3:AK3)</f>
        <v>0.99775000000000014</v>
      </c>
      <c r="AB3" s="72">
        <v>0.57999999999999996</v>
      </c>
      <c r="AC3" s="73">
        <v>0.13</v>
      </c>
      <c r="AD3" s="73">
        <v>8.7749999999999995E-2</v>
      </c>
      <c r="AE3" s="73">
        <v>0.04</v>
      </c>
      <c r="AF3" s="73">
        <v>0.02</v>
      </c>
      <c r="AG3" s="73">
        <v>0.02</v>
      </c>
      <c r="AH3" s="73">
        <v>0.01</v>
      </c>
      <c r="AI3" s="73">
        <v>0.02</v>
      </c>
      <c r="AJ3" s="73">
        <v>0.02</v>
      </c>
      <c r="AK3" s="73">
        <v>7.0000000000000007E-2</v>
      </c>
      <c r="AL3" s="74">
        <v>365</v>
      </c>
      <c r="AM3" s="75">
        <f>[1]cv!G24</f>
        <v>2200</v>
      </c>
      <c r="AN3" s="76"/>
      <c r="AO3" s="77">
        <v>4.1867999999999999</v>
      </c>
      <c r="AP3" s="78">
        <v>2.777778E-4</v>
      </c>
      <c r="AQ3" s="79">
        <v>0.2</v>
      </c>
      <c r="AR3" s="80">
        <f>8760*80%</f>
        <v>7008</v>
      </c>
      <c r="AS3" s="81">
        <f>8760*80%</f>
        <v>7008</v>
      </c>
      <c r="AT3" s="82"/>
      <c r="AU3" s="83">
        <f>8760*80%</f>
        <v>7008</v>
      </c>
      <c r="AV3" s="84"/>
      <c r="AW3" s="81">
        <f>8760*80%</f>
        <v>7008</v>
      </c>
      <c r="AX3" s="85"/>
    </row>
    <row r="4" spans="1:51" s="86" customFormat="1" ht="34.700000000000003" customHeight="1" thickBot="1" x14ac:dyDescent="0.3">
      <c r="A4" s="517" t="s">
        <v>55</v>
      </c>
      <c r="B4" s="518"/>
      <c r="C4" s="519"/>
      <c r="D4" s="520"/>
      <c r="E4" s="520"/>
      <c r="F4" s="520"/>
      <c r="G4" s="520"/>
      <c r="H4" s="520"/>
      <c r="I4" s="520"/>
      <c r="J4" s="520"/>
      <c r="K4" s="520"/>
      <c r="L4" s="520"/>
      <c r="M4" s="520"/>
      <c r="N4" s="520"/>
      <c r="O4" s="520"/>
      <c r="P4" s="521"/>
      <c r="Q4" s="522"/>
      <c r="R4" s="523"/>
      <c r="S4" s="524"/>
      <c r="T4" s="525" t="s">
        <v>56</v>
      </c>
      <c r="U4" s="526"/>
      <c r="V4" s="527"/>
      <c r="W4" s="527"/>
      <c r="X4" s="528"/>
      <c r="Y4" s="529"/>
      <c r="Z4" s="529"/>
      <c r="AA4" s="530"/>
      <c r="AB4" s="571" t="s">
        <v>28</v>
      </c>
      <c r="AC4" s="572" t="s">
        <v>29</v>
      </c>
      <c r="AD4" s="572" t="s">
        <v>30</v>
      </c>
      <c r="AE4" s="572" t="s">
        <v>31</v>
      </c>
      <c r="AF4" s="572" t="s">
        <v>32</v>
      </c>
      <c r="AG4" s="572" t="s">
        <v>33</v>
      </c>
      <c r="AH4" s="572" t="s">
        <v>34</v>
      </c>
      <c r="AI4" s="572" t="s">
        <v>35</v>
      </c>
      <c r="AJ4" s="572" t="s">
        <v>36</v>
      </c>
      <c r="AK4" s="572" t="s">
        <v>37</v>
      </c>
      <c r="AL4" s="573" t="s">
        <v>38</v>
      </c>
      <c r="AM4" s="574" t="s">
        <v>39</v>
      </c>
      <c r="AN4" s="575"/>
      <c r="AO4" s="574" t="s">
        <v>39</v>
      </c>
      <c r="AP4" s="575"/>
      <c r="AQ4" s="576" t="s">
        <v>40</v>
      </c>
      <c r="AR4" s="577" t="s">
        <v>39</v>
      </c>
      <c r="AS4" s="578" t="s">
        <v>12</v>
      </c>
      <c r="AT4" s="82"/>
      <c r="AU4" s="92"/>
      <c r="AV4" s="93"/>
      <c r="AW4" s="94"/>
      <c r="AX4" s="85"/>
    </row>
    <row r="5" spans="1:51" s="86" customFormat="1" ht="10.9" hidden="1" customHeight="1" x14ac:dyDescent="0.25">
      <c r="A5" s="95"/>
      <c r="B5" s="96"/>
      <c r="C5" s="64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97"/>
      <c r="Q5" s="98">
        <v>0.23699999999999999</v>
      </c>
      <c r="R5" s="99" t="s">
        <v>57</v>
      </c>
      <c r="S5" s="100">
        <v>0.9</v>
      </c>
      <c r="T5" s="66"/>
      <c r="U5" s="67"/>
      <c r="V5" s="68"/>
      <c r="W5" s="68"/>
      <c r="X5" s="101"/>
      <c r="Y5" s="70"/>
      <c r="Z5" s="102"/>
      <c r="AA5" s="103"/>
      <c r="AB5" s="104"/>
      <c r="AC5" s="50"/>
      <c r="AD5" s="50"/>
      <c r="AE5" s="50"/>
      <c r="AF5" s="50"/>
      <c r="AG5" s="50"/>
      <c r="AH5" s="50"/>
      <c r="AI5" s="50"/>
      <c r="AJ5" s="50"/>
      <c r="AK5" s="50"/>
      <c r="AL5" s="101"/>
      <c r="AM5" s="92"/>
      <c r="AN5" s="76"/>
      <c r="AO5" s="105"/>
      <c r="AP5" s="51"/>
      <c r="AQ5" s="106"/>
      <c r="AR5" s="107"/>
      <c r="AS5" s="81"/>
      <c r="AT5" s="82"/>
      <c r="AU5" s="92"/>
      <c r="AV5" s="93"/>
      <c r="AW5" s="108"/>
      <c r="AX5" s="93"/>
    </row>
    <row r="6" spans="1:51" s="86" customFormat="1" ht="10.9" hidden="1" customHeight="1" x14ac:dyDescent="0.25">
      <c r="A6" s="95"/>
      <c r="B6" s="96"/>
      <c r="C6" s="64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97"/>
      <c r="Q6" s="98">
        <v>0.16400000000000001</v>
      </c>
      <c r="R6" s="99" t="s">
        <v>58</v>
      </c>
      <c r="S6" s="100">
        <v>0.8</v>
      </c>
      <c r="T6" s="66"/>
      <c r="U6" s="67"/>
      <c r="V6" s="68"/>
      <c r="W6" s="68"/>
      <c r="X6" s="101"/>
      <c r="Y6" s="70"/>
      <c r="Z6" s="102"/>
      <c r="AA6" s="103"/>
      <c r="AB6" s="104"/>
      <c r="AC6" s="50"/>
      <c r="AD6" s="50"/>
      <c r="AE6" s="50"/>
      <c r="AF6" s="50"/>
      <c r="AG6" s="50"/>
      <c r="AH6" s="50"/>
      <c r="AI6" s="50"/>
      <c r="AJ6" s="50"/>
      <c r="AK6" s="50"/>
      <c r="AL6" s="101"/>
      <c r="AM6" s="92"/>
      <c r="AN6" s="76"/>
      <c r="AO6" s="105"/>
      <c r="AP6" s="51"/>
      <c r="AQ6" s="106"/>
      <c r="AR6" s="107"/>
      <c r="AS6" s="81"/>
      <c r="AT6" s="82"/>
      <c r="AU6" s="92"/>
      <c r="AV6" s="93"/>
      <c r="AW6" s="108"/>
      <c r="AX6" s="93"/>
    </row>
    <row r="7" spans="1:51" s="86" customFormat="1" ht="10.9" hidden="1" customHeight="1" x14ac:dyDescent="0.25">
      <c r="A7" s="95"/>
      <c r="B7" s="96"/>
      <c r="C7" s="64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97"/>
      <c r="Q7" s="98">
        <v>0.14599999999999999</v>
      </c>
      <c r="R7" s="99" t="s">
        <v>59</v>
      </c>
      <c r="S7" s="100">
        <v>0.7</v>
      </c>
      <c r="T7" s="66"/>
      <c r="U7" s="67"/>
      <c r="V7" s="68"/>
      <c r="W7" s="68"/>
      <c r="X7" s="101"/>
      <c r="Y7" s="70"/>
      <c r="Z7" s="102"/>
      <c r="AA7" s="103"/>
      <c r="AB7" s="104"/>
      <c r="AC7" s="50"/>
      <c r="AD7" s="50"/>
      <c r="AE7" s="50"/>
      <c r="AF7" s="50"/>
      <c r="AG7" s="50"/>
      <c r="AH7" s="50"/>
      <c r="AI7" s="50"/>
      <c r="AJ7" s="50"/>
      <c r="AK7" s="50"/>
      <c r="AL7" s="101"/>
      <c r="AM7" s="92"/>
      <c r="AN7" s="76"/>
      <c r="AO7" s="105"/>
      <c r="AP7" s="51"/>
      <c r="AQ7" s="106"/>
      <c r="AR7" s="107"/>
      <c r="AS7" s="81"/>
      <c r="AT7" s="82"/>
      <c r="AU7" s="92"/>
      <c r="AV7" s="93"/>
      <c r="AW7" s="108"/>
      <c r="AX7" s="93"/>
    </row>
    <row r="8" spans="1:51" s="86" customFormat="1" ht="10.9" hidden="1" customHeight="1" x14ac:dyDescent="0.25">
      <c r="A8" s="95"/>
      <c r="B8" s="96"/>
      <c r="C8" s="542"/>
      <c r="D8" s="543"/>
      <c r="E8" s="543"/>
      <c r="F8" s="543"/>
      <c r="G8" s="543"/>
      <c r="H8" s="543"/>
      <c r="I8" s="543"/>
      <c r="J8" s="543"/>
      <c r="K8" s="543"/>
      <c r="L8" s="543"/>
      <c r="M8" s="543"/>
      <c r="N8" s="543"/>
      <c r="O8" s="543"/>
      <c r="P8" s="544"/>
      <c r="Q8" s="545">
        <v>0.11</v>
      </c>
      <c r="R8" s="546" t="s">
        <v>60</v>
      </c>
      <c r="S8" s="547">
        <v>0.6</v>
      </c>
      <c r="T8" s="548"/>
      <c r="U8" s="549"/>
      <c r="V8" s="550"/>
      <c r="W8" s="550"/>
      <c r="X8" s="551"/>
      <c r="Y8" s="552"/>
      <c r="Z8" s="553"/>
      <c r="AA8" s="554"/>
      <c r="AB8" s="555"/>
      <c r="AC8" s="543"/>
      <c r="AD8" s="543"/>
      <c r="AE8" s="543"/>
      <c r="AF8" s="543"/>
      <c r="AG8" s="543"/>
      <c r="AH8" s="543"/>
      <c r="AI8" s="543"/>
      <c r="AJ8" s="543"/>
      <c r="AK8" s="543"/>
      <c r="AL8" s="551"/>
      <c r="AM8" s="556"/>
      <c r="AN8" s="557"/>
      <c r="AO8" s="558"/>
      <c r="AP8" s="559"/>
      <c r="AQ8" s="560"/>
      <c r="AR8" s="561"/>
      <c r="AS8" s="562"/>
      <c r="AT8" s="82"/>
      <c r="AU8" s="92"/>
      <c r="AV8" s="93"/>
      <c r="AW8" s="108"/>
      <c r="AX8" s="93"/>
    </row>
    <row r="9" spans="1:51" s="86" customFormat="1" ht="27.75" customHeight="1" x14ac:dyDescent="0.25">
      <c r="A9" s="566" t="s">
        <v>803</v>
      </c>
      <c r="B9" s="567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538"/>
      <c r="R9" s="539"/>
      <c r="S9" s="563"/>
      <c r="T9" s="181"/>
      <c r="U9" s="564"/>
      <c r="V9" s="540"/>
      <c r="W9" s="540"/>
      <c r="X9" s="153"/>
      <c r="Y9" s="541"/>
      <c r="Z9" s="541"/>
      <c r="AA9" s="154"/>
      <c r="AB9" s="280">
        <f>AB635</f>
        <v>18499755.342968352</v>
      </c>
      <c r="AC9" s="280">
        <f t="shared" ref="AC9:AS9" si="0">AC635</f>
        <v>4146496.8872170458</v>
      </c>
      <c r="AD9" s="280">
        <f t="shared" si="0"/>
        <v>2798885.3988715052</v>
      </c>
      <c r="AE9" s="280">
        <f t="shared" si="0"/>
        <v>1275845.196066783</v>
      </c>
      <c r="AF9" s="280">
        <f t="shared" si="0"/>
        <v>637922.59803339152</v>
      </c>
      <c r="AG9" s="280">
        <f t="shared" si="0"/>
        <v>637922.59803339152</v>
      </c>
      <c r="AH9" s="280">
        <f t="shared" si="0"/>
        <v>318961.29901669576</v>
      </c>
      <c r="AI9" s="280">
        <f t="shared" si="0"/>
        <v>637922.59803339152</v>
      </c>
      <c r="AJ9" s="280">
        <f t="shared" si="0"/>
        <v>637922.59803339152</v>
      </c>
      <c r="AK9" s="280">
        <f t="shared" si="0"/>
        <v>2232729.0931168711</v>
      </c>
      <c r="AL9" s="280">
        <f t="shared" si="0"/>
        <v>9816033.9772388134</v>
      </c>
      <c r="AM9" s="280">
        <f t="shared" si="0"/>
        <v>0</v>
      </c>
      <c r="AN9" s="280">
        <f t="shared" si="0"/>
        <v>0</v>
      </c>
      <c r="AO9" s="280">
        <f t="shared" si="0"/>
        <v>260649740105.50385</v>
      </c>
      <c r="AP9" s="280">
        <f t="shared" si="0"/>
        <v>72402711.377078652</v>
      </c>
      <c r="AQ9" s="280">
        <f t="shared" si="0"/>
        <v>14480542.275415726</v>
      </c>
      <c r="AR9" s="280">
        <f t="shared" si="0"/>
        <v>2066.2874251449389</v>
      </c>
      <c r="AS9" s="280">
        <f t="shared" si="0"/>
        <v>2066.2874251449389</v>
      </c>
      <c r="AT9" s="82"/>
      <c r="AU9" s="92"/>
      <c r="AV9" s="93"/>
      <c r="AW9" s="108"/>
      <c r="AX9" s="93"/>
    </row>
    <row r="10" spans="1:51" s="109" customFormat="1" ht="22.5" customHeight="1" x14ac:dyDescent="0.25">
      <c r="A10" s="110" t="s">
        <v>61</v>
      </c>
      <c r="B10" s="111"/>
      <c r="C10" s="393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394"/>
      <c r="Q10" s="394"/>
      <c r="R10" s="395"/>
      <c r="S10" s="394"/>
      <c r="T10" s="394"/>
      <c r="U10" s="394"/>
      <c r="V10" s="394"/>
      <c r="W10" s="394"/>
      <c r="X10" s="394"/>
      <c r="Y10" s="394"/>
      <c r="Z10" s="396"/>
      <c r="AA10" s="397"/>
      <c r="AB10" s="398"/>
      <c r="AC10" s="398"/>
      <c r="AD10" s="398"/>
      <c r="AE10" s="398"/>
      <c r="AF10" s="398"/>
      <c r="AG10" s="398"/>
      <c r="AH10" s="398"/>
      <c r="AI10" s="398"/>
      <c r="AJ10" s="398"/>
      <c r="AK10" s="398"/>
      <c r="AL10" s="398"/>
      <c r="AM10" s="399"/>
      <c r="AN10" s="394"/>
      <c r="AO10" s="394"/>
      <c r="AP10" s="394"/>
      <c r="AQ10" s="394"/>
      <c r="AR10" s="394"/>
      <c r="AS10" s="394"/>
      <c r="AT10" s="113"/>
      <c r="AU10" s="113"/>
      <c r="AV10" s="113"/>
      <c r="AW10" s="113"/>
      <c r="AX10" s="113"/>
      <c r="AY10" s="119"/>
    </row>
    <row r="11" spans="1:51" s="139" customFormat="1" ht="15" customHeight="1" x14ac:dyDescent="0.25">
      <c r="A11" s="120"/>
      <c r="B11" s="121" t="s">
        <v>62</v>
      </c>
      <c r="C11" s="122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4"/>
      <c r="Q11" s="124"/>
      <c r="R11" s="124"/>
      <c r="S11" s="47"/>
      <c r="T11" s="66"/>
      <c r="U11" s="67"/>
      <c r="V11" s="123"/>
      <c r="W11" s="123"/>
      <c r="X11" s="125"/>
      <c r="Y11" s="126"/>
      <c r="Z11" s="126"/>
      <c r="AA11" s="127"/>
      <c r="AB11" s="62"/>
      <c r="AC11" s="128"/>
      <c r="AD11" s="128"/>
      <c r="AE11" s="128"/>
      <c r="AF11" s="128"/>
      <c r="AG11" s="128"/>
      <c r="AH11" s="128"/>
      <c r="AI11" s="128"/>
      <c r="AJ11" s="128"/>
      <c r="AK11" s="128"/>
      <c r="AL11" s="63"/>
      <c r="AM11" s="75"/>
      <c r="AN11" s="76"/>
      <c r="AO11" s="129"/>
      <c r="AP11" s="130"/>
      <c r="AQ11" s="131"/>
      <c r="AR11" s="579"/>
      <c r="AS11" s="581"/>
      <c r="AT11" s="134"/>
      <c r="AU11" s="135"/>
      <c r="AV11" s="136"/>
      <c r="AW11" s="137"/>
      <c r="AX11" s="138"/>
    </row>
    <row r="12" spans="1:51" s="139" customFormat="1" ht="11.25" x14ac:dyDescent="0.25">
      <c r="A12" s="140">
        <v>1</v>
      </c>
      <c r="B12" s="141" t="s">
        <v>63</v>
      </c>
      <c r="C12" s="142"/>
      <c r="D12" s="143"/>
      <c r="E12" s="143"/>
      <c r="F12" s="143"/>
      <c r="G12" s="143"/>
      <c r="H12" s="143"/>
      <c r="I12" s="144">
        <v>80380</v>
      </c>
      <c r="J12" s="144">
        <v>81127</v>
      </c>
      <c r="K12" s="144">
        <v>81790</v>
      </c>
      <c r="L12" s="144">
        <v>82344</v>
      </c>
      <c r="M12" s="144">
        <v>80674</v>
      </c>
      <c r="N12" s="143"/>
      <c r="O12" s="145"/>
      <c r="P12" s="146">
        <f>MAX(C12:O12)</f>
        <v>82344</v>
      </c>
      <c r="Q12" s="147">
        <f>P12*$Q$8</f>
        <v>9057.84</v>
      </c>
      <c r="R12" s="147">
        <f t="shared" ref="R12:R34" si="1">Q12/$R$3</f>
        <v>24.815999999999999</v>
      </c>
      <c r="S12" s="148">
        <f t="shared" ref="S12:S21" si="2">R12*$S$3*$S$8</f>
        <v>5434.7039999999997</v>
      </c>
      <c r="T12" s="149"/>
      <c r="U12" s="150"/>
      <c r="V12" s="151"/>
      <c r="W12" s="151"/>
      <c r="X12" s="152"/>
      <c r="Y12" s="153"/>
      <c r="Z12" s="153"/>
      <c r="AA12" s="154"/>
      <c r="AB12" s="155">
        <f>S12*$AB$3</f>
        <v>3152.1283199999998</v>
      </c>
      <c r="AC12" s="156">
        <f>S12*$AC$3</f>
        <v>706.51152000000002</v>
      </c>
      <c r="AD12" s="156">
        <f>S12*$AD$3</f>
        <v>476.89527599999997</v>
      </c>
      <c r="AE12" s="156">
        <f>S12*$AE$3</f>
        <v>217.38816</v>
      </c>
      <c r="AF12" s="156">
        <f>S12*$AF$3</f>
        <v>108.69408</v>
      </c>
      <c r="AG12" s="156">
        <f>S12*$AG$3</f>
        <v>108.69408</v>
      </c>
      <c r="AH12" s="156">
        <f>S12*$AH$3</f>
        <v>54.34704</v>
      </c>
      <c r="AI12" s="156">
        <f>S12*$AI$3</f>
        <v>108.69408</v>
      </c>
      <c r="AJ12" s="156">
        <f>S12*$AJ$3</f>
        <v>108.69408</v>
      </c>
      <c r="AK12" s="156">
        <f>S12*$AK$3</f>
        <v>380.42928000000001</v>
      </c>
      <c r="AL12" s="157">
        <f>SUM(AC12:AH12)</f>
        <v>1672.530156</v>
      </c>
      <c r="AM12" s="158">
        <f>$AM$3</f>
        <v>2200</v>
      </c>
      <c r="AN12" s="159">
        <v>0.2</v>
      </c>
      <c r="AO12" s="160">
        <f t="shared" ref="AO12:AO34" si="3">(AB12+AL12)*AM12*$AO$3</f>
        <v>44439736.236096956</v>
      </c>
      <c r="AP12" s="161">
        <f t="shared" ref="AP12:AP34" si="4">AO12*$AP$3</f>
        <v>12344.372164243292</v>
      </c>
      <c r="AQ12" s="162">
        <f t="shared" ref="AQ12:AQ34" si="5">AP12*$AQ$3</f>
        <v>2468.8744328486587</v>
      </c>
      <c r="AR12" s="580">
        <f>AQ12/$AR$3</f>
        <v>0.3522937261484958</v>
      </c>
      <c r="AS12" s="582">
        <f>AR12</f>
        <v>0.3522937261484958</v>
      </c>
      <c r="AT12" s="165"/>
      <c r="AU12" s="166"/>
      <c r="AV12" s="167"/>
      <c r="AW12" s="146"/>
      <c r="AX12" s="168"/>
    </row>
    <row r="13" spans="1:51" s="139" customFormat="1" ht="11.25" x14ac:dyDescent="0.25">
      <c r="A13" s="140">
        <v>2</v>
      </c>
      <c r="B13" s="169" t="s">
        <v>64</v>
      </c>
      <c r="C13" s="142"/>
      <c r="D13" s="143"/>
      <c r="E13" s="143"/>
      <c r="F13" s="143"/>
      <c r="G13" s="143"/>
      <c r="H13" s="143"/>
      <c r="I13" s="144">
        <v>92605</v>
      </c>
      <c r="J13" s="144">
        <v>94961</v>
      </c>
      <c r="K13" s="144">
        <v>100265</v>
      </c>
      <c r="L13" s="144">
        <v>102505</v>
      </c>
      <c r="M13" s="144">
        <v>102509</v>
      </c>
      <c r="N13" s="143"/>
      <c r="O13" s="145"/>
      <c r="P13" s="146">
        <f t="shared" ref="P13:P34" si="6">MAX(C13:O13)</f>
        <v>102509</v>
      </c>
      <c r="Q13" s="147">
        <f t="shared" ref="Q13:Q34" si="7">P13*$Q$8</f>
        <v>11275.99</v>
      </c>
      <c r="R13" s="147">
        <f t="shared" si="1"/>
        <v>30.893123287671234</v>
      </c>
      <c r="S13" s="148">
        <f t="shared" si="2"/>
        <v>6765.5940000000001</v>
      </c>
      <c r="T13" s="149"/>
      <c r="U13" s="150"/>
      <c r="V13" s="151"/>
      <c r="W13" s="151"/>
      <c r="X13" s="152"/>
      <c r="Y13" s="153"/>
      <c r="Z13" s="153"/>
      <c r="AA13" s="154"/>
      <c r="AB13" s="155">
        <f>S13*$AB$3</f>
        <v>3924.0445199999999</v>
      </c>
      <c r="AC13" s="156">
        <f>S13*$AC$3</f>
        <v>879.52722000000006</v>
      </c>
      <c r="AD13" s="156">
        <f>S13*$AD$3</f>
        <v>593.68087349999996</v>
      </c>
      <c r="AE13" s="156">
        <f>S13*$AE$3</f>
        <v>270.62376</v>
      </c>
      <c r="AF13" s="156">
        <f>S13*$AF$3</f>
        <v>135.31188</v>
      </c>
      <c r="AG13" s="156">
        <f>S13*$AG$3</f>
        <v>135.31188</v>
      </c>
      <c r="AH13" s="156">
        <f>S13*$AH$3</f>
        <v>67.655940000000001</v>
      </c>
      <c r="AI13" s="156">
        <f>S13*$AI$3</f>
        <v>135.31188</v>
      </c>
      <c r="AJ13" s="156">
        <f>S13*$AJ$3</f>
        <v>135.31188</v>
      </c>
      <c r="AK13" s="156">
        <f>S13*$AK$3</f>
        <v>473.59158000000002</v>
      </c>
      <c r="AL13" s="157">
        <f t="shared" ref="AL13:AL34" si="8">SUM(AC13:AH13)</f>
        <v>2082.1115534999999</v>
      </c>
      <c r="AM13" s="158">
        <f>$AM$3</f>
        <v>2200</v>
      </c>
      <c r="AN13" s="159">
        <v>0.2</v>
      </c>
      <c r="AO13" s="160">
        <f t="shared" si="3"/>
        <v>55322463.346765555</v>
      </c>
      <c r="AP13" s="161">
        <f t="shared" si="4"/>
        <v>15367.352159045173</v>
      </c>
      <c r="AQ13" s="162">
        <f t="shared" si="5"/>
        <v>3073.4704318090348</v>
      </c>
      <c r="AR13" s="580">
        <f>AQ13/$AR$3</f>
        <v>0.43856598627412025</v>
      </c>
      <c r="AS13" s="582">
        <f t="shared" ref="AS13:AS34" si="9">AR13</f>
        <v>0.43856598627412025</v>
      </c>
      <c r="AT13" s="165"/>
      <c r="AU13" s="166"/>
      <c r="AV13" s="167"/>
      <c r="AW13" s="146"/>
      <c r="AX13" s="168"/>
    </row>
    <row r="14" spans="1:51" s="139" customFormat="1" ht="11.25" x14ac:dyDescent="0.25">
      <c r="A14" s="140">
        <v>3</v>
      </c>
      <c r="B14" s="169" t="s">
        <v>65</v>
      </c>
      <c r="C14" s="142"/>
      <c r="D14" s="143"/>
      <c r="E14" s="143"/>
      <c r="F14" s="143"/>
      <c r="G14" s="143"/>
      <c r="H14" s="143"/>
      <c r="I14" s="144">
        <v>202080</v>
      </c>
      <c r="J14" s="144">
        <v>209853</v>
      </c>
      <c r="K14" s="144">
        <v>210111</v>
      </c>
      <c r="L14" s="144">
        <v>215315</v>
      </c>
      <c r="M14" s="144">
        <v>202251</v>
      </c>
      <c r="N14" s="143"/>
      <c r="O14" s="145"/>
      <c r="P14" s="146">
        <f t="shared" si="6"/>
        <v>215315</v>
      </c>
      <c r="Q14" s="147">
        <f t="shared" si="7"/>
        <v>23684.65</v>
      </c>
      <c r="R14" s="147">
        <f t="shared" si="1"/>
        <v>64.889452054794518</v>
      </c>
      <c r="S14" s="148">
        <f t="shared" si="2"/>
        <v>14210.789999999999</v>
      </c>
      <c r="T14" s="149"/>
      <c r="U14" s="150"/>
      <c r="V14" s="151"/>
      <c r="W14" s="151"/>
      <c r="X14" s="152"/>
      <c r="Y14" s="153"/>
      <c r="Z14" s="153"/>
      <c r="AA14" s="154"/>
      <c r="AB14" s="155">
        <f>S14*$AB$3</f>
        <v>8242.2581999999984</v>
      </c>
      <c r="AC14" s="156">
        <f>S14*$AC$3</f>
        <v>1847.4026999999999</v>
      </c>
      <c r="AD14" s="156">
        <f>S14*$AD$3</f>
        <v>1246.9968224999998</v>
      </c>
      <c r="AE14" s="156">
        <f>S14*$AE$3</f>
        <v>568.4316</v>
      </c>
      <c r="AF14" s="156">
        <f>S14*$AF$3</f>
        <v>284.2158</v>
      </c>
      <c r="AG14" s="156">
        <f>S14*$AG$3</f>
        <v>284.2158</v>
      </c>
      <c r="AH14" s="156">
        <f>S14*$AH$3</f>
        <v>142.1079</v>
      </c>
      <c r="AI14" s="156">
        <f>S14*$AI$3</f>
        <v>284.2158</v>
      </c>
      <c r="AJ14" s="156">
        <f>S14*$AJ$3</f>
        <v>284.2158</v>
      </c>
      <c r="AK14" s="156">
        <f>S14*$AK$3</f>
        <v>994.75530000000003</v>
      </c>
      <c r="AL14" s="157">
        <f t="shared" si="8"/>
        <v>4373.3706224999996</v>
      </c>
      <c r="AM14" s="158">
        <f>$AM$3</f>
        <v>2200</v>
      </c>
      <c r="AN14" s="159">
        <v>0.2</v>
      </c>
      <c r="AO14" s="160">
        <f t="shared" si="3"/>
        <v>116202052.4588946</v>
      </c>
      <c r="AP14" s="161">
        <f t="shared" si="4"/>
        <v>32278.350487516331</v>
      </c>
      <c r="AQ14" s="162">
        <f t="shared" si="5"/>
        <v>6455.6700975032663</v>
      </c>
      <c r="AR14" s="580">
        <f>AQ14/$AR$3</f>
        <v>0.92118580158437025</v>
      </c>
      <c r="AS14" s="582">
        <f t="shared" si="9"/>
        <v>0.92118580158437025</v>
      </c>
      <c r="AT14" s="165"/>
      <c r="AU14" s="166"/>
      <c r="AV14" s="167"/>
      <c r="AW14" s="146"/>
      <c r="AX14" s="168"/>
    </row>
    <row r="15" spans="1:51" s="139" customFormat="1" ht="11.25" x14ac:dyDescent="0.25">
      <c r="A15" s="140">
        <v>4</v>
      </c>
      <c r="B15" s="169" t="s">
        <v>66</v>
      </c>
      <c r="C15" s="142"/>
      <c r="D15" s="143"/>
      <c r="E15" s="143"/>
      <c r="F15" s="143"/>
      <c r="G15" s="143"/>
      <c r="H15" s="143"/>
      <c r="I15" s="144">
        <v>173056</v>
      </c>
      <c r="J15" s="144">
        <v>174371</v>
      </c>
      <c r="K15" s="144">
        <v>175501</v>
      </c>
      <c r="L15" s="144">
        <v>177024</v>
      </c>
      <c r="M15" s="144">
        <v>179010</v>
      </c>
      <c r="N15" s="143"/>
      <c r="O15" s="145"/>
      <c r="P15" s="146">
        <f t="shared" si="6"/>
        <v>179010</v>
      </c>
      <c r="Q15" s="147">
        <f t="shared" si="7"/>
        <v>19691.099999999999</v>
      </c>
      <c r="R15" s="147">
        <f t="shared" si="1"/>
        <v>53.948219178082191</v>
      </c>
      <c r="S15" s="148">
        <f t="shared" si="2"/>
        <v>11814.659999999998</v>
      </c>
      <c r="T15" s="149"/>
      <c r="U15" s="150"/>
      <c r="V15" s="151"/>
      <c r="W15" s="151"/>
      <c r="X15" s="152"/>
      <c r="Y15" s="153"/>
      <c r="Z15" s="153"/>
      <c r="AA15" s="154"/>
      <c r="AB15" s="155">
        <f>S15*$AB$3</f>
        <v>6852.5027999999984</v>
      </c>
      <c r="AC15" s="156">
        <f>S15*$AC$3</f>
        <v>1535.9057999999998</v>
      </c>
      <c r="AD15" s="156">
        <f>S15*$AD$3</f>
        <v>1036.7364149999999</v>
      </c>
      <c r="AE15" s="156">
        <f>S15*$AE$3</f>
        <v>472.58639999999991</v>
      </c>
      <c r="AF15" s="156">
        <f>S15*$AF$3</f>
        <v>236.29319999999996</v>
      </c>
      <c r="AG15" s="156">
        <f>S15*$AG$3</f>
        <v>236.29319999999996</v>
      </c>
      <c r="AH15" s="156">
        <f>S15*$AH$3</f>
        <v>118.14659999999998</v>
      </c>
      <c r="AI15" s="156">
        <f>S15*$AI$3</f>
        <v>236.29319999999996</v>
      </c>
      <c r="AJ15" s="156">
        <f>S15*$AJ$3</f>
        <v>236.29319999999996</v>
      </c>
      <c r="AK15" s="156">
        <f>S15*$AK$3</f>
        <v>827.0261999999999</v>
      </c>
      <c r="AL15" s="157">
        <f t="shared" si="8"/>
        <v>3635.9616150000002</v>
      </c>
      <c r="AM15" s="158">
        <f>$AM$3</f>
        <v>2200</v>
      </c>
      <c r="AN15" s="159">
        <v>0.2</v>
      </c>
      <c r="AO15" s="160">
        <f t="shared" si="3"/>
        <v>96608826.187988386</v>
      </c>
      <c r="AP15" s="161">
        <f t="shared" si="4"/>
        <v>26835.787199081798</v>
      </c>
      <c r="AQ15" s="162">
        <f t="shared" si="5"/>
        <v>5367.1574398163602</v>
      </c>
      <c r="AR15" s="580">
        <f>AQ15/$AR$3</f>
        <v>0.76586150682311072</v>
      </c>
      <c r="AS15" s="582">
        <f t="shared" si="9"/>
        <v>0.76586150682311072</v>
      </c>
      <c r="AT15" s="165"/>
      <c r="AU15" s="166"/>
      <c r="AV15" s="167"/>
      <c r="AW15" s="146"/>
      <c r="AX15" s="168"/>
    </row>
    <row r="16" spans="1:51" s="139" customFormat="1" ht="11.25" x14ac:dyDescent="0.25">
      <c r="A16" s="140">
        <v>5</v>
      </c>
      <c r="B16" s="170" t="s">
        <v>67</v>
      </c>
      <c r="C16" s="142"/>
      <c r="D16" s="143"/>
      <c r="E16" s="143"/>
      <c r="F16" s="143"/>
      <c r="G16" s="143"/>
      <c r="H16" s="143"/>
      <c r="I16" s="144">
        <v>311413</v>
      </c>
      <c r="J16" s="144">
        <v>313333</v>
      </c>
      <c r="K16" s="144">
        <v>332915</v>
      </c>
      <c r="L16" s="144">
        <v>340728</v>
      </c>
      <c r="M16" s="144">
        <v>360475</v>
      </c>
      <c r="N16" s="143"/>
      <c r="O16" s="145"/>
      <c r="P16" s="146">
        <f t="shared" si="6"/>
        <v>360475</v>
      </c>
      <c r="Q16" s="147">
        <f t="shared" si="7"/>
        <v>39652.25</v>
      </c>
      <c r="R16" s="147">
        <f t="shared" si="1"/>
        <v>108.63630136986302</v>
      </c>
      <c r="S16" s="148">
        <f t="shared" si="2"/>
        <v>23791.35</v>
      </c>
      <c r="T16" s="149"/>
      <c r="U16" s="150"/>
      <c r="V16" s="151"/>
      <c r="W16" s="151"/>
      <c r="X16" s="152"/>
      <c r="Y16" s="153"/>
      <c r="Z16" s="153"/>
      <c r="AA16" s="154"/>
      <c r="AB16" s="155">
        <f>S16*$AB$3</f>
        <v>13798.982999999998</v>
      </c>
      <c r="AC16" s="156">
        <f>S16*$AC$3</f>
        <v>3092.8755000000001</v>
      </c>
      <c r="AD16" s="156">
        <f>S16*$AD$3</f>
        <v>2087.6909624999998</v>
      </c>
      <c r="AE16" s="156">
        <f>S16*$AE$3</f>
        <v>951.654</v>
      </c>
      <c r="AF16" s="156">
        <f>S16*$AF$3</f>
        <v>475.827</v>
      </c>
      <c r="AG16" s="156">
        <f>S16*$AG$3</f>
        <v>475.827</v>
      </c>
      <c r="AH16" s="156">
        <f>S16*$AH$3</f>
        <v>237.9135</v>
      </c>
      <c r="AI16" s="156">
        <f>S16*$AI$3</f>
        <v>475.827</v>
      </c>
      <c r="AJ16" s="156">
        <f>S16*$AJ$3</f>
        <v>475.827</v>
      </c>
      <c r="AK16" s="156">
        <f>S16*$AK$3</f>
        <v>1665.3945000000001</v>
      </c>
      <c r="AL16" s="157">
        <f t="shared" si="8"/>
        <v>7321.7879624999996</v>
      </c>
      <c r="AM16" s="158">
        <f>$AM$3</f>
        <v>2200</v>
      </c>
      <c r="AN16" s="159">
        <v>0.2</v>
      </c>
      <c r="AO16" s="160">
        <f t="shared" si="3"/>
        <v>194542576.504749</v>
      </c>
      <c r="AP16" s="161">
        <f t="shared" si="4"/>
        <v>54039.608907820868</v>
      </c>
      <c r="AQ16" s="162">
        <f t="shared" si="5"/>
        <v>10807.921781564175</v>
      </c>
      <c r="AR16" s="580">
        <f>AQ16/$AR$3</f>
        <v>1.5422262816158925</v>
      </c>
      <c r="AS16" s="582">
        <f t="shared" si="9"/>
        <v>1.5422262816158925</v>
      </c>
      <c r="AT16" s="165"/>
      <c r="AU16" s="166"/>
      <c r="AV16" s="167"/>
      <c r="AW16" s="146"/>
      <c r="AX16" s="168"/>
    </row>
    <row r="17" spans="1:50" s="139" customFormat="1" ht="11.25" x14ac:dyDescent="0.25">
      <c r="A17" s="140">
        <v>6</v>
      </c>
      <c r="B17" s="170" t="s">
        <v>68</v>
      </c>
      <c r="C17" s="142"/>
      <c r="D17" s="143"/>
      <c r="E17" s="143"/>
      <c r="F17" s="143"/>
      <c r="G17" s="143"/>
      <c r="H17" s="143"/>
      <c r="I17" s="144">
        <v>166895</v>
      </c>
      <c r="J17" s="144">
        <v>170766</v>
      </c>
      <c r="K17" s="144">
        <v>182533</v>
      </c>
      <c r="L17" s="144">
        <v>189298</v>
      </c>
      <c r="M17" s="144">
        <v>175527</v>
      </c>
      <c r="N17" s="143"/>
      <c r="O17" s="145"/>
      <c r="P17" s="146">
        <f t="shared" si="6"/>
        <v>189298</v>
      </c>
      <c r="Q17" s="147">
        <f t="shared" si="7"/>
        <v>20822.78</v>
      </c>
      <c r="R17" s="147">
        <f t="shared" si="1"/>
        <v>57.048712328767117</v>
      </c>
      <c r="S17" s="148">
        <f t="shared" si="2"/>
        <v>12493.668</v>
      </c>
      <c r="T17" s="149"/>
      <c r="U17" s="150"/>
      <c r="V17" s="151"/>
      <c r="W17" s="151"/>
      <c r="X17" s="152"/>
      <c r="Y17" s="153"/>
      <c r="Z17" s="153"/>
      <c r="AA17" s="154"/>
      <c r="AB17" s="155">
        <f>S17*$AB$3</f>
        <v>7246.3274399999991</v>
      </c>
      <c r="AC17" s="156">
        <f>S17*$AC$3</f>
        <v>1624.1768400000001</v>
      </c>
      <c r="AD17" s="156">
        <f>S17*$AD$3</f>
        <v>1096.3193669999998</v>
      </c>
      <c r="AE17" s="156">
        <f>S17*$AE$3</f>
        <v>499.74671999999998</v>
      </c>
      <c r="AF17" s="156">
        <f>S17*$AF$3</f>
        <v>249.87335999999999</v>
      </c>
      <c r="AG17" s="156">
        <f>S17*$AG$3</f>
        <v>249.87335999999999</v>
      </c>
      <c r="AH17" s="156">
        <f>S17*$AH$3</f>
        <v>124.93668</v>
      </c>
      <c r="AI17" s="156">
        <f>S17*$AI$3</f>
        <v>249.87335999999999</v>
      </c>
      <c r="AJ17" s="156">
        <f>S17*$AJ$3</f>
        <v>249.87335999999999</v>
      </c>
      <c r="AK17" s="156">
        <f>S17*$AK$3</f>
        <v>874.55676000000005</v>
      </c>
      <c r="AL17" s="157">
        <f t="shared" si="8"/>
        <v>3844.9263270000001</v>
      </c>
      <c r="AM17" s="158">
        <f>$AM$3</f>
        <v>2200</v>
      </c>
      <c r="AN17" s="159">
        <v>0.2</v>
      </c>
      <c r="AO17" s="160">
        <f t="shared" si="3"/>
        <v>102161094.79768629</v>
      </c>
      <c r="AP17" s="161">
        <f t="shared" si="4"/>
        <v>28378.084158492744</v>
      </c>
      <c r="AQ17" s="162">
        <f t="shared" si="5"/>
        <v>5675.6168316985495</v>
      </c>
      <c r="AR17" s="580">
        <f>AQ17/$AR$3</f>
        <v>0.80987683100721308</v>
      </c>
      <c r="AS17" s="582">
        <f t="shared" si="9"/>
        <v>0.80987683100721308</v>
      </c>
      <c r="AT17" s="165"/>
      <c r="AU17" s="166"/>
      <c r="AV17" s="167"/>
      <c r="AW17" s="146"/>
      <c r="AX17" s="168"/>
    </row>
    <row r="18" spans="1:50" s="139" customFormat="1" ht="11.25" x14ac:dyDescent="0.25">
      <c r="A18" s="140">
        <v>7</v>
      </c>
      <c r="B18" s="170" t="s">
        <v>69</v>
      </c>
      <c r="C18" s="142"/>
      <c r="D18" s="143"/>
      <c r="E18" s="143"/>
      <c r="F18" s="143"/>
      <c r="G18" s="143"/>
      <c r="H18" s="143"/>
      <c r="I18" s="171">
        <v>151552</v>
      </c>
      <c r="J18" s="144">
        <v>152557</v>
      </c>
      <c r="K18" s="144">
        <v>153398</v>
      </c>
      <c r="L18" s="144">
        <v>158499</v>
      </c>
      <c r="M18" s="144">
        <v>173558</v>
      </c>
      <c r="N18" s="143"/>
      <c r="O18" s="145"/>
      <c r="P18" s="146">
        <f t="shared" si="6"/>
        <v>173558</v>
      </c>
      <c r="Q18" s="147">
        <f t="shared" si="7"/>
        <v>19091.38</v>
      </c>
      <c r="R18" s="147">
        <f t="shared" si="1"/>
        <v>52.305150684931512</v>
      </c>
      <c r="S18" s="148">
        <f t="shared" si="2"/>
        <v>11454.828</v>
      </c>
      <c r="T18" s="149"/>
      <c r="U18" s="150"/>
      <c r="V18" s="151"/>
      <c r="W18" s="151"/>
      <c r="X18" s="152"/>
      <c r="Y18" s="153"/>
      <c r="Z18" s="153"/>
      <c r="AA18" s="154"/>
      <c r="AB18" s="155">
        <f>S18*$AB$3</f>
        <v>6643.8002399999996</v>
      </c>
      <c r="AC18" s="156">
        <f>S18*$AC$3</f>
        <v>1489.1276399999999</v>
      </c>
      <c r="AD18" s="156">
        <f>S18*$AD$3</f>
        <v>1005.1611569999999</v>
      </c>
      <c r="AE18" s="156">
        <f>S18*$AE$3</f>
        <v>458.19311999999996</v>
      </c>
      <c r="AF18" s="156">
        <f>S18*$AF$3</f>
        <v>229.09655999999998</v>
      </c>
      <c r="AG18" s="156">
        <f>S18*$AG$3</f>
        <v>229.09655999999998</v>
      </c>
      <c r="AH18" s="156">
        <f>S18*$AH$3</f>
        <v>114.54827999999999</v>
      </c>
      <c r="AI18" s="156">
        <f>S18*$AI$3</f>
        <v>229.09655999999998</v>
      </c>
      <c r="AJ18" s="156">
        <f>S18*$AJ$3</f>
        <v>229.09655999999998</v>
      </c>
      <c r="AK18" s="156">
        <f>S18*$AK$3</f>
        <v>801.83796000000007</v>
      </c>
      <c r="AL18" s="157">
        <f t="shared" si="8"/>
        <v>3525.2233169999995</v>
      </c>
      <c r="AM18" s="158">
        <f>$AM$3</f>
        <v>2200</v>
      </c>
      <c r="AN18" s="159">
        <v>0.2</v>
      </c>
      <c r="AO18" s="160">
        <f t="shared" si="3"/>
        <v>93666469.22258471</v>
      </c>
      <c r="AP18" s="161">
        <f t="shared" si="4"/>
        <v>26018.465754417291</v>
      </c>
      <c r="AQ18" s="162">
        <f t="shared" si="5"/>
        <v>5203.6931508834587</v>
      </c>
      <c r="AR18" s="580">
        <f>AQ18/$AR$3</f>
        <v>0.74253612312834738</v>
      </c>
      <c r="AS18" s="582">
        <f t="shared" si="9"/>
        <v>0.74253612312834738</v>
      </c>
      <c r="AT18" s="165"/>
      <c r="AU18" s="166"/>
      <c r="AV18" s="167"/>
      <c r="AW18" s="146"/>
      <c r="AX18" s="168"/>
    </row>
    <row r="19" spans="1:50" s="139" customFormat="1" ht="11.25" x14ac:dyDescent="0.25">
      <c r="A19" s="140">
        <v>8</v>
      </c>
      <c r="B19" s="170" t="s">
        <v>70</v>
      </c>
      <c r="C19" s="142"/>
      <c r="D19" s="143"/>
      <c r="E19" s="143"/>
      <c r="F19" s="143"/>
      <c r="G19" s="143"/>
      <c r="H19" s="143"/>
      <c r="I19" s="144">
        <v>304303</v>
      </c>
      <c r="J19" s="144">
        <v>307362</v>
      </c>
      <c r="K19" s="144">
        <v>310107</v>
      </c>
      <c r="L19" s="144">
        <v>312762</v>
      </c>
      <c r="M19" s="144">
        <v>351418</v>
      </c>
      <c r="N19" s="143"/>
      <c r="O19" s="145"/>
      <c r="P19" s="146">
        <f t="shared" si="6"/>
        <v>351418</v>
      </c>
      <c r="Q19" s="147">
        <f t="shared" si="7"/>
        <v>38655.980000000003</v>
      </c>
      <c r="R19" s="147">
        <f t="shared" si="1"/>
        <v>105.90679452054795</v>
      </c>
      <c r="S19" s="148">
        <f t="shared" si="2"/>
        <v>23193.588</v>
      </c>
      <c r="T19" s="149"/>
      <c r="U19" s="150"/>
      <c r="V19" s="151"/>
      <c r="W19" s="151"/>
      <c r="X19" s="152"/>
      <c r="Y19" s="153"/>
      <c r="Z19" s="153"/>
      <c r="AA19" s="154"/>
      <c r="AB19" s="155">
        <f>S19*$AB$3</f>
        <v>13452.281039999998</v>
      </c>
      <c r="AC19" s="156">
        <f>S19*$AC$3</f>
        <v>3015.16644</v>
      </c>
      <c r="AD19" s="156">
        <f>S19*$AD$3</f>
        <v>2035.2373469999998</v>
      </c>
      <c r="AE19" s="156">
        <f>S19*$AE$3</f>
        <v>927.74351999999999</v>
      </c>
      <c r="AF19" s="156">
        <f>S19*$AF$3</f>
        <v>463.87175999999999</v>
      </c>
      <c r="AG19" s="156">
        <f>S19*$AG$3</f>
        <v>463.87175999999999</v>
      </c>
      <c r="AH19" s="156">
        <f>S19*$AH$3</f>
        <v>231.93588</v>
      </c>
      <c r="AI19" s="156">
        <f>S19*$AI$3</f>
        <v>463.87175999999999</v>
      </c>
      <c r="AJ19" s="156">
        <f>S19*$AJ$3</f>
        <v>463.87175999999999</v>
      </c>
      <c r="AK19" s="156">
        <f>S19*$AK$3</f>
        <v>1623.5511600000002</v>
      </c>
      <c r="AL19" s="157">
        <f t="shared" si="8"/>
        <v>7137.8267069999993</v>
      </c>
      <c r="AM19" s="158">
        <f>$AM$3</f>
        <v>2200</v>
      </c>
      <c r="AN19" s="159">
        <v>0.2</v>
      </c>
      <c r="AO19" s="160">
        <f t="shared" si="3"/>
        <v>189654658.8533071</v>
      </c>
      <c r="AP19" s="161">
        <f t="shared" si="4"/>
        <v>52681.85389602217</v>
      </c>
      <c r="AQ19" s="162">
        <f t="shared" si="5"/>
        <v>10536.370779204435</v>
      </c>
      <c r="AR19" s="580">
        <f>AQ19/$AR$3</f>
        <v>1.5034775655257471</v>
      </c>
      <c r="AS19" s="582">
        <f t="shared" si="9"/>
        <v>1.5034775655257471</v>
      </c>
      <c r="AT19" s="165"/>
      <c r="AU19" s="166"/>
      <c r="AV19" s="167"/>
      <c r="AW19" s="146"/>
      <c r="AX19" s="168"/>
    </row>
    <row r="20" spans="1:50" s="139" customFormat="1" ht="11.25" x14ac:dyDescent="0.25">
      <c r="A20" s="140">
        <v>9</v>
      </c>
      <c r="B20" s="170" t="s">
        <v>71</v>
      </c>
      <c r="C20" s="142"/>
      <c r="D20" s="143"/>
      <c r="E20" s="143"/>
      <c r="F20" s="143"/>
      <c r="G20" s="143"/>
      <c r="H20" s="143"/>
      <c r="I20" s="144">
        <v>365813</v>
      </c>
      <c r="J20" s="144">
        <v>373234</v>
      </c>
      <c r="K20" s="144">
        <v>380382</v>
      </c>
      <c r="L20" s="144">
        <v>386053</v>
      </c>
      <c r="M20" s="144">
        <v>379108</v>
      </c>
      <c r="N20" s="143"/>
      <c r="O20" s="145"/>
      <c r="P20" s="146">
        <f t="shared" si="6"/>
        <v>386053</v>
      </c>
      <c r="Q20" s="147">
        <f t="shared" si="7"/>
        <v>42465.83</v>
      </c>
      <c r="R20" s="147">
        <f t="shared" si="1"/>
        <v>116.3447397260274</v>
      </c>
      <c r="S20" s="148">
        <f t="shared" si="2"/>
        <v>25479.498</v>
      </c>
      <c r="T20" s="149"/>
      <c r="U20" s="150"/>
      <c r="V20" s="151"/>
      <c r="W20" s="151"/>
      <c r="X20" s="152"/>
      <c r="Y20" s="153"/>
      <c r="Z20" s="153"/>
      <c r="AA20" s="154"/>
      <c r="AB20" s="155">
        <f>S20*$AB$3</f>
        <v>14778.108839999999</v>
      </c>
      <c r="AC20" s="156">
        <f>S20*$AC$3</f>
        <v>3312.3347400000002</v>
      </c>
      <c r="AD20" s="156">
        <f>S20*$AD$3</f>
        <v>2235.8259494999998</v>
      </c>
      <c r="AE20" s="156">
        <f>S20*$AE$3</f>
        <v>1019.17992</v>
      </c>
      <c r="AF20" s="156">
        <f>S20*$AF$3</f>
        <v>509.58996000000002</v>
      </c>
      <c r="AG20" s="156">
        <f>S20*$AG$3</f>
        <v>509.58996000000002</v>
      </c>
      <c r="AH20" s="156">
        <f>S20*$AH$3</f>
        <v>254.79498000000001</v>
      </c>
      <c r="AI20" s="156">
        <f>S20*$AI$3</f>
        <v>509.58996000000002</v>
      </c>
      <c r="AJ20" s="156">
        <f>S20*$AJ$3</f>
        <v>509.58996000000002</v>
      </c>
      <c r="AK20" s="156">
        <f>S20*$AK$3</f>
        <v>1783.5648600000002</v>
      </c>
      <c r="AL20" s="157">
        <f t="shared" si="8"/>
        <v>7841.3155095000011</v>
      </c>
      <c r="AM20" s="158">
        <f>$AM$3</f>
        <v>2200</v>
      </c>
      <c r="AN20" s="159">
        <v>0.2</v>
      </c>
      <c r="AO20" s="160">
        <f t="shared" si="3"/>
        <v>208346612.90627053</v>
      </c>
      <c r="AP20" s="161">
        <f t="shared" si="4"/>
        <v>57874.063770555433</v>
      </c>
      <c r="AQ20" s="162">
        <f t="shared" si="5"/>
        <v>11574.812754111088</v>
      </c>
      <c r="AR20" s="580">
        <f>AQ20/$AR$3</f>
        <v>1.6516570710774954</v>
      </c>
      <c r="AS20" s="582">
        <f t="shared" si="9"/>
        <v>1.6516570710774954</v>
      </c>
      <c r="AT20" s="165"/>
      <c r="AU20" s="166"/>
      <c r="AV20" s="167"/>
      <c r="AW20" s="146"/>
      <c r="AX20" s="168"/>
    </row>
    <row r="21" spans="1:50" s="139" customFormat="1" ht="11.25" x14ac:dyDescent="0.25">
      <c r="A21" s="140">
        <v>10</v>
      </c>
      <c r="B21" s="170" t="s">
        <v>72</v>
      </c>
      <c r="C21" s="142"/>
      <c r="D21" s="143"/>
      <c r="E21" s="143"/>
      <c r="F21" s="143"/>
      <c r="G21" s="143"/>
      <c r="H21" s="143"/>
      <c r="I21" s="144">
        <v>354027</v>
      </c>
      <c r="J21" s="144">
        <v>355989</v>
      </c>
      <c r="K21" s="144">
        <v>357564</v>
      </c>
      <c r="L21" s="144">
        <v>359032</v>
      </c>
      <c r="M21" s="144">
        <v>389288</v>
      </c>
      <c r="N21" s="143"/>
      <c r="O21" s="145"/>
      <c r="P21" s="146">
        <f t="shared" si="6"/>
        <v>389288</v>
      </c>
      <c r="Q21" s="147">
        <f t="shared" si="7"/>
        <v>42821.68</v>
      </c>
      <c r="R21" s="147">
        <f t="shared" si="1"/>
        <v>117.31967123287671</v>
      </c>
      <c r="S21" s="148">
        <f t="shared" si="2"/>
        <v>25693.007999999998</v>
      </c>
      <c r="T21" s="149"/>
      <c r="U21" s="150"/>
      <c r="V21" s="151"/>
      <c r="W21" s="151"/>
      <c r="X21" s="152"/>
      <c r="Y21" s="153"/>
      <c r="Z21" s="153"/>
      <c r="AA21" s="154"/>
      <c r="AB21" s="155">
        <f>S21*$AB$3</f>
        <v>14901.944639999998</v>
      </c>
      <c r="AC21" s="156">
        <f>S21*$AC$3</f>
        <v>3340.0910399999998</v>
      </c>
      <c r="AD21" s="156">
        <f>S21*$AD$3</f>
        <v>2254.5614519999995</v>
      </c>
      <c r="AE21" s="156">
        <f>S21*$AE$3</f>
        <v>1027.7203199999999</v>
      </c>
      <c r="AF21" s="156">
        <f>S21*$AF$3</f>
        <v>513.86015999999995</v>
      </c>
      <c r="AG21" s="156">
        <f>S21*$AG$3</f>
        <v>513.86015999999995</v>
      </c>
      <c r="AH21" s="156">
        <f>S21*$AH$3</f>
        <v>256.93007999999998</v>
      </c>
      <c r="AI21" s="156">
        <f>S21*$AI$3</f>
        <v>513.86015999999995</v>
      </c>
      <c r="AJ21" s="156">
        <f>S21*$AJ$3</f>
        <v>513.86015999999995</v>
      </c>
      <c r="AK21" s="156">
        <f>S21*$AK$3</f>
        <v>1798.5105599999999</v>
      </c>
      <c r="AL21" s="157">
        <f t="shared" si="8"/>
        <v>7907.0232120000001</v>
      </c>
      <c r="AM21" s="158">
        <f>$AM$3</f>
        <v>2200</v>
      </c>
      <c r="AN21" s="159">
        <v>0.2</v>
      </c>
      <c r="AO21" s="160">
        <f t="shared" si="3"/>
        <v>210092490.5260579</v>
      </c>
      <c r="AP21" s="161">
        <f t="shared" si="4"/>
        <v>58359.029814849207</v>
      </c>
      <c r="AQ21" s="162">
        <f t="shared" si="5"/>
        <v>11671.805962969842</v>
      </c>
      <c r="AR21" s="580">
        <f>AQ21/$AR$3</f>
        <v>1.6654974262228655</v>
      </c>
      <c r="AS21" s="582">
        <f t="shared" si="9"/>
        <v>1.6654974262228655</v>
      </c>
      <c r="AT21" s="165"/>
      <c r="AU21" s="166"/>
      <c r="AV21" s="167"/>
      <c r="AW21" s="146"/>
      <c r="AX21" s="168"/>
    </row>
    <row r="22" spans="1:50" s="139" customFormat="1" ht="11.25" x14ac:dyDescent="0.25">
      <c r="A22" s="140">
        <v>11</v>
      </c>
      <c r="B22" s="170" t="s">
        <v>73</v>
      </c>
      <c r="C22" s="142"/>
      <c r="D22" s="143"/>
      <c r="E22" s="143"/>
      <c r="F22" s="143"/>
      <c r="G22" s="143"/>
      <c r="H22" s="143"/>
      <c r="I22" s="144">
        <v>506002</v>
      </c>
      <c r="J22" s="144">
        <v>510494</v>
      </c>
      <c r="K22" s="144">
        <v>517741</v>
      </c>
      <c r="L22" s="144">
        <v>532537</v>
      </c>
      <c r="M22" s="144">
        <v>529751</v>
      </c>
      <c r="N22" s="143"/>
      <c r="O22" s="145"/>
      <c r="P22" s="146">
        <f t="shared" si="6"/>
        <v>532537</v>
      </c>
      <c r="Q22" s="147">
        <f>P22*$Q$7</f>
        <v>77750.402000000002</v>
      </c>
      <c r="R22" s="147">
        <f t="shared" si="1"/>
        <v>213.01480000000001</v>
      </c>
      <c r="S22" s="148">
        <f>R22*$S$3*$S$7</f>
        <v>54425.2814</v>
      </c>
      <c r="T22" s="149"/>
      <c r="U22" s="150"/>
      <c r="V22" s="151"/>
      <c r="W22" s="151"/>
      <c r="X22" s="152"/>
      <c r="Y22" s="153"/>
      <c r="Z22" s="153"/>
      <c r="AA22" s="154"/>
      <c r="AB22" s="155">
        <f>S22*$AB$3</f>
        <v>31566.663211999999</v>
      </c>
      <c r="AC22" s="156">
        <f>S22*$AC$3</f>
        <v>7075.2865820000006</v>
      </c>
      <c r="AD22" s="156">
        <f>S22*$AD$3</f>
        <v>4775.8184428499999</v>
      </c>
      <c r="AE22" s="156">
        <f>S22*$AE$3</f>
        <v>2177.0112560000002</v>
      </c>
      <c r="AF22" s="156">
        <f>S22*$AF$3</f>
        <v>1088.5056280000001</v>
      </c>
      <c r="AG22" s="156">
        <f>S22*$AG$3</f>
        <v>1088.5056280000001</v>
      </c>
      <c r="AH22" s="156">
        <f>S22*$AH$3</f>
        <v>544.25281400000006</v>
      </c>
      <c r="AI22" s="156">
        <f>S22*$AI$3</f>
        <v>1088.5056280000001</v>
      </c>
      <c r="AJ22" s="156">
        <f>S22*$AJ$3</f>
        <v>1088.5056280000001</v>
      </c>
      <c r="AK22" s="156">
        <f>S22*$AK$3</f>
        <v>3809.7696980000005</v>
      </c>
      <c r="AL22" s="157">
        <f t="shared" si="8"/>
        <v>16749.380350850002</v>
      </c>
      <c r="AM22" s="158">
        <f>$AM$3</f>
        <v>2200</v>
      </c>
      <c r="AN22" s="159">
        <v>0.2</v>
      </c>
      <c r="AO22" s="160">
        <f t="shared" si="3"/>
        <v>445037144.61566877</v>
      </c>
      <c r="AP22" s="161">
        <f t="shared" si="4"/>
        <v>123621.43894962232</v>
      </c>
      <c r="AQ22" s="162">
        <f t="shared" si="5"/>
        <v>24724.287789924463</v>
      </c>
      <c r="AR22" s="580">
        <f>AQ22/$AR$3</f>
        <v>3.5280091024435594</v>
      </c>
      <c r="AS22" s="582">
        <f t="shared" si="9"/>
        <v>3.5280091024435594</v>
      </c>
      <c r="AT22" s="165"/>
      <c r="AU22" s="166"/>
      <c r="AV22" s="167"/>
      <c r="AW22" s="146"/>
      <c r="AX22" s="168"/>
    </row>
    <row r="23" spans="1:50" s="139" customFormat="1" ht="11.25" x14ac:dyDescent="0.25">
      <c r="A23" s="140">
        <v>12</v>
      </c>
      <c r="B23" s="170" t="s">
        <v>74</v>
      </c>
      <c r="C23" s="142"/>
      <c r="D23" s="143"/>
      <c r="E23" s="143"/>
      <c r="F23" s="143"/>
      <c r="G23" s="143"/>
      <c r="H23" s="143"/>
      <c r="I23" s="144">
        <v>119397</v>
      </c>
      <c r="J23" s="144">
        <v>121302</v>
      </c>
      <c r="K23" s="144">
        <v>123101</v>
      </c>
      <c r="L23" s="144">
        <v>124813</v>
      </c>
      <c r="M23" s="144">
        <v>126036</v>
      </c>
      <c r="N23" s="143"/>
      <c r="O23" s="145"/>
      <c r="P23" s="146">
        <f t="shared" si="6"/>
        <v>126036</v>
      </c>
      <c r="Q23" s="147">
        <f t="shared" si="7"/>
        <v>13863.960000000001</v>
      </c>
      <c r="R23" s="147">
        <f t="shared" si="1"/>
        <v>37.983452054794526</v>
      </c>
      <c r="S23" s="148">
        <f t="shared" ref="S23:S34" si="10">R23*$S$3*$S$8</f>
        <v>8318.376000000002</v>
      </c>
      <c r="T23" s="149"/>
      <c r="U23" s="150"/>
      <c r="V23" s="151"/>
      <c r="W23" s="151"/>
      <c r="X23" s="152"/>
      <c r="Y23" s="153"/>
      <c r="Z23" s="153"/>
      <c r="AA23" s="154"/>
      <c r="AB23" s="155">
        <f>S23*$AB$3</f>
        <v>4824.6580800000011</v>
      </c>
      <c r="AC23" s="156">
        <f>S23*$AC$3</f>
        <v>1081.3888800000002</v>
      </c>
      <c r="AD23" s="156">
        <f>S23*$AD$3</f>
        <v>729.93749400000013</v>
      </c>
      <c r="AE23" s="156">
        <f>S23*$AE$3</f>
        <v>332.73504000000008</v>
      </c>
      <c r="AF23" s="156">
        <f>S23*$AF$3</f>
        <v>166.36752000000004</v>
      </c>
      <c r="AG23" s="156">
        <f>S23*$AG$3</f>
        <v>166.36752000000004</v>
      </c>
      <c r="AH23" s="156">
        <f>S23*$AH$3</f>
        <v>83.183760000000021</v>
      </c>
      <c r="AI23" s="156">
        <f>S23*$AI$3</f>
        <v>166.36752000000004</v>
      </c>
      <c r="AJ23" s="156">
        <f>S23*$AJ$3</f>
        <v>166.36752000000004</v>
      </c>
      <c r="AK23" s="156">
        <f>S23*$AK$3</f>
        <v>582.28632000000016</v>
      </c>
      <c r="AL23" s="157">
        <f t="shared" si="8"/>
        <v>2559.9802140000006</v>
      </c>
      <c r="AM23" s="158">
        <f>$AM$3</f>
        <v>2200</v>
      </c>
      <c r="AN23" s="159">
        <v>0.2</v>
      </c>
      <c r="AO23" s="160">
        <f t="shared" si="3"/>
        <v>68019607.940502256</v>
      </c>
      <c r="AP23" s="161">
        <f t="shared" si="4"/>
        <v>18894.337050575246</v>
      </c>
      <c r="AQ23" s="162">
        <f t="shared" si="5"/>
        <v>3778.8674101150496</v>
      </c>
      <c r="AR23" s="580">
        <f>AQ23/$AR$3</f>
        <v>0.53922194779038946</v>
      </c>
      <c r="AS23" s="582">
        <f t="shared" si="9"/>
        <v>0.53922194779038946</v>
      </c>
      <c r="AT23" s="165"/>
      <c r="AU23" s="166"/>
      <c r="AV23" s="167"/>
      <c r="AW23" s="146"/>
      <c r="AX23" s="168"/>
    </row>
    <row r="24" spans="1:50" s="139" customFormat="1" ht="11.25" x14ac:dyDescent="0.25">
      <c r="A24" s="140">
        <v>13</v>
      </c>
      <c r="B24" s="170" t="s">
        <v>75</v>
      </c>
      <c r="C24" s="142"/>
      <c r="D24" s="143"/>
      <c r="E24" s="143"/>
      <c r="F24" s="143"/>
      <c r="G24" s="143"/>
      <c r="H24" s="143"/>
      <c r="I24" s="144">
        <v>73752</v>
      </c>
      <c r="J24" s="144">
        <v>74312</v>
      </c>
      <c r="K24" s="144">
        <v>74794</v>
      </c>
      <c r="L24" s="144">
        <v>75165</v>
      </c>
      <c r="M24" s="144">
        <v>79560</v>
      </c>
      <c r="N24" s="143"/>
      <c r="O24" s="145"/>
      <c r="P24" s="146">
        <f t="shared" si="6"/>
        <v>79560</v>
      </c>
      <c r="Q24" s="147">
        <f t="shared" si="7"/>
        <v>8751.6</v>
      </c>
      <c r="R24" s="147">
        <f t="shared" si="1"/>
        <v>23.976986301369863</v>
      </c>
      <c r="S24" s="148">
        <f t="shared" si="10"/>
        <v>5250.96</v>
      </c>
      <c r="T24" s="149"/>
      <c r="U24" s="150"/>
      <c r="V24" s="151"/>
      <c r="W24" s="151"/>
      <c r="X24" s="152"/>
      <c r="Y24" s="153"/>
      <c r="Z24" s="153"/>
      <c r="AA24" s="154"/>
      <c r="AB24" s="155">
        <f>S24*$AB$3</f>
        <v>3045.5567999999998</v>
      </c>
      <c r="AC24" s="156">
        <f>S24*$AC$3</f>
        <v>682.62480000000005</v>
      </c>
      <c r="AD24" s="156">
        <f>S24*$AD$3</f>
        <v>460.77173999999997</v>
      </c>
      <c r="AE24" s="156">
        <f>S24*$AE$3</f>
        <v>210.0384</v>
      </c>
      <c r="AF24" s="156">
        <f>S24*$AF$3</f>
        <v>105.0192</v>
      </c>
      <c r="AG24" s="156">
        <f>S24*$AG$3</f>
        <v>105.0192</v>
      </c>
      <c r="AH24" s="156">
        <f>S24*$AH$3</f>
        <v>52.509599999999999</v>
      </c>
      <c r="AI24" s="156">
        <f>S24*$AI$3</f>
        <v>105.0192</v>
      </c>
      <c r="AJ24" s="156">
        <f>S24*$AJ$3</f>
        <v>105.0192</v>
      </c>
      <c r="AK24" s="156">
        <f>S24*$AK$3</f>
        <v>367.56720000000001</v>
      </c>
      <c r="AL24" s="157">
        <f t="shared" si="8"/>
        <v>1615.9829399999999</v>
      </c>
      <c r="AM24" s="158">
        <f>$AM$3</f>
        <v>2200</v>
      </c>
      <c r="AN24" s="159">
        <v>0.2</v>
      </c>
      <c r="AO24" s="160">
        <f t="shared" si="3"/>
        <v>42937256.083550401</v>
      </c>
      <c r="AP24" s="161">
        <f t="shared" si="4"/>
        <v>11927.016532925247</v>
      </c>
      <c r="AQ24" s="162">
        <f t="shared" si="5"/>
        <v>2385.4033065850494</v>
      </c>
      <c r="AR24" s="580">
        <f>AQ24/$AR$3</f>
        <v>0.3403828919213826</v>
      </c>
      <c r="AS24" s="582">
        <f t="shared" si="9"/>
        <v>0.3403828919213826</v>
      </c>
      <c r="AT24" s="165"/>
      <c r="AU24" s="166"/>
      <c r="AV24" s="167"/>
      <c r="AW24" s="146"/>
      <c r="AX24" s="168"/>
    </row>
    <row r="25" spans="1:50" s="139" customFormat="1" ht="11.25" x14ac:dyDescent="0.25">
      <c r="A25" s="140">
        <v>14</v>
      </c>
      <c r="B25" s="170" t="s">
        <v>76</v>
      </c>
      <c r="C25" s="142"/>
      <c r="D25" s="143"/>
      <c r="E25" s="143"/>
      <c r="F25" s="143"/>
      <c r="G25" s="143"/>
      <c r="H25" s="143"/>
      <c r="I25" s="144">
        <v>239260</v>
      </c>
      <c r="J25" s="144">
        <v>239451</v>
      </c>
      <c r="K25" s="144">
        <v>239899</v>
      </c>
      <c r="L25" s="144">
        <v>241734</v>
      </c>
      <c r="M25" s="144">
        <v>251914</v>
      </c>
      <c r="N25" s="143"/>
      <c r="O25" s="145"/>
      <c r="P25" s="146">
        <f t="shared" si="6"/>
        <v>251914</v>
      </c>
      <c r="Q25" s="147">
        <f t="shared" si="7"/>
        <v>27710.54</v>
      </c>
      <c r="R25" s="147">
        <f t="shared" si="1"/>
        <v>75.91928767123288</v>
      </c>
      <c r="S25" s="148">
        <f t="shared" si="10"/>
        <v>16626.324000000001</v>
      </c>
      <c r="T25" s="149"/>
      <c r="U25" s="150"/>
      <c r="V25" s="151"/>
      <c r="W25" s="151"/>
      <c r="X25" s="152"/>
      <c r="Y25" s="153"/>
      <c r="Z25" s="153"/>
      <c r="AA25" s="154"/>
      <c r="AB25" s="155">
        <f>S25*$AB$3</f>
        <v>9643.2679200000002</v>
      </c>
      <c r="AC25" s="156">
        <f>S25*$AC$3</f>
        <v>2161.4221200000002</v>
      </c>
      <c r="AD25" s="156">
        <f>S25*$AD$3</f>
        <v>1458.9599309999999</v>
      </c>
      <c r="AE25" s="156">
        <f>S25*$AE$3</f>
        <v>665.05295999999998</v>
      </c>
      <c r="AF25" s="156">
        <f>S25*$AF$3</f>
        <v>332.52647999999999</v>
      </c>
      <c r="AG25" s="156">
        <f>S25*$AG$3</f>
        <v>332.52647999999999</v>
      </c>
      <c r="AH25" s="156">
        <f>S25*$AH$3</f>
        <v>166.26324</v>
      </c>
      <c r="AI25" s="156">
        <f>S25*$AI$3</f>
        <v>332.52647999999999</v>
      </c>
      <c r="AJ25" s="156">
        <f>S25*$AJ$3</f>
        <v>332.52647999999999</v>
      </c>
      <c r="AK25" s="156">
        <f>S25*$AK$3</f>
        <v>1163.8426800000002</v>
      </c>
      <c r="AL25" s="157">
        <f t="shared" si="8"/>
        <v>5116.7512110000007</v>
      </c>
      <c r="AM25" s="158">
        <f>$AM$3</f>
        <v>2200</v>
      </c>
      <c r="AN25" s="159">
        <v>0.2</v>
      </c>
      <c r="AO25" s="160">
        <f t="shared" si="3"/>
        <v>135953945.81487578</v>
      </c>
      <c r="AP25" s="161">
        <f t="shared" si="4"/>
        <v>37764.9879697754</v>
      </c>
      <c r="AQ25" s="162">
        <f t="shared" si="5"/>
        <v>7552.9975939550804</v>
      </c>
      <c r="AR25" s="580">
        <f>AQ25/$AR$3</f>
        <v>1.0777679215118552</v>
      </c>
      <c r="AS25" s="582">
        <f t="shared" si="9"/>
        <v>1.0777679215118552</v>
      </c>
      <c r="AT25" s="165"/>
      <c r="AU25" s="166"/>
      <c r="AV25" s="167"/>
      <c r="AW25" s="146"/>
      <c r="AX25" s="168"/>
    </row>
    <row r="26" spans="1:50" s="139" customFormat="1" ht="11.25" x14ac:dyDescent="0.25">
      <c r="A26" s="140">
        <v>15</v>
      </c>
      <c r="B26" s="170" t="s">
        <v>77</v>
      </c>
      <c r="C26" s="142"/>
      <c r="D26" s="143"/>
      <c r="E26" s="143"/>
      <c r="F26" s="143"/>
      <c r="G26" s="143"/>
      <c r="H26" s="143"/>
      <c r="I26" s="144">
        <v>65996</v>
      </c>
      <c r="J26" s="144">
        <v>70673</v>
      </c>
      <c r="K26" s="144">
        <v>75597</v>
      </c>
      <c r="L26" s="144">
        <v>82904</v>
      </c>
      <c r="M26" s="144">
        <v>76782</v>
      </c>
      <c r="N26" s="143"/>
      <c r="O26" s="145"/>
      <c r="P26" s="146">
        <f t="shared" si="6"/>
        <v>82904</v>
      </c>
      <c r="Q26" s="147">
        <f t="shared" si="7"/>
        <v>9119.44</v>
      </c>
      <c r="R26" s="147">
        <f t="shared" si="1"/>
        <v>24.984767123287671</v>
      </c>
      <c r="S26" s="148">
        <f t="shared" si="10"/>
        <v>5471.6639999999998</v>
      </c>
      <c r="T26" s="149"/>
      <c r="U26" s="150"/>
      <c r="V26" s="151"/>
      <c r="W26" s="151"/>
      <c r="X26" s="152"/>
      <c r="Y26" s="153"/>
      <c r="Z26" s="153"/>
      <c r="AA26" s="154"/>
      <c r="AB26" s="155">
        <f>S26*$AB$3</f>
        <v>3173.5651199999998</v>
      </c>
      <c r="AC26" s="156">
        <f>S26*$AC$3</f>
        <v>711.31632000000002</v>
      </c>
      <c r="AD26" s="156">
        <f>S26*$AD$3</f>
        <v>480.13851599999992</v>
      </c>
      <c r="AE26" s="156">
        <f>S26*$AE$3</f>
        <v>218.86655999999999</v>
      </c>
      <c r="AF26" s="156">
        <f>S26*$AF$3</f>
        <v>109.43328</v>
      </c>
      <c r="AG26" s="156">
        <f>S26*$AG$3</f>
        <v>109.43328</v>
      </c>
      <c r="AH26" s="156">
        <f>S26*$AH$3</f>
        <v>54.716639999999998</v>
      </c>
      <c r="AI26" s="156">
        <f>S26*$AI$3</f>
        <v>109.43328</v>
      </c>
      <c r="AJ26" s="156">
        <f>S26*$AJ$3</f>
        <v>109.43328</v>
      </c>
      <c r="AK26" s="156">
        <f>S26*$AK$3</f>
        <v>383.01648</v>
      </c>
      <c r="AL26" s="157">
        <f t="shared" si="8"/>
        <v>1683.9045959999999</v>
      </c>
      <c r="AM26" s="158">
        <f>$AM$3</f>
        <v>2200</v>
      </c>
      <c r="AN26" s="159">
        <v>0.2</v>
      </c>
      <c r="AO26" s="160">
        <f t="shared" si="3"/>
        <v>44741959.255287357</v>
      </c>
      <c r="AP26" s="161">
        <f t="shared" si="4"/>
        <v>12428.32300962336</v>
      </c>
      <c r="AQ26" s="162">
        <f t="shared" si="5"/>
        <v>2485.6646019246723</v>
      </c>
      <c r="AR26" s="580">
        <f>AQ26/$AR$3</f>
        <v>0.35468958360797265</v>
      </c>
      <c r="AS26" s="582">
        <f t="shared" si="9"/>
        <v>0.35468958360797265</v>
      </c>
      <c r="AT26" s="165"/>
      <c r="AU26" s="166"/>
      <c r="AV26" s="167"/>
      <c r="AW26" s="146"/>
      <c r="AX26" s="168"/>
    </row>
    <row r="27" spans="1:50" s="139" customFormat="1" ht="11.25" x14ac:dyDescent="0.25">
      <c r="A27" s="140">
        <v>16</v>
      </c>
      <c r="B27" s="170" t="s">
        <v>78</v>
      </c>
      <c r="C27" s="142"/>
      <c r="D27" s="143"/>
      <c r="E27" s="143"/>
      <c r="F27" s="143"/>
      <c r="G27" s="143"/>
      <c r="H27" s="143"/>
      <c r="I27" s="144">
        <v>123984</v>
      </c>
      <c r="J27" s="144">
        <v>124141</v>
      </c>
      <c r="K27" s="144">
        <v>124340</v>
      </c>
      <c r="L27" s="144">
        <v>125425</v>
      </c>
      <c r="M27" s="144">
        <v>139663</v>
      </c>
      <c r="N27" s="143"/>
      <c r="O27" s="145"/>
      <c r="P27" s="146">
        <f t="shared" si="6"/>
        <v>139663</v>
      </c>
      <c r="Q27" s="147">
        <f t="shared" si="7"/>
        <v>15362.93</v>
      </c>
      <c r="R27" s="147">
        <f t="shared" si="1"/>
        <v>42.090219178082194</v>
      </c>
      <c r="S27" s="148">
        <f t="shared" si="10"/>
        <v>9217.7579999999998</v>
      </c>
      <c r="T27" s="149"/>
      <c r="U27" s="150"/>
      <c r="V27" s="151"/>
      <c r="W27" s="151"/>
      <c r="X27" s="152"/>
      <c r="Y27" s="153"/>
      <c r="Z27" s="153"/>
      <c r="AA27" s="154"/>
      <c r="AB27" s="155">
        <f>S27*$AB$3</f>
        <v>5346.2996399999993</v>
      </c>
      <c r="AC27" s="156">
        <f>S27*$AC$3</f>
        <v>1198.30854</v>
      </c>
      <c r="AD27" s="156">
        <f>S27*$AD$3</f>
        <v>808.8582644999999</v>
      </c>
      <c r="AE27" s="156">
        <f>S27*$AE$3</f>
        <v>368.71032000000002</v>
      </c>
      <c r="AF27" s="156">
        <f>S27*$AF$3</f>
        <v>184.35516000000001</v>
      </c>
      <c r="AG27" s="156">
        <f>S27*$AG$3</f>
        <v>184.35516000000001</v>
      </c>
      <c r="AH27" s="156">
        <f>S27*$AH$3</f>
        <v>92.177580000000006</v>
      </c>
      <c r="AI27" s="156">
        <f>S27*$AI$3</f>
        <v>184.35516000000001</v>
      </c>
      <c r="AJ27" s="156">
        <f>S27*$AJ$3</f>
        <v>184.35516000000001</v>
      </c>
      <c r="AK27" s="156">
        <f>S27*$AK$3</f>
        <v>645.24306000000001</v>
      </c>
      <c r="AL27" s="157">
        <f t="shared" si="8"/>
        <v>2836.7650245</v>
      </c>
      <c r="AM27" s="158">
        <f>$AM$3</f>
        <v>2200</v>
      </c>
      <c r="AN27" s="159">
        <v>0.2</v>
      </c>
      <c r="AO27" s="160">
        <f t="shared" si="3"/>
        <v>75373881.302122921</v>
      </c>
      <c r="AP27" s="161">
        <f t="shared" si="4"/>
        <v>20937.190925564839</v>
      </c>
      <c r="AQ27" s="162">
        <f t="shared" si="5"/>
        <v>4187.4381851129683</v>
      </c>
      <c r="AR27" s="580">
        <f>AQ27/$AR$3</f>
        <v>0.59752257207662218</v>
      </c>
      <c r="AS27" s="582">
        <f t="shared" si="9"/>
        <v>0.59752257207662218</v>
      </c>
      <c r="AT27" s="165"/>
      <c r="AU27" s="166"/>
      <c r="AV27" s="167"/>
      <c r="AW27" s="146"/>
      <c r="AX27" s="168"/>
    </row>
    <row r="28" spans="1:50" s="139" customFormat="1" ht="11.25" x14ac:dyDescent="0.25">
      <c r="A28" s="140">
        <v>17</v>
      </c>
      <c r="B28" s="170" t="s">
        <v>79</v>
      </c>
      <c r="C28" s="142"/>
      <c r="D28" s="143"/>
      <c r="E28" s="143"/>
      <c r="F28" s="143"/>
      <c r="G28" s="143"/>
      <c r="H28" s="143"/>
      <c r="I28" s="144">
        <v>109429</v>
      </c>
      <c r="J28" s="144">
        <v>111040</v>
      </c>
      <c r="K28" s="144">
        <v>112549</v>
      </c>
      <c r="L28" s="144">
        <v>114464</v>
      </c>
      <c r="M28" s="144">
        <v>122277</v>
      </c>
      <c r="N28" s="143"/>
      <c r="O28" s="145"/>
      <c r="P28" s="146">
        <f t="shared" si="6"/>
        <v>122277</v>
      </c>
      <c r="Q28" s="147">
        <f t="shared" si="7"/>
        <v>13450.47</v>
      </c>
      <c r="R28" s="147">
        <f t="shared" si="1"/>
        <v>36.850602739726028</v>
      </c>
      <c r="S28" s="148">
        <f t="shared" si="10"/>
        <v>8070.2820000000002</v>
      </c>
      <c r="T28" s="149"/>
      <c r="U28" s="150"/>
      <c r="V28" s="151"/>
      <c r="W28" s="151"/>
      <c r="X28" s="152"/>
      <c r="Y28" s="153"/>
      <c r="Z28" s="153"/>
      <c r="AA28" s="154"/>
      <c r="AB28" s="155">
        <f>S28*$AB$3</f>
        <v>4680.7635599999994</v>
      </c>
      <c r="AC28" s="156">
        <f>S28*$AC$3</f>
        <v>1049.1366600000001</v>
      </c>
      <c r="AD28" s="156">
        <f>S28*$AD$3</f>
        <v>708.16724549999992</v>
      </c>
      <c r="AE28" s="156">
        <f>S28*$AE$3</f>
        <v>322.81128000000001</v>
      </c>
      <c r="AF28" s="156">
        <f>S28*$AF$3</f>
        <v>161.40564000000001</v>
      </c>
      <c r="AG28" s="156">
        <f>S28*$AG$3</f>
        <v>161.40564000000001</v>
      </c>
      <c r="AH28" s="156">
        <f>S28*$AH$3</f>
        <v>80.702820000000003</v>
      </c>
      <c r="AI28" s="156">
        <f>S28*$AI$3</f>
        <v>161.40564000000001</v>
      </c>
      <c r="AJ28" s="156">
        <f>S28*$AJ$3</f>
        <v>161.40564000000001</v>
      </c>
      <c r="AK28" s="156">
        <f>S28*$AK$3</f>
        <v>564.91974000000005</v>
      </c>
      <c r="AL28" s="157">
        <f t="shared" si="8"/>
        <v>2483.6292854999997</v>
      </c>
      <c r="AM28" s="158">
        <f>$AM$3</f>
        <v>2200</v>
      </c>
      <c r="AN28" s="159">
        <v>0.2</v>
      </c>
      <c r="AO28" s="160">
        <f t="shared" si="3"/>
        <v>65990935.924186669</v>
      </c>
      <c r="AP28" s="161">
        <f t="shared" si="4"/>
        <v>18330.817000961539</v>
      </c>
      <c r="AQ28" s="162">
        <f t="shared" si="5"/>
        <v>3666.163400192308</v>
      </c>
      <c r="AR28" s="580">
        <f>AQ28/$AR$3</f>
        <v>0.52313975459365125</v>
      </c>
      <c r="AS28" s="582">
        <f t="shared" si="9"/>
        <v>0.52313975459365125</v>
      </c>
      <c r="AT28" s="165"/>
      <c r="AU28" s="166"/>
      <c r="AV28" s="167"/>
      <c r="AW28" s="146"/>
      <c r="AX28" s="168"/>
    </row>
    <row r="29" spans="1:50" s="139" customFormat="1" ht="11.25" x14ac:dyDescent="0.25">
      <c r="A29" s="140">
        <v>18</v>
      </c>
      <c r="B29" s="170" t="s">
        <v>80</v>
      </c>
      <c r="C29" s="142"/>
      <c r="D29" s="143"/>
      <c r="E29" s="143"/>
      <c r="F29" s="143"/>
      <c r="G29" s="143"/>
      <c r="H29" s="143"/>
      <c r="I29" s="144">
        <v>125892</v>
      </c>
      <c r="J29" s="144">
        <v>128446</v>
      </c>
      <c r="K29" s="144">
        <v>130906</v>
      </c>
      <c r="L29" s="144">
        <v>135345</v>
      </c>
      <c r="M29" s="144">
        <v>132956</v>
      </c>
      <c r="N29" s="143"/>
      <c r="O29" s="145"/>
      <c r="P29" s="146">
        <f t="shared" si="6"/>
        <v>135345</v>
      </c>
      <c r="Q29" s="147">
        <f t="shared" si="7"/>
        <v>14887.95</v>
      </c>
      <c r="R29" s="147">
        <f t="shared" si="1"/>
        <v>40.788904109589041</v>
      </c>
      <c r="S29" s="148">
        <f t="shared" si="10"/>
        <v>8932.7699999999986</v>
      </c>
      <c r="T29" s="149"/>
      <c r="U29" s="150"/>
      <c r="V29" s="151"/>
      <c r="W29" s="151"/>
      <c r="X29" s="152"/>
      <c r="Y29" s="153"/>
      <c r="Z29" s="153"/>
      <c r="AA29" s="154"/>
      <c r="AB29" s="155">
        <f>S29*$AB$3</f>
        <v>5181.0065999999988</v>
      </c>
      <c r="AC29" s="156">
        <f>S29*$AC$3</f>
        <v>1161.2601</v>
      </c>
      <c r="AD29" s="156">
        <f>S29*$AD$3</f>
        <v>783.85056749999978</v>
      </c>
      <c r="AE29" s="156">
        <f>S29*$AE$3</f>
        <v>357.31079999999997</v>
      </c>
      <c r="AF29" s="156">
        <f>S29*$AF$3</f>
        <v>178.65539999999999</v>
      </c>
      <c r="AG29" s="156">
        <f>S29*$AG$3</f>
        <v>178.65539999999999</v>
      </c>
      <c r="AH29" s="156">
        <f>S29*$AH$3</f>
        <v>89.327699999999993</v>
      </c>
      <c r="AI29" s="156">
        <f>S29*$AI$3</f>
        <v>178.65539999999999</v>
      </c>
      <c r="AJ29" s="156">
        <f>S29*$AJ$3</f>
        <v>178.65539999999999</v>
      </c>
      <c r="AK29" s="156">
        <f>S29*$AK$3</f>
        <v>625.29390000000001</v>
      </c>
      <c r="AL29" s="157">
        <f t="shared" si="8"/>
        <v>2749.0599674999994</v>
      </c>
      <c r="AM29" s="158">
        <f>$AM$3</f>
        <v>2200</v>
      </c>
      <c r="AN29" s="159">
        <v>0.2</v>
      </c>
      <c r="AO29" s="160">
        <f t="shared" si="3"/>
        <v>73043525.950579777</v>
      </c>
      <c r="AP29" s="161">
        <f t="shared" si="4"/>
        <v>20289.869942794958</v>
      </c>
      <c r="AQ29" s="162">
        <f t="shared" si="5"/>
        <v>4057.9739885589916</v>
      </c>
      <c r="AR29" s="580">
        <f>AQ29/$AR$3</f>
        <v>0.57904879973729906</v>
      </c>
      <c r="AS29" s="582">
        <f t="shared" si="9"/>
        <v>0.57904879973729906</v>
      </c>
      <c r="AT29" s="165"/>
      <c r="AU29" s="166"/>
      <c r="AV29" s="167"/>
      <c r="AW29" s="146"/>
      <c r="AX29" s="168"/>
    </row>
    <row r="30" spans="1:50" s="139" customFormat="1" ht="11.25" x14ac:dyDescent="0.25">
      <c r="A30" s="140">
        <v>19</v>
      </c>
      <c r="B30" s="170" t="s">
        <v>81</v>
      </c>
      <c r="C30" s="142"/>
      <c r="D30" s="143"/>
      <c r="E30" s="143"/>
      <c r="F30" s="143"/>
      <c r="G30" s="143"/>
      <c r="H30" s="143"/>
      <c r="I30" s="144">
        <v>199241</v>
      </c>
      <c r="J30" s="144">
        <v>219659</v>
      </c>
      <c r="K30" s="144">
        <v>217918</v>
      </c>
      <c r="L30" s="144">
        <v>212241</v>
      </c>
      <c r="M30" s="144">
        <v>223446</v>
      </c>
      <c r="N30" s="143"/>
      <c r="O30" s="145"/>
      <c r="P30" s="146">
        <f t="shared" si="6"/>
        <v>223446</v>
      </c>
      <c r="Q30" s="147">
        <f t="shared" si="7"/>
        <v>24579.06</v>
      </c>
      <c r="R30" s="147">
        <f t="shared" si="1"/>
        <v>67.339890410958901</v>
      </c>
      <c r="S30" s="148">
        <f t="shared" si="10"/>
        <v>14747.435999999998</v>
      </c>
      <c r="T30" s="149"/>
      <c r="U30" s="150"/>
      <c r="V30" s="151"/>
      <c r="W30" s="151"/>
      <c r="X30" s="152"/>
      <c r="Y30" s="153"/>
      <c r="Z30" s="153"/>
      <c r="AA30" s="154"/>
      <c r="AB30" s="155">
        <f>S30*$AB$3</f>
        <v>8553.5128799999984</v>
      </c>
      <c r="AC30" s="156">
        <f>S30*$AC$3</f>
        <v>1917.1666799999998</v>
      </c>
      <c r="AD30" s="156">
        <f>S30*$AD$3</f>
        <v>1294.0875089999997</v>
      </c>
      <c r="AE30" s="156">
        <f>S30*$AE$3</f>
        <v>589.89743999999996</v>
      </c>
      <c r="AF30" s="156">
        <f>S30*$AF$3</f>
        <v>294.94871999999998</v>
      </c>
      <c r="AG30" s="156">
        <f>S30*$AG$3</f>
        <v>294.94871999999998</v>
      </c>
      <c r="AH30" s="156">
        <f>S30*$AH$3</f>
        <v>147.47435999999999</v>
      </c>
      <c r="AI30" s="156">
        <f>S30*$AI$3</f>
        <v>294.94871999999998</v>
      </c>
      <c r="AJ30" s="156">
        <f>S30*$AJ$3</f>
        <v>294.94871999999998</v>
      </c>
      <c r="AK30" s="156">
        <f>S30*$AK$3</f>
        <v>1032.32052</v>
      </c>
      <c r="AL30" s="157">
        <f t="shared" si="8"/>
        <v>4538.5234289999999</v>
      </c>
      <c r="AM30" s="158">
        <f>$AM$3</f>
        <v>2200</v>
      </c>
      <c r="AN30" s="159">
        <v>0.2</v>
      </c>
      <c r="AO30" s="160">
        <f t="shared" si="3"/>
        <v>120590222.76074663</v>
      </c>
      <c r="AP30" s="161">
        <f t="shared" si="4"/>
        <v>33497.286779990121</v>
      </c>
      <c r="AQ30" s="162">
        <f t="shared" si="5"/>
        <v>6699.4573559980245</v>
      </c>
      <c r="AR30" s="580">
        <f>AQ30/$AR$3</f>
        <v>0.95597279623259479</v>
      </c>
      <c r="AS30" s="582">
        <f t="shared" si="9"/>
        <v>0.95597279623259479</v>
      </c>
      <c r="AT30" s="165"/>
      <c r="AU30" s="166"/>
      <c r="AV30" s="167"/>
      <c r="AW30" s="146"/>
      <c r="AX30" s="168"/>
    </row>
    <row r="31" spans="1:50" s="139" customFormat="1" ht="11.25" x14ac:dyDescent="0.25">
      <c r="A31" s="140">
        <v>20</v>
      </c>
      <c r="B31" s="170" t="s">
        <v>82</v>
      </c>
      <c r="C31" s="142"/>
      <c r="D31" s="143"/>
      <c r="E31" s="143"/>
      <c r="F31" s="143"/>
      <c r="G31" s="143"/>
      <c r="H31" s="143"/>
      <c r="I31" s="144">
        <v>29098</v>
      </c>
      <c r="J31" s="144">
        <v>29144</v>
      </c>
      <c r="K31" s="144">
        <v>29221</v>
      </c>
      <c r="L31" s="144">
        <v>29184</v>
      </c>
      <c r="M31" s="144">
        <v>30653</v>
      </c>
      <c r="N31" s="143"/>
      <c r="O31" s="145"/>
      <c r="P31" s="146">
        <f t="shared" si="6"/>
        <v>30653</v>
      </c>
      <c r="Q31" s="147">
        <f t="shared" si="7"/>
        <v>3371.83</v>
      </c>
      <c r="R31" s="147">
        <f t="shared" si="1"/>
        <v>9.2378904109589044</v>
      </c>
      <c r="S31" s="148">
        <f t="shared" si="10"/>
        <v>2023.098</v>
      </c>
      <c r="T31" s="149"/>
      <c r="U31" s="150"/>
      <c r="V31" s="151"/>
      <c r="W31" s="151"/>
      <c r="X31" s="152"/>
      <c r="Y31" s="153"/>
      <c r="Z31" s="153"/>
      <c r="AA31" s="154"/>
      <c r="AB31" s="155">
        <f>S31*$AB$3</f>
        <v>1173.3968399999999</v>
      </c>
      <c r="AC31" s="156">
        <f>S31*$AC$3</f>
        <v>263.00274000000002</v>
      </c>
      <c r="AD31" s="156">
        <f>S31*$AD$3</f>
        <v>177.5268495</v>
      </c>
      <c r="AE31" s="156">
        <f>S31*$AE$3</f>
        <v>80.923919999999995</v>
      </c>
      <c r="AF31" s="156">
        <f>S31*$AF$3</f>
        <v>40.461959999999998</v>
      </c>
      <c r="AG31" s="156">
        <f>S31*$AG$3</f>
        <v>40.461959999999998</v>
      </c>
      <c r="AH31" s="156">
        <f>S31*$AH$3</f>
        <v>20.230979999999999</v>
      </c>
      <c r="AI31" s="156">
        <f>S31*$AI$3</f>
        <v>40.461959999999998</v>
      </c>
      <c r="AJ31" s="156">
        <f>S31*$AJ$3</f>
        <v>40.461959999999998</v>
      </c>
      <c r="AK31" s="156">
        <f>S31*$AK$3</f>
        <v>141.61686</v>
      </c>
      <c r="AL31" s="157">
        <f t="shared" si="8"/>
        <v>622.60840949999999</v>
      </c>
      <c r="AM31" s="158">
        <f>$AM$3</f>
        <v>2200</v>
      </c>
      <c r="AN31" s="159">
        <v>0.2</v>
      </c>
      <c r="AO31" s="160">
        <f t="shared" si="3"/>
        <v>16542932.512934519</v>
      </c>
      <c r="AP31" s="161">
        <f t="shared" si="4"/>
        <v>4595.2593989914221</v>
      </c>
      <c r="AQ31" s="162">
        <f t="shared" si="5"/>
        <v>919.05187979828452</v>
      </c>
      <c r="AR31" s="580">
        <f>AQ31/$AR$3</f>
        <v>0.13114324768811136</v>
      </c>
      <c r="AS31" s="582">
        <f t="shared" si="9"/>
        <v>0.13114324768811136</v>
      </c>
      <c r="AT31" s="165"/>
      <c r="AU31" s="166"/>
      <c r="AV31" s="167"/>
      <c r="AW31" s="146"/>
      <c r="AX31" s="168"/>
    </row>
    <row r="32" spans="1:50" s="139" customFormat="1" ht="11.25" x14ac:dyDescent="0.25">
      <c r="A32" s="140">
        <v>21</v>
      </c>
      <c r="B32" s="170" t="s">
        <v>83</v>
      </c>
      <c r="C32" s="142"/>
      <c r="D32" s="143"/>
      <c r="E32" s="143"/>
      <c r="F32" s="143"/>
      <c r="G32" s="143"/>
      <c r="H32" s="143"/>
      <c r="I32" s="144">
        <v>157635</v>
      </c>
      <c r="J32" s="144">
        <v>158169</v>
      </c>
      <c r="K32" s="144">
        <v>158760</v>
      </c>
      <c r="L32" s="144">
        <v>159239</v>
      </c>
      <c r="M32" s="144">
        <v>171163</v>
      </c>
      <c r="N32" s="143"/>
      <c r="O32" s="145"/>
      <c r="P32" s="146">
        <f t="shared" si="6"/>
        <v>171163</v>
      </c>
      <c r="Q32" s="147">
        <f t="shared" si="7"/>
        <v>18827.93</v>
      </c>
      <c r="R32" s="147">
        <f t="shared" si="1"/>
        <v>51.583369863013701</v>
      </c>
      <c r="S32" s="148">
        <f t="shared" si="10"/>
        <v>11296.758</v>
      </c>
      <c r="T32" s="149"/>
      <c r="U32" s="150"/>
      <c r="V32" s="151"/>
      <c r="W32" s="151"/>
      <c r="X32" s="152"/>
      <c r="Y32" s="153"/>
      <c r="Z32" s="153"/>
      <c r="AA32" s="154"/>
      <c r="AB32" s="155">
        <f>S32*$AB$3</f>
        <v>6552.1196399999999</v>
      </c>
      <c r="AC32" s="156">
        <f>S32*$AC$3</f>
        <v>1468.57854</v>
      </c>
      <c r="AD32" s="156">
        <f>S32*$AD$3</f>
        <v>991.29051449999997</v>
      </c>
      <c r="AE32" s="156">
        <f>S32*$AE$3</f>
        <v>451.87031999999999</v>
      </c>
      <c r="AF32" s="156">
        <f>S32*$AF$3</f>
        <v>225.93516</v>
      </c>
      <c r="AG32" s="156">
        <f>S32*$AG$3</f>
        <v>225.93516</v>
      </c>
      <c r="AH32" s="156">
        <f>S32*$AH$3</f>
        <v>112.96758</v>
      </c>
      <c r="AI32" s="156">
        <f>S32*$AI$3</f>
        <v>225.93516</v>
      </c>
      <c r="AJ32" s="156">
        <f>S32*$AJ$3</f>
        <v>225.93516</v>
      </c>
      <c r="AK32" s="156">
        <f>S32*$AK$3</f>
        <v>790.7730600000001</v>
      </c>
      <c r="AL32" s="157">
        <f t="shared" si="8"/>
        <v>3476.5772744999999</v>
      </c>
      <c r="AM32" s="158">
        <f>$AM$3</f>
        <v>2200</v>
      </c>
      <c r="AN32" s="159">
        <v>0.2</v>
      </c>
      <c r="AO32" s="160">
        <f t="shared" si="3"/>
        <v>92373926.131582916</v>
      </c>
      <c r="AP32" s="161">
        <f t="shared" si="4"/>
        <v>25659.425978193613</v>
      </c>
      <c r="AQ32" s="162">
        <f t="shared" si="5"/>
        <v>5131.8851956387225</v>
      </c>
      <c r="AR32" s="580">
        <f>AQ32/$AR$3</f>
        <v>0.7322895541721921</v>
      </c>
      <c r="AS32" s="582">
        <f t="shared" si="9"/>
        <v>0.7322895541721921</v>
      </c>
      <c r="AT32" s="165"/>
      <c r="AU32" s="166"/>
      <c r="AV32" s="167"/>
      <c r="AW32" s="146"/>
      <c r="AX32" s="168"/>
    </row>
    <row r="33" spans="1:50" s="139" customFormat="1" ht="11.25" x14ac:dyDescent="0.25">
      <c r="A33" s="140">
        <v>22</v>
      </c>
      <c r="B33" s="170" t="s">
        <v>84</v>
      </c>
      <c r="C33" s="142"/>
      <c r="D33" s="143"/>
      <c r="E33" s="143"/>
      <c r="F33" s="143"/>
      <c r="G33" s="143"/>
      <c r="H33" s="143"/>
      <c r="I33" s="144">
        <v>139893</v>
      </c>
      <c r="J33" s="144">
        <v>140005</v>
      </c>
      <c r="K33" s="144">
        <v>140267</v>
      </c>
      <c r="L33" s="144">
        <v>140415</v>
      </c>
      <c r="M33" s="144">
        <v>148945</v>
      </c>
      <c r="N33" s="143"/>
      <c r="O33" s="145"/>
      <c r="P33" s="146">
        <f t="shared" si="6"/>
        <v>148945</v>
      </c>
      <c r="Q33" s="147">
        <f t="shared" si="7"/>
        <v>16383.95</v>
      </c>
      <c r="R33" s="147">
        <f t="shared" si="1"/>
        <v>44.887534246575342</v>
      </c>
      <c r="S33" s="148">
        <f t="shared" si="10"/>
        <v>9830.3700000000008</v>
      </c>
      <c r="T33" s="149"/>
      <c r="U33" s="150"/>
      <c r="V33" s="151"/>
      <c r="W33" s="151"/>
      <c r="X33" s="152"/>
      <c r="Y33" s="153"/>
      <c r="Z33" s="153"/>
      <c r="AA33" s="154"/>
      <c r="AB33" s="155">
        <f>S33*$AB$3</f>
        <v>5701.6145999999999</v>
      </c>
      <c r="AC33" s="156">
        <f>S33*$AC$3</f>
        <v>1277.9481000000001</v>
      </c>
      <c r="AD33" s="156">
        <f>S33*$AD$3</f>
        <v>862.61496750000003</v>
      </c>
      <c r="AE33" s="156">
        <f>S33*$AE$3</f>
        <v>393.21480000000003</v>
      </c>
      <c r="AF33" s="156">
        <f>S33*$AF$3</f>
        <v>196.60740000000001</v>
      </c>
      <c r="AG33" s="156">
        <f>S33*$AG$3</f>
        <v>196.60740000000001</v>
      </c>
      <c r="AH33" s="156">
        <f>S33*$AH$3</f>
        <v>98.303700000000006</v>
      </c>
      <c r="AI33" s="156">
        <f>S33*$AI$3</f>
        <v>196.60740000000001</v>
      </c>
      <c r="AJ33" s="156">
        <f>S33*$AJ$3</f>
        <v>196.60740000000001</v>
      </c>
      <c r="AK33" s="156">
        <f>S33*$AK$3</f>
        <v>688.12590000000012</v>
      </c>
      <c r="AL33" s="157">
        <f t="shared" si="8"/>
        <v>3025.2963675000001</v>
      </c>
      <c r="AM33" s="158">
        <f>$AM$3</f>
        <v>2200</v>
      </c>
      <c r="AN33" s="159">
        <v>0.2</v>
      </c>
      <c r="AO33" s="160">
        <f t="shared" si="3"/>
        <v>80383227.845203802</v>
      </c>
      <c r="AP33" s="161">
        <f t="shared" si="4"/>
        <v>22328.676187739453</v>
      </c>
      <c r="AQ33" s="162">
        <f t="shared" si="5"/>
        <v>4465.7352375478904</v>
      </c>
      <c r="AR33" s="580">
        <f>AQ33/$AR$3</f>
        <v>0.63723390946745007</v>
      </c>
      <c r="AS33" s="582">
        <f t="shared" si="9"/>
        <v>0.63723390946745007</v>
      </c>
      <c r="AT33" s="165"/>
      <c r="AU33" s="166"/>
      <c r="AV33" s="167"/>
      <c r="AW33" s="146"/>
      <c r="AX33" s="168"/>
    </row>
    <row r="34" spans="1:50" s="139" customFormat="1" ht="11.25" x14ac:dyDescent="0.25">
      <c r="A34" s="140">
        <v>23</v>
      </c>
      <c r="B34" s="172" t="s">
        <v>85</v>
      </c>
      <c r="C34" s="142"/>
      <c r="D34" s="143"/>
      <c r="E34" s="143"/>
      <c r="F34" s="143"/>
      <c r="G34" s="143"/>
      <c r="H34" s="143"/>
      <c r="I34" s="144">
        <v>61870</v>
      </c>
      <c r="J34" s="144">
        <v>63444</v>
      </c>
      <c r="K34" s="144">
        <v>64256</v>
      </c>
      <c r="L34" s="144">
        <v>66451</v>
      </c>
      <c r="M34" s="144">
        <v>67446</v>
      </c>
      <c r="N34" s="143"/>
      <c r="O34" s="145"/>
      <c r="P34" s="146">
        <f t="shared" si="6"/>
        <v>67446</v>
      </c>
      <c r="Q34" s="147">
        <f t="shared" si="7"/>
        <v>7419.06</v>
      </c>
      <c r="R34" s="147">
        <f t="shared" si="1"/>
        <v>20.326191780821919</v>
      </c>
      <c r="S34" s="148">
        <f t="shared" si="10"/>
        <v>4451.4359999999997</v>
      </c>
      <c r="T34" s="149"/>
      <c r="U34" s="150"/>
      <c r="V34" s="151"/>
      <c r="W34" s="151"/>
      <c r="X34" s="152"/>
      <c r="Y34" s="153"/>
      <c r="Z34" s="153"/>
      <c r="AA34" s="154"/>
      <c r="AB34" s="155">
        <f>S34*$AB$3</f>
        <v>2581.8328799999995</v>
      </c>
      <c r="AC34" s="156">
        <f>S34*$AC$3</f>
        <v>578.68668000000002</v>
      </c>
      <c r="AD34" s="156">
        <f>S34*$AD$3</f>
        <v>390.61350899999996</v>
      </c>
      <c r="AE34" s="156">
        <f>S34*$AE$3</f>
        <v>178.05743999999999</v>
      </c>
      <c r="AF34" s="156">
        <f>S34*$AF$3</f>
        <v>89.028719999999993</v>
      </c>
      <c r="AG34" s="156">
        <f>S34*$AG$3</f>
        <v>89.028719999999993</v>
      </c>
      <c r="AH34" s="156">
        <f>S34*$AH$3</f>
        <v>44.514359999999996</v>
      </c>
      <c r="AI34" s="156">
        <f>S34*$AI$3</f>
        <v>89.028719999999993</v>
      </c>
      <c r="AJ34" s="156">
        <f>S34*$AJ$3</f>
        <v>89.028719999999993</v>
      </c>
      <c r="AK34" s="156">
        <f>S34*$AK$3</f>
        <v>311.60052000000002</v>
      </c>
      <c r="AL34" s="157">
        <f t="shared" si="8"/>
        <v>1369.929429</v>
      </c>
      <c r="AM34" s="158">
        <f>$AM$3</f>
        <v>2200</v>
      </c>
      <c r="AN34" s="159">
        <v>0.2</v>
      </c>
      <c r="AO34" s="160">
        <f t="shared" si="3"/>
        <v>36399524.557706632</v>
      </c>
      <c r="AP34" s="161">
        <f t="shared" si="4"/>
        <v>10110.979852685721</v>
      </c>
      <c r="AQ34" s="162">
        <f t="shared" si="5"/>
        <v>2022.1959705371444</v>
      </c>
      <c r="AR34" s="580">
        <f>AQ34/$AR$3</f>
        <v>0.28855536109262903</v>
      </c>
      <c r="AS34" s="582">
        <f t="shared" si="9"/>
        <v>0.28855536109262903</v>
      </c>
      <c r="AT34" s="165"/>
      <c r="AU34" s="166"/>
      <c r="AV34" s="167"/>
      <c r="AW34" s="147"/>
      <c r="AX34" s="168"/>
    </row>
    <row r="35" spans="1:50" s="190" customFormat="1" ht="12" thickBot="1" x14ac:dyDescent="0.3">
      <c r="A35" s="174"/>
      <c r="B35" s="175" t="s">
        <v>86</v>
      </c>
      <c r="C35" s="176">
        <f t="shared" ref="C35:V35" si="11">SUM(C12:C33)</f>
        <v>0</v>
      </c>
      <c r="D35" s="177">
        <f t="shared" si="11"/>
        <v>0</v>
      </c>
      <c r="E35" s="177">
        <f t="shared" si="11"/>
        <v>0</v>
      </c>
      <c r="F35" s="177">
        <f t="shared" si="11"/>
        <v>0</v>
      </c>
      <c r="G35" s="177">
        <f t="shared" si="11"/>
        <v>0</v>
      </c>
      <c r="H35" s="177">
        <f t="shared" si="11"/>
        <v>0</v>
      </c>
      <c r="I35" s="177">
        <f>SUM(I12:I34)</f>
        <v>4153573</v>
      </c>
      <c r="J35" s="177">
        <f>SUM(J12:J34)</f>
        <v>4223833</v>
      </c>
      <c r="K35" s="177">
        <f>SUM(K12:K34)</f>
        <v>4293915</v>
      </c>
      <c r="L35" s="177">
        <f>SUM(L12:L34)</f>
        <v>4363477</v>
      </c>
      <c r="M35" s="177">
        <f>SUM(M12:M34)</f>
        <v>4494410</v>
      </c>
      <c r="N35" s="177">
        <f t="shared" si="11"/>
        <v>0</v>
      </c>
      <c r="O35" s="177">
        <f t="shared" si="11"/>
        <v>0</v>
      </c>
      <c r="P35" s="178">
        <f>SUM(P12:P34)</f>
        <v>4541157</v>
      </c>
      <c r="Q35" s="178">
        <f>SUM(Q12:Q34)</f>
        <v>518698.60199999996</v>
      </c>
      <c r="R35" s="178">
        <f>SUM(R12:R34)</f>
        <v>1421.0920602739727</v>
      </c>
      <c r="S35" s="178">
        <f>SUM(S12:S34)</f>
        <v>318994.2013999999</v>
      </c>
      <c r="T35" s="149">
        <f t="shared" si="11"/>
        <v>0</v>
      </c>
      <c r="U35" s="179"/>
      <c r="V35" s="180">
        <f t="shared" si="11"/>
        <v>0</v>
      </c>
      <c r="W35" s="180">
        <f>SUM(W12:W33)</f>
        <v>0</v>
      </c>
      <c r="X35" s="180">
        <f>SUM(X12:X33)</f>
        <v>0</v>
      </c>
      <c r="Y35" s="181"/>
      <c r="Z35" s="181"/>
      <c r="AA35" s="182"/>
      <c r="AB35" s="177">
        <f>SUM(AB12:AB34)</f>
        <v>185016.63681200001</v>
      </c>
      <c r="AC35" s="177">
        <f t="shared" ref="AC35:AK35" si="12">SUM(AC12:AC34)</f>
        <v>41469.24618200001</v>
      </c>
      <c r="AD35" s="177">
        <f t="shared" si="12"/>
        <v>27991.741172850001</v>
      </c>
      <c r="AE35" s="177">
        <f t="shared" si="12"/>
        <v>12759.768056000001</v>
      </c>
      <c r="AF35" s="177">
        <f t="shared" si="12"/>
        <v>6379.8840280000004</v>
      </c>
      <c r="AG35" s="177">
        <f t="shared" si="12"/>
        <v>6379.8840280000004</v>
      </c>
      <c r="AH35" s="177">
        <f t="shared" si="12"/>
        <v>3189.9420140000002</v>
      </c>
      <c r="AI35" s="177">
        <f t="shared" si="12"/>
        <v>6379.8840280000004</v>
      </c>
      <c r="AJ35" s="177">
        <f t="shared" si="12"/>
        <v>6379.8840280000004</v>
      </c>
      <c r="AK35" s="177">
        <f t="shared" si="12"/>
        <v>22329.594097999998</v>
      </c>
      <c r="AL35" s="178">
        <f>SUM(AL12:AL34)</f>
        <v>98170.465480849976</v>
      </c>
      <c r="AM35" s="158"/>
      <c r="AN35" s="183"/>
      <c r="AO35" s="184">
        <f>SUM(AO12:AO34)</f>
        <v>2608425071.7353497</v>
      </c>
      <c r="AP35" s="184">
        <f t="shared" ref="AP35:AW35" si="13">SUM(AP12:AP34)</f>
        <v>724562.57789148751</v>
      </c>
      <c r="AQ35" s="184">
        <f t="shared" si="13"/>
        <v>144912.51557829755</v>
      </c>
      <c r="AR35" s="186">
        <f>SUM(AR12:AR34)</f>
        <v>20.678155761743366</v>
      </c>
      <c r="AS35" s="435">
        <f>SUM(AS12:AS34)</f>
        <v>20.678155761743366</v>
      </c>
      <c r="AT35" s="187"/>
      <c r="AU35" s="188">
        <f t="shared" si="13"/>
        <v>0</v>
      </c>
      <c r="AV35" s="188"/>
      <c r="AW35" s="184">
        <f t="shared" si="13"/>
        <v>0</v>
      </c>
      <c r="AX35" s="189"/>
    </row>
    <row r="36" spans="1:50" s="139" customFormat="1" ht="11.25" x14ac:dyDescent="0.25">
      <c r="A36" s="191"/>
      <c r="B36" s="192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5"/>
      <c r="P36" s="196"/>
      <c r="Q36" s="197"/>
      <c r="R36" s="197"/>
      <c r="S36" s="198"/>
      <c r="T36" s="199"/>
      <c r="U36" s="179"/>
      <c r="V36" s="151"/>
      <c r="W36" s="151"/>
      <c r="X36" s="152"/>
      <c r="Y36" s="153"/>
      <c r="Z36" s="153"/>
      <c r="AA36" s="154"/>
      <c r="AB36" s="200"/>
      <c r="AC36" s="201"/>
      <c r="AD36" s="201"/>
      <c r="AE36" s="201"/>
      <c r="AF36" s="201"/>
      <c r="AG36" s="201"/>
      <c r="AH36" s="201"/>
      <c r="AI36" s="201"/>
      <c r="AJ36" s="201"/>
      <c r="AK36" s="201"/>
      <c r="AL36" s="202"/>
      <c r="AM36" s="203"/>
      <c r="AN36" s="204"/>
      <c r="AO36" s="203"/>
      <c r="AP36" s="205"/>
      <c r="AQ36" s="206"/>
      <c r="AR36" s="207"/>
      <c r="AS36" s="208"/>
      <c r="AT36" s="209"/>
      <c r="AU36" s="193"/>
      <c r="AV36" s="210"/>
      <c r="AW36" s="211"/>
      <c r="AX36" s="212"/>
    </row>
    <row r="37" spans="1:50" s="139" customFormat="1" ht="11.25" x14ac:dyDescent="0.25">
      <c r="A37" s="120"/>
      <c r="B37" s="121" t="s">
        <v>87</v>
      </c>
      <c r="C37" s="122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213"/>
      <c r="P37" s="76"/>
      <c r="Q37" s="108"/>
      <c r="R37" s="108"/>
      <c r="S37" s="94"/>
      <c r="T37" s="199"/>
      <c r="U37" s="179"/>
      <c r="V37" s="180"/>
      <c r="W37" s="180"/>
      <c r="X37" s="214"/>
      <c r="Y37" s="181"/>
      <c r="Z37" s="181"/>
      <c r="AA37" s="182"/>
      <c r="AB37" s="62"/>
      <c r="AC37" s="215"/>
      <c r="AD37" s="215"/>
      <c r="AE37" s="215"/>
      <c r="AF37" s="215"/>
      <c r="AG37" s="215"/>
      <c r="AH37" s="215"/>
      <c r="AI37" s="215"/>
      <c r="AJ37" s="215"/>
      <c r="AK37" s="215"/>
      <c r="AL37" s="125"/>
      <c r="AM37" s="75"/>
      <c r="AN37" s="216"/>
      <c r="AO37" s="75"/>
      <c r="AP37" s="51"/>
      <c r="AQ37" s="217"/>
      <c r="AR37" s="583"/>
      <c r="AS37" s="584"/>
      <c r="AT37" s="220"/>
      <c r="AU37" s="135"/>
      <c r="AV37" s="136"/>
      <c r="AW37" s="137"/>
      <c r="AX37" s="138"/>
    </row>
    <row r="38" spans="1:50" s="139" customFormat="1" ht="11.25" x14ac:dyDescent="0.25">
      <c r="A38" s="140">
        <v>1</v>
      </c>
      <c r="B38" s="221" t="s">
        <v>88</v>
      </c>
      <c r="C38" s="142"/>
      <c r="D38" s="143"/>
      <c r="E38" s="143"/>
      <c r="F38" s="143"/>
      <c r="G38" s="143"/>
      <c r="H38" s="143"/>
      <c r="I38" s="143"/>
      <c r="J38" s="143"/>
      <c r="K38" s="143"/>
      <c r="L38" s="143"/>
      <c r="M38" s="222">
        <v>132329</v>
      </c>
      <c r="N38" s="143"/>
      <c r="O38" s="145"/>
      <c r="P38" s="223">
        <f t="shared" ref="P38:P70" si="14">MAX(C38:O38)</f>
        <v>132329</v>
      </c>
      <c r="Q38" s="147">
        <f t="shared" ref="Q38:Q44" si="15">P38*$Q$8</f>
        <v>14556.19</v>
      </c>
      <c r="R38" s="147">
        <f t="shared" ref="R38:R70" si="16">Q38/$R$3</f>
        <v>39.879972602739727</v>
      </c>
      <c r="S38" s="148">
        <f t="shared" ref="S38:S44" si="17">R38*$S$3*$S$8</f>
        <v>8733.7139999999999</v>
      </c>
      <c r="T38" s="199"/>
      <c r="U38" s="150"/>
      <c r="V38" s="151"/>
      <c r="W38" s="151"/>
      <c r="X38" s="152"/>
      <c r="Y38" s="153"/>
      <c r="Z38" s="153"/>
      <c r="AA38" s="154"/>
      <c r="AB38" s="155">
        <f>S38*$AB$3</f>
        <v>5065.5541199999998</v>
      </c>
      <c r="AC38" s="156">
        <f>S38*$AC$3</f>
        <v>1135.38282</v>
      </c>
      <c r="AD38" s="156">
        <f>S38*$AD$3</f>
        <v>766.38340349999999</v>
      </c>
      <c r="AE38" s="156">
        <f>S38*$AE$3</f>
        <v>349.34856000000002</v>
      </c>
      <c r="AF38" s="156">
        <f>S38*$AF$3</f>
        <v>174.67428000000001</v>
      </c>
      <c r="AG38" s="156">
        <f>S38*$AG$3</f>
        <v>174.67428000000001</v>
      </c>
      <c r="AH38" s="156">
        <f>S38*$AH$3</f>
        <v>87.337140000000005</v>
      </c>
      <c r="AI38" s="156">
        <f>S38*$AI$3</f>
        <v>174.67428000000001</v>
      </c>
      <c r="AJ38" s="156">
        <f>S38*$AJ$3</f>
        <v>174.67428000000001</v>
      </c>
      <c r="AK38" s="156">
        <f>S38*$AK$3</f>
        <v>611.35998000000006</v>
      </c>
      <c r="AL38" s="157">
        <f t="shared" ref="AL38:AL70" si="18">SUM(AC38:AH38)</f>
        <v>2687.8004835000006</v>
      </c>
      <c r="AM38" s="158">
        <f t="shared" ref="AM38:AM70" si="19">$AM$3</f>
        <v>2200</v>
      </c>
      <c r="AN38" s="159">
        <v>0.2</v>
      </c>
      <c r="AO38" s="160">
        <f t="shared" ref="AO38:AO70" si="20">(AB38+AL38)*AM38*$AO$3</f>
        <v>71415839.118654355</v>
      </c>
      <c r="AP38" s="161">
        <f t="shared" ref="AP38:AP70" si="21">AO38*$AP$3</f>
        <v>19837.734675533746</v>
      </c>
      <c r="AQ38" s="162">
        <f t="shared" ref="AQ38:AQ70" si="22">AP38*$AQ$3</f>
        <v>3967.5469351067495</v>
      </c>
      <c r="AR38" s="580">
        <f t="shared" ref="AR38:AR70" si="23">AQ38/$AR$3</f>
        <v>0.5661453959912599</v>
      </c>
      <c r="AS38" s="582">
        <f t="shared" ref="AS38:AS70" si="24">AR38</f>
        <v>0.5661453959912599</v>
      </c>
      <c r="AT38" s="165"/>
      <c r="AU38" s="166"/>
      <c r="AV38" s="167"/>
      <c r="AW38" s="146"/>
      <c r="AX38" s="168"/>
    </row>
    <row r="39" spans="1:50" s="139" customFormat="1" ht="11.25" x14ac:dyDescent="0.25">
      <c r="A39" s="140">
        <v>2</v>
      </c>
      <c r="B39" s="224" t="s">
        <v>89</v>
      </c>
      <c r="C39" s="142"/>
      <c r="D39" s="143"/>
      <c r="E39" s="143"/>
      <c r="F39" s="143"/>
      <c r="G39" s="143"/>
      <c r="H39" s="143"/>
      <c r="I39" s="143"/>
      <c r="J39" s="143"/>
      <c r="K39" s="143"/>
      <c r="L39" s="143"/>
      <c r="M39" s="222">
        <v>403894</v>
      </c>
      <c r="N39" s="143"/>
      <c r="O39" s="145"/>
      <c r="P39" s="223">
        <f t="shared" si="14"/>
        <v>403894</v>
      </c>
      <c r="Q39" s="147">
        <f t="shared" si="15"/>
        <v>44428.340000000004</v>
      </c>
      <c r="R39" s="147">
        <f t="shared" si="16"/>
        <v>121.72147945205481</v>
      </c>
      <c r="S39" s="148">
        <f t="shared" si="17"/>
        <v>26657.004000000001</v>
      </c>
      <c r="T39" s="199"/>
      <c r="U39" s="150"/>
      <c r="V39" s="151"/>
      <c r="W39" s="151"/>
      <c r="X39" s="152"/>
      <c r="Y39" s="153"/>
      <c r="Z39" s="153"/>
      <c r="AA39" s="154"/>
      <c r="AB39" s="155">
        <f>S39*$AB$3</f>
        <v>15461.062319999999</v>
      </c>
      <c r="AC39" s="156">
        <f>S39*$AC$3</f>
        <v>3465.4105200000004</v>
      </c>
      <c r="AD39" s="156">
        <f>S39*$AD$3</f>
        <v>2339.1521010000001</v>
      </c>
      <c r="AE39" s="156">
        <f>S39*$AE$3</f>
        <v>1066.28016</v>
      </c>
      <c r="AF39" s="156">
        <f>S39*$AF$3</f>
        <v>533.14008000000001</v>
      </c>
      <c r="AG39" s="156">
        <f>S39*$AG$3</f>
        <v>533.14008000000001</v>
      </c>
      <c r="AH39" s="156">
        <f>S39*$AH$3</f>
        <v>266.57004000000001</v>
      </c>
      <c r="AI39" s="156">
        <f>S39*$AI$3</f>
        <v>533.14008000000001</v>
      </c>
      <c r="AJ39" s="156">
        <f>S39*$AJ$3</f>
        <v>533.14008000000001</v>
      </c>
      <c r="AK39" s="156">
        <f>S39*$AK$3</f>
        <v>1865.9902800000002</v>
      </c>
      <c r="AL39" s="157">
        <f t="shared" si="18"/>
        <v>8203.692981000002</v>
      </c>
      <c r="AM39" s="158">
        <f t="shared" si="19"/>
        <v>2200</v>
      </c>
      <c r="AN39" s="159">
        <v>0.2</v>
      </c>
      <c r="AO39" s="160">
        <f t="shared" si="20"/>
        <v>217975114.48729897</v>
      </c>
      <c r="AP39" s="161">
        <f t="shared" si="21"/>
        <v>60548.647757030034</v>
      </c>
      <c r="AQ39" s="162">
        <f t="shared" si="22"/>
        <v>12109.729551406008</v>
      </c>
      <c r="AR39" s="580">
        <f t="shared" si="23"/>
        <v>1.7279865227462912</v>
      </c>
      <c r="AS39" s="582">
        <f t="shared" si="24"/>
        <v>1.7279865227462912</v>
      </c>
      <c r="AT39" s="165"/>
      <c r="AU39" s="166"/>
      <c r="AV39" s="167"/>
      <c r="AW39" s="146"/>
      <c r="AX39" s="168"/>
    </row>
    <row r="40" spans="1:50" s="139" customFormat="1" ht="11.25" x14ac:dyDescent="0.25">
      <c r="A40" s="140">
        <v>3</v>
      </c>
      <c r="B40" s="170" t="s">
        <v>90</v>
      </c>
      <c r="C40" s="142"/>
      <c r="D40" s="143"/>
      <c r="E40" s="143"/>
      <c r="F40" s="143"/>
      <c r="G40" s="143"/>
      <c r="H40" s="143"/>
      <c r="I40" s="143"/>
      <c r="J40" s="143"/>
      <c r="K40" s="143"/>
      <c r="L40" s="143"/>
      <c r="M40" s="222">
        <v>264108</v>
      </c>
      <c r="N40" s="143"/>
      <c r="O40" s="145"/>
      <c r="P40" s="223">
        <f t="shared" si="14"/>
        <v>264108</v>
      </c>
      <c r="Q40" s="147">
        <f t="shared" si="15"/>
        <v>29051.88</v>
      </c>
      <c r="R40" s="147">
        <f t="shared" si="16"/>
        <v>79.594191780821916</v>
      </c>
      <c r="S40" s="148">
        <f t="shared" si="17"/>
        <v>17431.128000000001</v>
      </c>
      <c r="T40" s="199"/>
      <c r="U40" s="150"/>
      <c r="V40" s="151"/>
      <c r="W40" s="151"/>
      <c r="X40" s="152"/>
      <c r="Y40" s="153"/>
      <c r="Z40" s="153"/>
      <c r="AA40" s="154"/>
      <c r="AB40" s="155">
        <f>S40*$AB$3</f>
        <v>10110.054239999999</v>
      </c>
      <c r="AC40" s="156">
        <f>S40*$AC$3</f>
        <v>2266.04664</v>
      </c>
      <c r="AD40" s="156">
        <f>S40*$AD$3</f>
        <v>1529.5814820000001</v>
      </c>
      <c r="AE40" s="156">
        <f>S40*$AE$3</f>
        <v>697.24512000000004</v>
      </c>
      <c r="AF40" s="156">
        <f>S40*$AF$3</f>
        <v>348.62256000000002</v>
      </c>
      <c r="AG40" s="156">
        <f>S40*$AG$3</f>
        <v>348.62256000000002</v>
      </c>
      <c r="AH40" s="156">
        <f>S40*$AH$3</f>
        <v>174.31128000000001</v>
      </c>
      <c r="AI40" s="156">
        <f>S40*$AI$3</f>
        <v>348.62256000000002</v>
      </c>
      <c r="AJ40" s="156">
        <f>S40*$AJ$3</f>
        <v>348.62256000000002</v>
      </c>
      <c r="AK40" s="156">
        <f>S40*$AK$3</f>
        <v>1220.1789600000002</v>
      </c>
      <c r="AL40" s="157">
        <f t="shared" si="18"/>
        <v>5364.4296419999991</v>
      </c>
      <c r="AM40" s="158">
        <f t="shared" si="19"/>
        <v>2200</v>
      </c>
      <c r="AN40" s="159">
        <v>0.2</v>
      </c>
      <c r="AO40" s="160">
        <f t="shared" si="20"/>
        <v>142534852.05774671</v>
      </c>
      <c r="AP40" s="161">
        <f t="shared" si="21"/>
        <v>39593.017627926354</v>
      </c>
      <c r="AQ40" s="162">
        <f t="shared" si="22"/>
        <v>7918.6035255852712</v>
      </c>
      <c r="AR40" s="580">
        <f t="shared" si="23"/>
        <v>1.1299377176919623</v>
      </c>
      <c r="AS40" s="582">
        <f t="shared" si="24"/>
        <v>1.1299377176919623</v>
      </c>
      <c r="AT40" s="165"/>
      <c r="AU40" s="166"/>
      <c r="AV40" s="167"/>
      <c r="AW40" s="146"/>
      <c r="AX40" s="168"/>
    </row>
    <row r="41" spans="1:50" s="139" customFormat="1" ht="11.25" x14ac:dyDescent="0.25">
      <c r="A41" s="140">
        <v>4</v>
      </c>
      <c r="B41" s="170" t="s">
        <v>91</v>
      </c>
      <c r="C41" s="142"/>
      <c r="D41" s="143"/>
      <c r="E41" s="143"/>
      <c r="F41" s="143"/>
      <c r="G41" s="143"/>
      <c r="H41" s="143"/>
      <c r="I41" s="143"/>
      <c r="J41" s="143"/>
      <c r="K41" s="143"/>
      <c r="L41" s="143"/>
      <c r="M41" s="222">
        <v>310962</v>
      </c>
      <c r="N41" s="143"/>
      <c r="O41" s="145"/>
      <c r="P41" s="223">
        <f t="shared" si="14"/>
        <v>310962</v>
      </c>
      <c r="Q41" s="147">
        <f t="shared" si="15"/>
        <v>34205.82</v>
      </c>
      <c r="R41" s="147">
        <f t="shared" si="16"/>
        <v>93.71457534246575</v>
      </c>
      <c r="S41" s="148">
        <f t="shared" si="17"/>
        <v>20523.491999999998</v>
      </c>
      <c r="T41" s="199"/>
      <c r="U41" s="150"/>
      <c r="V41" s="151"/>
      <c r="W41" s="151"/>
      <c r="X41" s="152"/>
      <c r="Y41" s="153"/>
      <c r="Z41" s="153"/>
      <c r="AA41" s="154"/>
      <c r="AB41" s="155">
        <f>S41*$AB$3</f>
        <v>11903.625359999998</v>
      </c>
      <c r="AC41" s="156">
        <f>S41*$AC$3</f>
        <v>2668.0539599999997</v>
      </c>
      <c r="AD41" s="156">
        <f>S41*$AD$3</f>
        <v>1800.9364229999996</v>
      </c>
      <c r="AE41" s="156">
        <f>S41*$AE$3</f>
        <v>820.93967999999995</v>
      </c>
      <c r="AF41" s="156">
        <f>S41*$AF$3</f>
        <v>410.46983999999998</v>
      </c>
      <c r="AG41" s="156">
        <f>S41*$AG$3</f>
        <v>410.46983999999998</v>
      </c>
      <c r="AH41" s="156">
        <f>S41*$AH$3</f>
        <v>205.23491999999999</v>
      </c>
      <c r="AI41" s="156">
        <f>S41*$AI$3</f>
        <v>410.46983999999998</v>
      </c>
      <c r="AJ41" s="156">
        <f>S41*$AJ$3</f>
        <v>410.46983999999998</v>
      </c>
      <c r="AK41" s="156">
        <f>S41*$AK$3</f>
        <v>1436.64444</v>
      </c>
      <c r="AL41" s="157">
        <f t="shared" si="18"/>
        <v>6316.1046629999992</v>
      </c>
      <c r="AM41" s="158">
        <f t="shared" si="19"/>
        <v>2200</v>
      </c>
      <c r="AN41" s="159">
        <v>0.2</v>
      </c>
      <c r="AO41" s="160">
        <f t="shared" si="20"/>
        <v>167821204.45265204</v>
      </c>
      <c r="AP41" s="161">
        <f t="shared" si="21"/>
        <v>46617.004966207889</v>
      </c>
      <c r="AQ41" s="162">
        <f t="shared" si="22"/>
        <v>9323.4009932415775</v>
      </c>
      <c r="AR41" s="580">
        <f t="shared" si="23"/>
        <v>1.3303939773461155</v>
      </c>
      <c r="AS41" s="582">
        <f t="shared" si="24"/>
        <v>1.3303939773461155</v>
      </c>
      <c r="AT41" s="165"/>
      <c r="AU41" s="166"/>
      <c r="AV41" s="167"/>
      <c r="AW41" s="146"/>
      <c r="AX41" s="168"/>
    </row>
    <row r="42" spans="1:50" s="139" customFormat="1" ht="11.25" x14ac:dyDescent="0.25">
      <c r="A42" s="140">
        <v>5</v>
      </c>
      <c r="B42" s="170" t="s">
        <v>92</v>
      </c>
      <c r="C42" s="142"/>
      <c r="D42" s="143"/>
      <c r="E42" s="143"/>
      <c r="F42" s="143"/>
      <c r="G42" s="143"/>
      <c r="H42" s="143"/>
      <c r="I42" s="143"/>
      <c r="J42" s="143"/>
      <c r="K42" s="143"/>
      <c r="L42" s="143"/>
      <c r="M42" s="222">
        <v>278897</v>
      </c>
      <c r="N42" s="143"/>
      <c r="O42" s="145"/>
      <c r="P42" s="223">
        <f t="shared" si="14"/>
        <v>278897</v>
      </c>
      <c r="Q42" s="147">
        <f t="shared" si="15"/>
        <v>30678.670000000002</v>
      </c>
      <c r="R42" s="147">
        <f t="shared" si="16"/>
        <v>84.051150684931514</v>
      </c>
      <c r="S42" s="148">
        <f t="shared" si="17"/>
        <v>18407.202000000001</v>
      </c>
      <c r="T42" s="199"/>
      <c r="U42" s="150"/>
      <c r="V42" s="151"/>
      <c r="W42" s="151"/>
      <c r="X42" s="152"/>
      <c r="Y42" s="153"/>
      <c r="Z42" s="153"/>
      <c r="AA42" s="154"/>
      <c r="AB42" s="155">
        <f>S42*$AB$3</f>
        <v>10676.177159999999</v>
      </c>
      <c r="AC42" s="156">
        <f>S42*$AC$3</f>
        <v>2392.9362600000004</v>
      </c>
      <c r="AD42" s="156">
        <f>S42*$AD$3</f>
        <v>1615.2319755000001</v>
      </c>
      <c r="AE42" s="156">
        <f>S42*$AE$3</f>
        <v>736.28808000000004</v>
      </c>
      <c r="AF42" s="156">
        <f>S42*$AF$3</f>
        <v>368.14404000000002</v>
      </c>
      <c r="AG42" s="156">
        <f>S42*$AG$3</f>
        <v>368.14404000000002</v>
      </c>
      <c r="AH42" s="156">
        <f>S42*$AH$3</f>
        <v>184.07202000000001</v>
      </c>
      <c r="AI42" s="156">
        <f>S42*$AI$3</f>
        <v>368.14404000000002</v>
      </c>
      <c r="AJ42" s="156">
        <f>S42*$AJ$3</f>
        <v>368.14404000000002</v>
      </c>
      <c r="AK42" s="156">
        <f>S42*$AK$3</f>
        <v>1288.5041400000002</v>
      </c>
      <c r="AL42" s="157">
        <f t="shared" si="18"/>
        <v>5664.8164155000004</v>
      </c>
      <c r="AM42" s="158">
        <f t="shared" si="19"/>
        <v>2200</v>
      </c>
      <c r="AN42" s="159">
        <v>0.2</v>
      </c>
      <c r="AO42" s="160">
        <f t="shared" si="20"/>
        <v>150516238.18418747</v>
      </c>
      <c r="AP42" s="161">
        <f t="shared" si="21"/>
        <v>41810.069507079592</v>
      </c>
      <c r="AQ42" s="162">
        <f t="shared" si="22"/>
        <v>8362.0139014159195</v>
      </c>
      <c r="AR42" s="580">
        <f t="shared" si="23"/>
        <v>1.1932097462066096</v>
      </c>
      <c r="AS42" s="582">
        <f t="shared" si="24"/>
        <v>1.1932097462066096</v>
      </c>
      <c r="AT42" s="165"/>
      <c r="AU42" s="166"/>
      <c r="AV42" s="167"/>
      <c r="AW42" s="146"/>
      <c r="AX42" s="168"/>
    </row>
    <row r="43" spans="1:50" s="139" customFormat="1" ht="11.25" x14ac:dyDescent="0.25">
      <c r="A43" s="140">
        <v>6</v>
      </c>
      <c r="B43" s="170" t="s">
        <v>93</v>
      </c>
      <c r="C43" s="142"/>
      <c r="D43" s="143"/>
      <c r="E43" s="143"/>
      <c r="F43" s="143"/>
      <c r="G43" s="143"/>
      <c r="H43" s="143"/>
      <c r="I43" s="143"/>
      <c r="J43" s="143"/>
      <c r="K43" s="143"/>
      <c r="L43" s="143"/>
      <c r="M43" s="222">
        <v>172933</v>
      </c>
      <c r="N43" s="143"/>
      <c r="O43" s="145"/>
      <c r="P43" s="223">
        <f t="shared" si="14"/>
        <v>172933</v>
      </c>
      <c r="Q43" s="147">
        <f t="shared" si="15"/>
        <v>19022.63</v>
      </c>
      <c r="R43" s="147">
        <f t="shared" si="16"/>
        <v>52.116794520547948</v>
      </c>
      <c r="S43" s="148">
        <f t="shared" si="17"/>
        <v>11413.578</v>
      </c>
      <c r="T43" s="199"/>
      <c r="U43" s="150"/>
      <c r="V43" s="151"/>
      <c r="W43" s="151"/>
      <c r="X43" s="152"/>
      <c r="Y43" s="153"/>
      <c r="Z43" s="153"/>
      <c r="AA43" s="154"/>
      <c r="AB43" s="155">
        <f>S43*$AB$3</f>
        <v>6619.8752399999994</v>
      </c>
      <c r="AC43" s="156">
        <f>S43*$AC$3</f>
        <v>1483.76514</v>
      </c>
      <c r="AD43" s="156">
        <f>S43*$AD$3</f>
        <v>1001.5414694999999</v>
      </c>
      <c r="AE43" s="156">
        <f>S43*$AE$3</f>
        <v>456.54311999999999</v>
      </c>
      <c r="AF43" s="156">
        <f>S43*$AF$3</f>
        <v>228.27155999999999</v>
      </c>
      <c r="AG43" s="156">
        <f>S43*$AG$3</f>
        <v>228.27155999999999</v>
      </c>
      <c r="AH43" s="156">
        <f>S43*$AH$3</f>
        <v>114.13578</v>
      </c>
      <c r="AI43" s="156">
        <f>S43*$AI$3</f>
        <v>228.27155999999999</v>
      </c>
      <c r="AJ43" s="156">
        <f>S43*$AJ$3</f>
        <v>228.27155999999999</v>
      </c>
      <c r="AK43" s="156">
        <f>S43*$AK$3</f>
        <v>798.95046000000002</v>
      </c>
      <c r="AL43" s="157">
        <f t="shared" si="18"/>
        <v>3512.5286295000001</v>
      </c>
      <c r="AM43" s="158">
        <f t="shared" si="19"/>
        <v>2200</v>
      </c>
      <c r="AN43" s="159">
        <v>0.2</v>
      </c>
      <c r="AO43" s="160">
        <f t="shared" si="20"/>
        <v>93329166.745809704</v>
      </c>
      <c r="AP43" s="161">
        <f t="shared" si="21"/>
        <v>25924.77061448418</v>
      </c>
      <c r="AQ43" s="162">
        <f t="shared" si="22"/>
        <v>5184.9541228968365</v>
      </c>
      <c r="AR43" s="580">
        <f t="shared" si="23"/>
        <v>0.73986217507089558</v>
      </c>
      <c r="AS43" s="582">
        <f t="shared" si="24"/>
        <v>0.73986217507089558</v>
      </c>
      <c r="AT43" s="165"/>
      <c r="AU43" s="166"/>
      <c r="AV43" s="167"/>
      <c r="AW43" s="146"/>
      <c r="AX43" s="168"/>
    </row>
    <row r="44" spans="1:50" s="190" customFormat="1" ht="11.25" x14ac:dyDescent="0.25">
      <c r="A44" s="225">
        <v>7</v>
      </c>
      <c r="B44" s="170" t="s">
        <v>94</v>
      </c>
      <c r="C44" s="142"/>
      <c r="D44" s="143"/>
      <c r="E44" s="143"/>
      <c r="F44" s="143"/>
      <c r="G44" s="143"/>
      <c r="H44" s="143"/>
      <c r="I44" s="143"/>
      <c r="J44" s="143"/>
      <c r="K44" s="143"/>
      <c r="L44" s="143"/>
      <c r="M44" s="143">
        <v>414417</v>
      </c>
      <c r="N44" s="143"/>
      <c r="O44" s="145"/>
      <c r="P44" s="223">
        <f t="shared" si="14"/>
        <v>414417</v>
      </c>
      <c r="Q44" s="147">
        <f t="shared" si="15"/>
        <v>45585.87</v>
      </c>
      <c r="R44" s="147">
        <f t="shared" si="16"/>
        <v>124.89279452054795</v>
      </c>
      <c r="S44" s="148">
        <f t="shared" si="17"/>
        <v>27351.522000000001</v>
      </c>
      <c r="T44" s="199"/>
      <c r="U44" s="179"/>
      <c r="V44" s="226"/>
      <c r="W44" s="226"/>
      <c r="X44" s="227"/>
      <c r="Y44" s="181"/>
      <c r="Z44" s="181"/>
      <c r="AA44" s="182"/>
      <c r="AB44" s="228">
        <f>S44*$AB$3</f>
        <v>15863.882759999999</v>
      </c>
      <c r="AC44" s="229">
        <f>S44*$AC$3</f>
        <v>3555.6978600000002</v>
      </c>
      <c r="AD44" s="229">
        <f>S44*$AD$3</f>
        <v>2400.0960555000001</v>
      </c>
      <c r="AE44" s="229">
        <f>S44*$AE$3</f>
        <v>1094.06088</v>
      </c>
      <c r="AF44" s="229">
        <f>S44*$AF$3</f>
        <v>547.03044</v>
      </c>
      <c r="AG44" s="229">
        <f>S44*$AG$3</f>
        <v>547.03044</v>
      </c>
      <c r="AH44" s="229">
        <f>S44*$AH$3</f>
        <v>273.51522</v>
      </c>
      <c r="AI44" s="229">
        <f>S44*$AI$3</f>
        <v>547.03044</v>
      </c>
      <c r="AJ44" s="156">
        <f>S44*$AJ$3</f>
        <v>547.03044</v>
      </c>
      <c r="AK44" s="156">
        <f>S44*$AK$3</f>
        <v>1914.6065400000002</v>
      </c>
      <c r="AL44" s="157">
        <f t="shared" si="18"/>
        <v>8417.4308954999997</v>
      </c>
      <c r="AM44" s="158">
        <f t="shared" si="19"/>
        <v>2200</v>
      </c>
      <c r="AN44" s="230">
        <v>0.2</v>
      </c>
      <c r="AO44" s="160">
        <f t="shared" si="20"/>
        <v>223654208.82826427</v>
      </c>
      <c r="AP44" s="161">
        <f t="shared" si="21"/>
        <v>62126.174089055821</v>
      </c>
      <c r="AQ44" s="162">
        <f t="shared" si="22"/>
        <v>12425.234817811164</v>
      </c>
      <c r="AR44" s="580">
        <f t="shared" si="23"/>
        <v>1.7730072513999948</v>
      </c>
      <c r="AS44" s="582">
        <f t="shared" si="24"/>
        <v>1.7730072513999948</v>
      </c>
      <c r="AT44" s="187"/>
      <c r="AU44" s="188"/>
      <c r="AV44" s="231"/>
      <c r="AW44" s="157"/>
      <c r="AX44" s="189"/>
    </row>
    <row r="45" spans="1:50" s="190" customFormat="1" ht="11.25" x14ac:dyDescent="0.25">
      <c r="A45" s="225">
        <v>8</v>
      </c>
      <c r="B45" s="170" t="s">
        <v>95</v>
      </c>
      <c r="C45" s="142"/>
      <c r="D45" s="143"/>
      <c r="E45" s="143"/>
      <c r="F45" s="143"/>
      <c r="G45" s="143"/>
      <c r="H45" s="143"/>
      <c r="I45" s="143"/>
      <c r="J45" s="143"/>
      <c r="K45" s="143"/>
      <c r="L45" s="143"/>
      <c r="M45" s="143">
        <v>667563</v>
      </c>
      <c r="N45" s="143"/>
      <c r="O45" s="145"/>
      <c r="P45" s="223">
        <f t="shared" si="14"/>
        <v>667563</v>
      </c>
      <c r="Q45" s="147">
        <f>P45*$Q$7</f>
        <v>97464.197999999989</v>
      </c>
      <c r="R45" s="147">
        <f t="shared" si="16"/>
        <v>267.02519999999998</v>
      </c>
      <c r="S45" s="148">
        <f>R45*$S$3*$S$7</f>
        <v>68224.938599999994</v>
      </c>
      <c r="T45" s="199"/>
      <c r="U45" s="179"/>
      <c r="V45" s="226"/>
      <c r="W45" s="226"/>
      <c r="X45" s="227"/>
      <c r="Y45" s="181"/>
      <c r="Z45" s="181"/>
      <c r="AA45" s="182"/>
      <c r="AB45" s="228">
        <f>S45*$AB$3</f>
        <v>39570.464387999993</v>
      </c>
      <c r="AC45" s="229">
        <f>S45*$AC$3</f>
        <v>8869.242017999999</v>
      </c>
      <c r="AD45" s="229">
        <f>S45*$AD$3</f>
        <v>5986.7383621499994</v>
      </c>
      <c r="AE45" s="229">
        <f>S45*$AE$3</f>
        <v>2728.9975439999998</v>
      </c>
      <c r="AF45" s="229">
        <f>S45*$AF$3</f>
        <v>1364.4987719999999</v>
      </c>
      <c r="AG45" s="229">
        <f>S45*$AG$3</f>
        <v>1364.4987719999999</v>
      </c>
      <c r="AH45" s="229">
        <f>S45*$AH$3</f>
        <v>682.24938599999996</v>
      </c>
      <c r="AI45" s="229">
        <f>S45*$AI$3</f>
        <v>1364.4987719999999</v>
      </c>
      <c r="AJ45" s="156">
        <f>S45*$AJ$3</f>
        <v>1364.4987719999999</v>
      </c>
      <c r="AK45" s="156">
        <f>S45*$AK$3</f>
        <v>4775.7457020000002</v>
      </c>
      <c r="AL45" s="157">
        <f t="shared" si="18"/>
        <v>20996.224854149998</v>
      </c>
      <c r="AM45" s="158">
        <f t="shared" si="19"/>
        <v>2200</v>
      </c>
      <c r="AN45" s="230">
        <v>0.2</v>
      </c>
      <c r="AO45" s="160">
        <f t="shared" si="20"/>
        <v>557877351.94187391</v>
      </c>
      <c r="AP45" s="161">
        <f t="shared" si="21"/>
        <v>154965.94349223946</v>
      </c>
      <c r="AQ45" s="162">
        <f t="shared" si="22"/>
        <v>30993.188698447892</v>
      </c>
      <c r="AR45" s="580">
        <f t="shared" si="23"/>
        <v>4.4225440494360573</v>
      </c>
      <c r="AS45" s="582">
        <f t="shared" si="24"/>
        <v>4.4225440494360573</v>
      </c>
      <c r="AT45" s="187"/>
      <c r="AU45" s="188"/>
      <c r="AV45" s="231"/>
      <c r="AW45" s="157"/>
      <c r="AX45" s="189"/>
    </row>
    <row r="46" spans="1:50" s="139" customFormat="1" ht="11.25" x14ac:dyDescent="0.25">
      <c r="A46" s="140">
        <v>9</v>
      </c>
      <c r="B46" s="232" t="s">
        <v>96</v>
      </c>
      <c r="C46" s="142"/>
      <c r="D46" s="143"/>
      <c r="E46" s="143"/>
      <c r="F46" s="143"/>
      <c r="G46" s="143"/>
      <c r="H46" s="143"/>
      <c r="I46" s="143"/>
      <c r="J46" s="143"/>
      <c r="K46" s="143"/>
      <c r="L46" s="143"/>
      <c r="M46" s="222">
        <v>818104</v>
      </c>
      <c r="N46" s="143"/>
      <c r="O46" s="145"/>
      <c r="P46" s="223">
        <f t="shared" si="14"/>
        <v>818104</v>
      </c>
      <c r="Q46" s="147">
        <f>P46*$Q$7</f>
        <v>119443.18399999999</v>
      </c>
      <c r="R46" s="147">
        <f t="shared" si="16"/>
        <v>327.24160000000001</v>
      </c>
      <c r="S46" s="148">
        <f>R46*$S$3*$S$7</f>
        <v>83610.228799999997</v>
      </c>
      <c r="T46" s="199"/>
      <c r="U46" s="150"/>
      <c r="V46" s="151"/>
      <c r="W46" s="151"/>
      <c r="X46" s="152"/>
      <c r="Y46" s="153"/>
      <c r="Z46" s="153"/>
      <c r="AA46" s="154"/>
      <c r="AB46" s="155">
        <f>S46*$AB$3</f>
        <v>48493.932703999992</v>
      </c>
      <c r="AC46" s="156">
        <f>S46*$AC$3</f>
        <v>10869.329744000001</v>
      </c>
      <c r="AD46" s="156">
        <f>S46*$AD$3</f>
        <v>7336.7975771999991</v>
      </c>
      <c r="AE46" s="156">
        <f>S46*$AE$3</f>
        <v>3344.4091520000002</v>
      </c>
      <c r="AF46" s="156">
        <f>S46*$AF$3</f>
        <v>1672.2045760000001</v>
      </c>
      <c r="AG46" s="156">
        <f>S46*$AG$3</f>
        <v>1672.2045760000001</v>
      </c>
      <c r="AH46" s="156">
        <f>S46*$AH$3</f>
        <v>836.10228800000004</v>
      </c>
      <c r="AI46" s="156">
        <f>S46*$AI$3</f>
        <v>1672.2045760000001</v>
      </c>
      <c r="AJ46" s="156">
        <f>S46*$AJ$3</f>
        <v>1672.2045760000001</v>
      </c>
      <c r="AK46" s="156">
        <f>S46*$AK$3</f>
        <v>5852.7160160000003</v>
      </c>
      <c r="AL46" s="157">
        <f t="shared" si="18"/>
        <v>25731.047913200004</v>
      </c>
      <c r="AM46" s="158">
        <f t="shared" si="19"/>
        <v>2200</v>
      </c>
      <c r="AN46" s="159">
        <v>0.2</v>
      </c>
      <c r="AO46" s="160">
        <f t="shared" si="20"/>
        <v>683683327.46580446</v>
      </c>
      <c r="AP46" s="161">
        <f t="shared" si="21"/>
        <v>189912.05060013072</v>
      </c>
      <c r="AQ46" s="162">
        <f t="shared" si="22"/>
        <v>37982.410120026143</v>
      </c>
      <c r="AR46" s="580">
        <f t="shared" si="23"/>
        <v>5.4198644577662876</v>
      </c>
      <c r="AS46" s="435">
        <f t="shared" si="24"/>
        <v>5.4198644577662876</v>
      </c>
      <c r="AT46" s="187"/>
      <c r="AU46" s="166"/>
      <c r="AV46" s="167"/>
      <c r="AW46" s="146"/>
      <c r="AX46" s="168"/>
    </row>
    <row r="47" spans="1:50" s="139" customFormat="1" ht="11.25" x14ac:dyDescent="0.25">
      <c r="A47" s="140">
        <v>10</v>
      </c>
      <c r="B47" s="232" t="s">
        <v>97</v>
      </c>
      <c r="C47" s="142"/>
      <c r="D47" s="143"/>
      <c r="E47" s="143"/>
      <c r="F47" s="143"/>
      <c r="G47" s="143"/>
      <c r="H47" s="143"/>
      <c r="I47" s="143"/>
      <c r="J47" s="143"/>
      <c r="K47" s="143"/>
      <c r="L47" s="143"/>
      <c r="M47" s="222">
        <v>169848</v>
      </c>
      <c r="N47" s="143"/>
      <c r="O47" s="145"/>
      <c r="P47" s="223">
        <f t="shared" si="14"/>
        <v>169848</v>
      </c>
      <c r="Q47" s="147">
        <f>P47*$Q$8</f>
        <v>18683.28</v>
      </c>
      <c r="R47" s="147">
        <f t="shared" si="16"/>
        <v>51.187068493150683</v>
      </c>
      <c r="S47" s="148">
        <f>R47*$S$3*$S$8</f>
        <v>11209.967999999999</v>
      </c>
      <c r="T47" s="199"/>
      <c r="U47" s="150"/>
      <c r="V47" s="151"/>
      <c r="W47" s="151"/>
      <c r="X47" s="152"/>
      <c r="Y47" s="153"/>
      <c r="Z47" s="153"/>
      <c r="AA47" s="154"/>
      <c r="AB47" s="155">
        <f>S47*$AB$3</f>
        <v>6501.7814399999988</v>
      </c>
      <c r="AC47" s="156">
        <f>S47*$AC$3</f>
        <v>1457.29584</v>
      </c>
      <c r="AD47" s="156">
        <f>S47*$AD$3</f>
        <v>983.67469199999982</v>
      </c>
      <c r="AE47" s="156">
        <f>S47*$AE$3</f>
        <v>448.39871999999997</v>
      </c>
      <c r="AF47" s="156">
        <f>S47*$AF$3</f>
        <v>224.19935999999998</v>
      </c>
      <c r="AG47" s="156">
        <f>S47*$AG$3</f>
        <v>224.19935999999998</v>
      </c>
      <c r="AH47" s="156">
        <f>S47*$AH$3</f>
        <v>112.09967999999999</v>
      </c>
      <c r="AI47" s="156">
        <f>S47*$AI$3</f>
        <v>224.19935999999998</v>
      </c>
      <c r="AJ47" s="156">
        <f>S47*$AJ$3</f>
        <v>224.19935999999998</v>
      </c>
      <c r="AK47" s="156">
        <f>S47*$AK$3</f>
        <v>784.69776000000002</v>
      </c>
      <c r="AL47" s="157">
        <f t="shared" si="18"/>
        <v>3449.8676519999999</v>
      </c>
      <c r="AM47" s="158">
        <f t="shared" si="19"/>
        <v>2200</v>
      </c>
      <c r="AN47" s="159">
        <v>0.2</v>
      </c>
      <c r="AO47" s="160">
        <f t="shared" si="20"/>
        <v>91664241.720448315</v>
      </c>
      <c r="AP47" s="161">
        <f t="shared" si="21"/>
        <v>25462.291403774347</v>
      </c>
      <c r="AQ47" s="162">
        <f t="shared" si="22"/>
        <v>5092.4582807548695</v>
      </c>
      <c r="AR47" s="580">
        <f t="shared" si="23"/>
        <v>0.7266635674593136</v>
      </c>
      <c r="AS47" s="582">
        <f t="shared" si="24"/>
        <v>0.7266635674593136</v>
      </c>
      <c r="AT47" s="165"/>
      <c r="AU47" s="166"/>
      <c r="AV47" s="167"/>
      <c r="AW47" s="146"/>
      <c r="AX47" s="168"/>
    </row>
    <row r="48" spans="1:50" s="139" customFormat="1" ht="11.25" x14ac:dyDescent="0.25">
      <c r="A48" s="140">
        <v>11</v>
      </c>
      <c r="B48" s="232" t="s">
        <v>98</v>
      </c>
      <c r="C48" s="142"/>
      <c r="D48" s="143"/>
      <c r="E48" s="143"/>
      <c r="F48" s="143"/>
      <c r="G48" s="143"/>
      <c r="H48" s="143"/>
      <c r="I48" s="143"/>
      <c r="J48" s="143"/>
      <c r="K48" s="143"/>
      <c r="L48" s="143"/>
      <c r="M48" s="222">
        <v>350479</v>
      </c>
      <c r="N48" s="143"/>
      <c r="O48" s="145"/>
      <c r="P48" s="223">
        <f t="shared" si="14"/>
        <v>350479</v>
      </c>
      <c r="Q48" s="147">
        <f>P48*$Q$8</f>
        <v>38552.69</v>
      </c>
      <c r="R48" s="147">
        <f t="shared" si="16"/>
        <v>105.62380821917809</v>
      </c>
      <c r="S48" s="148">
        <f>R48*$S$3*$S$8</f>
        <v>23131.614000000001</v>
      </c>
      <c r="T48" s="199"/>
      <c r="U48" s="150"/>
      <c r="V48" s="151"/>
      <c r="W48" s="151"/>
      <c r="X48" s="152"/>
      <c r="Y48" s="153"/>
      <c r="Z48" s="153"/>
      <c r="AA48" s="154"/>
      <c r="AB48" s="155">
        <f>S48*$AB$3</f>
        <v>13416.33612</v>
      </c>
      <c r="AC48" s="156">
        <f>S48*$AC$3</f>
        <v>3007.1098200000001</v>
      </c>
      <c r="AD48" s="156">
        <f>S48*$AD$3</f>
        <v>2029.7991285000001</v>
      </c>
      <c r="AE48" s="156">
        <f>S48*$AE$3</f>
        <v>925.26456000000007</v>
      </c>
      <c r="AF48" s="156">
        <f>S48*$AF$3</f>
        <v>462.63228000000004</v>
      </c>
      <c r="AG48" s="156">
        <f>S48*$AG$3</f>
        <v>462.63228000000004</v>
      </c>
      <c r="AH48" s="156">
        <f>S48*$AH$3</f>
        <v>231.31614000000002</v>
      </c>
      <c r="AI48" s="156">
        <f>S48*$AI$3</f>
        <v>462.63228000000004</v>
      </c>
      <c r="AJ48" s="156">
        <f>S48*$AJ$3</f>
        <v>462.63228000000004</v>
      </c>
      <c r="AK48" s="156">
        <f>S48*$AK$3</f>
        <v>1619.2129800000002</v>
      </c>
      <c r="AL48" s="157">
        <f t="shared" si="18"/>
        <v>7118.7542084999995</v>
      </c>
      <c r="AM48" s="158">
        <f t="shared" si="19"/>
        <v>2200</v>
      </c>
      <c r="AN48" s="159">
        <v>0.2</v>
      </c>
      <c r="AO48" s="160">
        <f t="shared" si="20"/>
        <v>189147895.61220035</v>
      </c>
      <c r="AP48" s="161">
        <f t="shared" si="21"/>
        <v>52541.086317786663</v>
      </c>
      <c r="AQ48" s="162">
        <f t="shared" si="22"/>
        <v>10508.217263557333</v>
      </c>
      <c r="AR48" s="580">
        <f t="shared" si="23"/>
        <v>1.4994602259642313</v>
      </c>
      <c r="AS48" s="582">
        <f t="shared" si="24"/>
        <v>1.4994602259642313</v>
      </c>
      <c r="AT48" s="165"/>
      <c r="AU48" s="166"/>
      <c r="AV48" s="167"/>
      <c r="AW48" s="146"/>
      <c r="AX48" s="168"/>
    </row>
    <row r="49" spans="1:50" s="139" customFormat="1" ht="11.25" x14ac:dyDescent="0.25">
      <c r="A49" s="140">
        <v>12</v>
      </c>
      <c r="B49" s="232" t="s">
        <v>99</v>
      </c>
      <c r="C49" s="142"/>
      <c r="D49" s="143"/>
      <c r="E49" s="143"/>
      <c r="F49" s="143"/>
      <c r="G49" s="143"/>
      <c r="H49" s="143"/>
      <c r="I49" s="143"/>
      <c r="J49" s="143"/>
      <c r="K49" s="143"/>
      <c r="L49" s="143"/>
      <c r="M49" s="222">
        <v>1789243</v>
      </c>
      <c r="N49" s="143"/>
      <c r="O49" s="145"/>
      <c r="P49" s="223">
        <f t="shared" si="14"/>
        <v>1789243</v>
      </c>
      <c r="Q49" s="147">
        <f>P49*$Q$5</f>
        <v>424050.59099999996</v>
      </c>
      <c r="R49" s="147">
        <f t="shared" si="16"/>
        <v>1161.7824410958904</v>
      </c>
      <c r="S49" s="148">
        <f>R49*$S$3*$S$5</f>
        <v>381645.53189999994</v>
      </c>
      <c r="T49" s="199"/>
      <c r="U49" s="150"/>
      <c r="V49" s="151"/>
      <c r="W49" s="151"/>
      <c r="X49" s="152"/>
      <c r="Y49" s="153"/>
      <c r="Z49" s="153"/>
      <c r="AA49" s="154"/>
      <c r="AB49" s="155">
        <f>S49*$AB$3</f>
        <v>221354.40850199995</v>
      </c>
      <c r="AC49" s="156">
        <f>S49*$AC$3</f>
        <v>49613.919146999993</v>
      </c>
      <c r="AD49" s="156">
        <f>S49*$AD$3</f>
        <v>33489.395424224997</v>
      </c>
      <c r="AE49" s="156">
        <f>S49*$AE$3</f>
        <v>15265.821275999999</v>
      </c>
      <c r="AF49" s="156">
        <f>S49*$AF$3</f>
        <v>7632.9106379999994</v>
      </c>
      <c r="AG49" s="156">
        <f>S49*$AG$3</f>
        <v>7632.9106379999994</v>
      </c>
      <c r="AH49" s="156">
        <f>S49*$AH$3</f>
        <v>3816.4553189999997</v>
      </c>
      <c r="AI49" s="156">
        <f>S49*$AI$3</f>
        <v>7632.9106379999994</v>
      </c>
      <c r="AJ49" s="156">
        <f>S49*$AJ$3</f>
        <v>7632.9106379999994</v>
      </c>
      <c r="AK49" s="156">
        <f>S49*$AK$3</f>
        <v>26715.187232999997</v>
      </c>
      <c r="AL49" s="157">
        <f t="shared" si="18"/>
        <v>117451.412442225</v>
      </c>
      <c r="AM49" s="158">
        <f t="shared" si="19"/>
        <v>2200</v>
      </c>
      <c r="AN49" s="159">
        <v>0.2</v>
      </c>
      <c r="AO49" s="160">
        <f t="shared" si="20"/>
        <v>3120726864.4844184</v>
      </c>
      <c r="AP49" s="161">
        <f t="shared" si="21"/>
        <v>866868.64281737991</v>
      </c>
      <c r="AQ49" s="162">
        <f t="shared" si="22"/>
        <v>173373.728563476</v>
      </c>
      <c r="AR49" s="580">
        <f t="shared" si="23"/>
        <v>24.739401906888698</v>
      </c>
      <c r="AS49" s="435">
        <f t="shared" si="24"/>
        <v>24.739401906888698</v>
      </c>
      <c r="AT49" s="187"/>
      <c r="AU49" s="166"/>
      <c r="AV49" s="167"/>
      <c r="AW49" s="146"/>
      <c r="AX49" s="168"/>
    </row>
    <row r="50" spans="1:50" s="139" customFormat="1" ht="11.25" x14ac:dyDescent="0.25">
      <c r="A50" s="140">
        <v>13</v>
      </c>
      <c r="B50" s="232" t="s">
        <v>100</v>
      </c>
      <c r="C50" s="142"/>
      <c r="D50" s="143"/>
      <c r="E50" s="143"/>
      <c r="F50" s="143"/>
      <c r="G50" s="143"/>
      <c r="H50" s="143"/>
      <c r="I50" s="143"/>
      <c r="J50" s="143"/>
      <c r="K50" s="143"/>
      <c r="L50" s="143"/>
      <c r="M50" s="222">
        <v>966133</v>
      </c>
      <c r="N50" s="143"/>
      <c r="O50" s="145"/>
      <c r="P50" s="223">
        <f t="shared" si="14"/>
        <v>966133</v>
      </c>
      <c r="Q50" s="147">
        <f>P50*$Q$7</f>
        <v>141055.41800000001</v>
      </c>
      <c r="R50" s="147">
        <f t="shared" si="16"/>
        <v>386.45320000000004</v>
      </c>
      <c r="S50" s="148">
        <f>R50*$S$3*$S$7</f>
        <v>98738.792600000001</v>
      </c>
      <c r="T50" s="199"/>
      <c r="U50" s="150"/>
      <c r="V50" s="151"/>
      <c r="W50" s="151"/>
      <c r="X50" s="152"/>
      <c r="Y50" s="153"/>
      <c r="Z50" s="153"/>
      <c r="AA50" s="154"/>
      <c r="AB50" s="155">
        <f>S50*$AB$3</f>
        <v>57268.499707999996</v>
      </c>
      <c r="AC50" s="156">
        <f>S50*$AC$3</f>
        <v>12836.043038</v>
      </c>
      <c r="AD50" s="156">
        <f>S50*$AD$3</f>
        <v>8664.3290506499998</v>
      </c>
      <c r="AE50" s="156">
        <f>S50*$AE$3</f>
        <v>3949.551704</v>
      </c>
      <c r="AF50" s="156">
        <f>S50*$AF$3</f>
        <v>1974.775852</v>
      </c>
      <c r="AG50" s="156">
        <f>S50*$AG$3</f>
        <v>1974.775852</v>
      </c>
      <c r="AH50" s="156">
        <f>S50*$AH$3</f>
        <v>987.38792599999999</v>
      </c>
      <c r="AI50" s="156">
        <f>S50*$AI$3</f>
        <v>1974.775852</v>
      </c>
      <c r="AJ50" s="156">
        <f>S50*$AJ$3</f>
        <v>1974.775852</v>
      </c>
      <c r="AK50" s="156">
        <f>S50*$AK$3</f>
        <v>6911.7154820000005</v>
      </c>
      <c r="AL50" s="157">
        <f t="shared" si="18"/>
        <v>30386.86342265</v>
      </c>
      <c r="AM50" s="158">
        <f t="shared" si="19"/>
        <v>2200</v>
      </c>
      <c r="AN50" s="159">
        <v>0.2</v>
      </c>
      <c r="AO50" s="160">
        <f t="shared" si="20"/>
        <v>807390043.58189178</v>
      </c>
      <c r="AP50" s="161">
        <f t="shared" si="21"/>
        <v>224275.030048082</v>
      </c>
      <c r="AQ50" s="162">
        <f t="shared" si="22"/>
        <v>44855.006009616402</v>
      </c>
      <c r="AR50" s="580">
        <f t="shared" si="23"/>
        <v>6.4005430949795095</v>
      </c>
      <c r="AS50" s="435">
        <f t="shared" si="24"/>
        <v>6.4005430949795095</v>
      </c>
      <c r="AT50" s="187"/>
      <c r="AU50" s="166"/>
      <c r="AV50" s="167"/>
      <c r="AW50" s="146"/>
      <c r="AX50" s="168"/>
    </row>
    <row r="51" spans="1:50" s="139" customFormat="1" ht="11.25" x14ac:dyDescent="0.25">
      <c r="A51" s="140">
        <v>14</v>
      </c>
      <c r="B51" s="170" t="s">
        <v>101</v>
      </c>
      <c r="C51" s="142"/>
      <c r="D51" s="143"/>
      <c r="E51" s="143"/>
      <c r="F51" s="143"/>
      <c r="G51" s="143"/>
      <c r="H51" s="143"/>
      <c r="I51" s="143"/>
      <c r="J51" s="143"/>
      <c r="K51" s="143"/>
      <c r="L51" s="143"/>
      <c r="M51" s="222">
        <v>289876</v>
      </c>
      <c r="N51" s="143"/>
      <c r="O51" s="145"/>
      <c r="P51" s="223">
        <f t="shared" si="14"/>
        <v>289876</v>
      </c>
      <c r="Q51" s="147">
        <f>P51*$Q$8</f>
        <v>31886.36</v>
      </c>
      <c r="R51" s="147">
        <f t="shared" si="16"/>
        <v>87.359890410958911</v>
      </c>
      <c r="S51" s="148">
        <f>R51*$S$3*$S$8</f>
        <v>19131.816000000003</v>
      </c>
      <c r="T51" s="199"/>
      <c r="U51" s="150"/>
      <c r="V51" s="151"/>
      <c r="W51" s="151"/>
      <c r="X51" s="152"/>
      <c r="Y51" s="153"/>
      <c r="Z51" s="153"/>
      <c r="AA51" s="154"/>
      <c r="AB51" s="155">
        <f>S51*$AB$3</f>
        <v>11096.453280000002</v>
      </c>
      <c r="AC51" s="156">
        <f>S51*$AC$3</f>
        <v>2487.1360800000002</v>
      </c>
      <c r="AD51" s="156">
        <f>S51*$AD$3</f>
        <v>1678.8168540000001</v>
      </c>
      <c r="AE51" s="156">
        <f>S51*$AE$3</f>
        <v>765.27264000000014</v>
      </c>
      <c r="AF51" s="156">
        <f>S51*$AF$3</f>
        <v>382.63632000000007</v>
      </c>
      <c r="AG51" s="156">
        <f>S51*$AG$3</f>
        <v>382.63632000000007</v>
      </c>
      <c r="AH51" s="156">
        <f>S51*$AH$3</f>
        <v>191.31816000000003</v>
      </c>
      <c r="AI51" s="156">
        <f>S51*$AI$3</f>
        <v>382.63632000000007</v>
      </c>
      <c r="AJ51" s="156">
        <f>S51*$AJ$3</f>
        <v>382.63632000000007</v>
      </c>
      <c r="AK51" s="156">
        <f>S51*$AK$3</f>
        <v>1339.2271200000002</v>
      </c>
      <c r="AL51" s="157">
        <f t="shared" si="18"/>
        <v>5887.8163740000009</v>
      </c>
      <c r="AM51" s="158">
        <f t="shared" si="19"/>
        <v>2200</v>
      </c>
      <c r="AN51" s="159">
        <v>0.2</v>
      </c>
      <c r="AO51" s="160">
        <f t="shared" si="20"/>
        <v>156441428.41220784</v>
      </c>
      <c r="AP51" s="161">
        <f t="shared" si="21"/>
        <v>43455.955813200584</v>
      </c>
      <c r="AQ51" s="162">
        <f t="shared" si="22"/>
        <v>8691.1911626401179</v>
      </c>
      <c r="AR51" s="580">
        <f t="shared" si="23"/>
        <v>1.2401813873630305</v>
      </c>
      <c r="AS51" s="582">
        <f t="shared" si="24"/>
        <v>1.2401813873630305</v>
      </c>
      <c r="AT51" s="165"/>
      <c r="AU51" s="166"/>
      <c r="AV51" s="167"/>
      <c r="AW51" s="146"/>
      <c r="AX51" s="168"/>
    </row>
    <row r="52" spans="1:50" s="139" customFormat="1" ht="11.25" x14ac:dyDescent="0.25">
      <c r="A52" s="140">
        <v>15</v>
      </c>
      <c r="B52" s="170" t="s">
        <v>102</v>
      </c>
      <c r="C52" s="142"/>
      <c r="D52" s="143"/>
      <c r="E52" s="143"/>
      <c r="F52" s="143"/>
      <c r="G52" s="143"/>
      <c r="H52" s="143"/>
      <c r="I52" s="143"/>
      <c r="J52" s="143"/>
      <c r="K52" s="143"/>
      <c r="L52" s="143"/>
      <c r="M52" s="222">
        <v>171687</v>
      </c>
      <c r="N52" s="143"/>
      <c r="O52" s="145"/>
      <c r="P52" s="223">
        <f t="shared" si="14"/>
        <v>171687</v>
      </c>
      <c r="Q52" s="147">
        <f>P52*$Q$8</f>
        <v>18885.57</v>
      </c>
      <c r="R52" s="147">
        <f t="shared" si="16"/>
        <v>51.741287671232875</v>
      </c>
      <c r="S52" s="148">
        <f>R52*$S$3*$S$8</f>
        <v>11331.341999999999</v>
      </c>
      <c r="T52" s="199"/>
      <c r="U52" s="150"/>
      <c r="V52" s="151"/>
      <c r="W52" s="151"/>
      <c r="X52" s="152"/>
      <c r="Y52" s="153"/>
      <c r="Z52" s="153"/>
      <c r="AA52" s="154"/>
      <c r="AB52" s="155">
        <f>S52*$AB$3</f>
        <v>6572.178359999999</v>
      </c>
      <c r="AC52" s="156">
        <f>S52*$AC$3</f>
        <v>1473.0744599999998</v>
      </c>
      <c r="AD52" s="156">
        <f>S52*$AD$3</f>
        <v>994.32526049999979</v>
      </c>
      <c r="AE52" s="156">
        <f>S52*$AE$3</f>
        <v>453.25367999999997</v>
      </c>
      <c r="AF52" s="156">
        <f>S52*$AF$3</f>
        <v>226.62683999999999</v>
      </c>
      <c r="AG52" s="156">
        <f>S52*$AG$3</f>
        <v>226.62683999999999</v>
      </c>
      <c r="AH52" s="156">
        <f>S52*$AH$3</f>
        <v>113.31341999999999</v>
      </c>
      <c r="AI52" s="156">
        <f>S52*$AI$3</f>
        <v>226.62683999999999</v>
      </c>
      <c r="AJ52" s="156">
        <f>S52*$AJ$3</f>
        <v>226.62683999999999</v>
      </c>
      <c r="AK52" s="156">
        <f>S52*$AK$3</f>
        <v>793.19394</v>
      </c>
      <c r="AL52" s="157">
        <f t="shared" si="18"/>
        <v>3487.2205004999992</v>
      </c>
      <c r="AM52" s="158">
        <f t="shared" si="19"/>
        <v>2200</v>
      </c>
      <c r="AN52" s="159">
        <v>0.2</v>
      </c>
      <c r="AO52" s="160">
        <f t="shared" si="20"/>
        <v>92656720.528111055</v>
      </c>
      <c r="AP52" s="161">
        <f t="shared" si="21"/>
        <v>25737.979983513527</v>
      </c>
      <c r="AQ52" s="162">
        <f t="shared" si="22"/>
        <v>5147.5959967027056</v>
      </c>
      <c r="AR52" s="580">
        <f t="shared" si="23"/>
        <v>0.73453139222355956</v>
      </c>
      <c r="AS52" s="582">
        <f t="shared" si="24"/>
        <v>0.73453139222355956</v>
      </c>
      <c r="AT52" s="165"/>
      <c r="AU52" s="166"/>
      <c r="AV52" s="167"/>
      <c r="AW52" s="146"/>
      <c r="AX52" s="168"/>
    </row>
    <row r="53" spans="1:50" s="139" customFormat="1" ht="11.25" x14ac:dyDescent="0.25">
      <c r="A53" s="140">
        <v>16</v>
      </c>
      <c r="B53" s="170" t="s">
        <v>103</v>
      </c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222">
        <v>40481</v>
      </c>
      <c r="N53" s="143"/>
      <c r="O53" s="145"/>
      <c r="P53" s="223">
        <f t="shared" si="14"/>
        <v>40481</v>
      </c>
      <c r="Q53" s="147">
        <f>P53*$Q$8</f>
        <v>4452.91</v>
      </c>
      <c r="R53" s="147">
        <f t="shared" si="16"/>
        <v>12.199753424657533</v>
      </c>
      <c r="S53" s="148">
        <f>R53*$S$3*$S$8</f>
        <v>2671.7459999999996</v>
      </c>
      <c r="T53" s="199"/>
      <c r="U53" s="150"/>
      <c r="V53" s="151"/>
      <c r="W53" s="151"/>
      <c r="X53" s="152"/>
      <c r="Y53" s="153"/>
      <c r="Z53" s="153"/>
      <c r="AA53" s="154"/>
      <c r="AB53" s="155">
        <f>S53*$AB$3</f>
        <v>1549.6126799999997</v>
      </c>
      <c r="AC53" s="156">
        <f>S53*$AC$3</f>
        <v>347.32697999999999</v>
      </c>
      <c r="AD53" s="156">
        <f>S53*$AD$3</f>
        <v>234.44571149999996</v>
      </c>
      <c r="AE53" s="156">
        <f>S53*$AE$3</f>
        <v>106.86983999999998</v>
      </c>
      <c r="AF53" s="156">
        <f>S53*$AF$3</f>
        <v>53.434919999999991</v>
      </c>
      <c r="AG53" s="156">
        <f>S53*$AG$3</f>
        <v>53.434919999999991</v>
      </c>
      <c r="AH53" s="156">
        <f>S53*$AH$3</f>
        <v>26.717459999999996</v>
      </c>
      <c r="AI53" s="156">
        <f>S53*$AI$3</f>
        <v>53.434919999999991</v>
      </c>
      <c r="AJ53" s="156">
        <f>S53*$AJ$3</f>
        <v>53.434919999999991</v>
      </c>
      <c r="AK53" s="156">
        <f>S53*$AK$3</f>
        <v>187.02222</v>
      </c>
      <c r="AL53" s="157">
        <f t="shared" si="18"/>
        <v>822.22983149999993</v>
      </c>
      <c r="AM53" s="158">
        <f t="shared" si="19"/>
        <v>2200</v>
      </c>
      <c r="AN53" s="159">
        <v>0.2</v>
      </c>
      <c r="AO53" s="160">
        <f t="shared" si="20"/>
        <v>21846946.499726035</v>
      </c>
      <c r="AP53" s="161">
        <f t="shared" si="21"/>
        <v>6068.5967354115983</v>
      </c>
      <c r="AQ53" s="162">
        <f t="shared" si="22"/>
        <v>1213.7193470823197</v>
      </c>
      <c r="AR53" s="580">
        <f t="shared" si="23"/>
        <v>0.17319054610192919</v>
      </c>
      <c r="AS53" s="582">
        <f t="shared" si="24"/>
        <v>0.17319054610192919</v>
      </c>
      <c r="AT53" s="165"/>
      <c r="AU53" s="166"/>
      <c r="AV53" s="167"/>
      <c r="AW53" s="146"/>
      <c r="AX53" s="168"/>
    </row>
    <row r="54" spans="1:50" s="139" customFormat="1" ht="11.25" x14ac:dyDescent="0.25">
      <c r="A54" s="140">
        <v>17</v>
      </c>
      <c r="B54" s="170" t="s">
        <v>104</v>
      </c>
      <c r="C54" s="142"/>
      <c r="D54" s="143"/>
      <c r="E54" s="143"/>
      <c r="F54" s="143"/>
      <c r="G54" s="143"/>
      <c r="H54" s="143"/>
      <c r="I54" s="143"/>
      <c r="J54" s="143"/>
      <c r="K54" s="143"/>
      <c r="L54" s="143"/>
      <c r="M54" s="222">
        <v>119650</v>
      </c>
      <c r="N54" s="143"/>
      <c r="O54" s="145"/>
      <c r="P54" s="223">
        <f t="shared" si="14"/>
        <v>119650</v>
      </c>
      <c r="Q54" s="147">
        <f>P54*$Q$8</f>
        <v>13161.5</v>
      </c>
      <c r="R54" s="147">
        <f t="shared" si="16"/>
        <v>36.058904109589044</v>
      </c>
      <c r="S54" s="148">
        <f>R54*$S$3*$S$8</f>
        <v>7896.9000000000005</v>
      </c>
      <c r="T54" s="199"/>
      <c r="U54" s="150"/>
      <c r="V54" s="151"/>
      <c r="W54" s="151"/>
      <c r="X54" s="152"/>
      <c r="Y54" s="153"/>
      <c r="Z54" s="153"/>
      <c r="AA54" s="154"/>
      <c r="AB54" s="155">
        <f>S54*$AB$3</f>
        <v>4580.2020000000002</v>
      </c>
      <c r="AC54" s="156">
        <f>S54*$AC$3</f>
        <v>1026.5970000000002</v>
      </c>
      <c r="AD54" s="156">
        <f>S54*$AD$3</f>
        <v>692.95297500000004</v>
      </c>
      <c r="AE54" s="156">
        <f>S54*$AE$3</f>
        <v>315.87600000000003</v>
      </c>
      <c r="AF54" s="156">
        <f>S54*$AF$3</f>
        <v>157.93800000000002</v>
      </c>
      <c r="AG54" s="156">
        <f>S54*$AG$3</f>
        <v>157.93800000000002</v>
      </c>
      <c r="AH54" s="156">
        <f>S54*$AH$3</f>
        <v>78.969000000000008</v>
      </c>
      <c r="AI54" s="156">
        <f>S54*$AI$3</f>
        <v>157.93800000000002</v>
      </c>
      <c r="AJ54" s="156">
        <f>S54*$AJ$3</f>
        <v>157.93800000000002</v>
      </c>
      <c r="AK54" s="156">
        <f>S54*$AK$3</f>
        <v>552.78300000000013</v>
      </c>
      <c r="AL54" s="157">
        <f t="shared" si="18"/>
        <v>2430.2709750000004</v>
      </c>
      <c r="AM54" s="158">
        <f t="shared" si="19"/>
        <v>2200</v>
      </c>
      <c r="AN54" s="159">
        <v>0.2</v>
      </c>
      <c r="AO54" s="160">
        <f t="shared" si="20"/>
        <v>64573186.153806008</v>
      </c>
      <c r="AP54" s="161">
        <f t="shared" si="21"/>
        <v>17936.997588794693</v>
      </c>
      <c r="AQ54" s="162">
        <f t="shared" si="22"/>
        <v>3587.3995177589386</v>
      </c>
      <c r="AR54" s="580">
        <f t="shared" si="23"/>
        <v>0.51190061611856996</v>
      </c>
      <c r="AS54" s="582">
        <f t="shared" si="24"/>
        <v>0.51190061611856996</v>
      </c>
      <c r="AT54" s="165"/>
      <c r="AU54" s="166"/>
      <c r="AV54" s="167"/>
      <c r="AW54" s="146"/>
      <c r="AX54" s="168"/>
    </row>
    <row r="55" spans="1:50" s="139" customFormat="1" ht="11.25" x14ac:dyDescent="0.25">
      <c r="A55" s="140">
        <v>18</v>
      </c>
      <c r="B55" s="170" t="s">
        <v>105</v>
      </c>
      <c r="C55" s="142"/>
      <c r="D55" s="143"/>
      <c r="E55" s="143"/>
      <c r="F55" s="143"/>
      <c r="G55" s="143"/>
      <c r="H55" s="143"/>
      <c r="I55" s="143"/>
      <c r="J55" s="143"/>
      <c r="K55" s="143"/>
      <c r="L55" s="143"/>
      <c r="M55" s="222">
        <v>592922</v>
      </c>
      <c r="N55" s="143"/>
      <c r="O55" s="145"/>
      <c r="P55" s="223">
        <f t="shared" si="14"/>
        <v>592922</v>
      </c>
      <c r="Q55" s="147">
        <f>P55*$Q$7</f>
        <v>86566.611999999994</v>
      </c>
      <c r="R55" s="147">
        <f t="shared" si="16"/>
        <v>237.16879999999998</v>
      </c>
      <c r="S55" s="148">
        <f>R55*$S$3*$S$7</f>
        <v>60596.628399999994</v>
      </c>
      <c r="T55" s="199"/>
      <c r="U55" s="150"/>
      <c r="V55" s="151"/>
      <c r="W55" s="151"/>
      <c r="X55" s="152"/>
      <c r="Y55" s="153"/>
      <c r="Z55" s="153"/>
      <c r="AA55" s="154"/>
      <c r="AB55" s="155">
        <f>S55*$AB$3</f>
        <v>35146.044471999994</v>
      </c>
      <c r="AC55" s="156">
        <f>S55*$AC$3</f>
        <v>7877.5616919999993</v>
      </c>
      <c r="AD55" s="156">
        <f>S55*$AD$3</f>
        <v>5317.3541420999991</v>
      </c>
      <c r="AE55" s="156">
        <f>S55*$AE$3</f>
        <v>2423.8651359999999</v>
      </c>
      <c r="AF55" s="156">
        <f>S55*$AF$3</f>
        <v>1211.9325679999999</v>
      </c>
      <c r="AG55" s="156">
        <f>S55*$AG$3</f>
        <v>1211.9325679999999</v>
      </c>
      <c r="AH55" s="156">
        <f>S55*$AH$3</f>
        <v>605.96628399999997</v>
      </c>
      <c r="AI55" s="156">
        <f>S55*$AI$3</f>
        <v>1211.9325679999999</v>
      </c>
      <c r="AJ55" s="156">
        <f>S55*$AJ$3</f>
        <v>1211.9325679999999</v>
      </c>
      <c r="AK55" s="156">
        <f>S55*$AK$3</f>
        <v>4241.7639879999997</v>
      </c>
      <c r="AL55" s="157">
        <f t="shared" si="18"/>
        <v>18648.612390099996</v>
      </c>
      <c r="AM55" s="158">
        <f t="shared" si="19"/>
        <v>2200</v>
      </c>
      <c r="AN55" s="159">
        <v>0.2</v>
      </c>
      <c r="AO55" s="160">
        <f t="shared" si="20"/>
        <v>495500432.57052851</v>
      </c>
      <c r="AP55" s="161">
        <f t="shared" si="21"/>
        <v>137639.02005848975</v>
      </c>
      <c r="AQ55" s="162">
        <f t="shared" si="22"/>
        <v>27527.804011697954</v>
      </c>
      <c r="AR55" s="580">
        <f t="shared" si="23"/>
        <v>3.9280542254135207</v>
      </c>
      <c r="AS55" s="582">
        <f t="shared" si="24"/>
        <v>3.9280542254135207</v>
      </c>
      <c r="AT55" s="165"/>
      <c r="AU55" s="166"/>
      <c r="AV55" s="167"/>
      <c r="AW55" s="146"/>
      <c r="AX55" s="168"/>
    </row>
    <row r="56" spans="1:50" s="139" customFormat="1" ht="11.25" x14ac:dyDescent="0.25">
      <c r="A56" s="140">
        <v>19</v>
      </c>
      <c r="B56" s="170" t="s">
        <v>106</v>
      </c>
      <c r="C56" s="142"/>
      <c r="D56" s="143"/>
      <c r="E56" s="143"/>
      <c r="F56" s="143"/>
      <c r="G56" s="143"/>
      <c r="H56" s="143"/>
      <c r="I56" s="143"/>
      <c r="J56" s="143"/>
      <c r="K56" s="143"/>
      <c r="L56" s="143"/>
      <c r="M56" s="222">
        <v>374535</v>
      </c>
      <c r="N56" s="143"/>
      <c r="O56" s="145"/>
      <c r="P56" s="223">
        <f t="shared" si="14"/>
        <v>374535</v>
      </c>
      <c r="Q56" s="147">
        <f t="shared" ref="Q56:Q70" si="25">P56*$Q$8</f>
        <v>41198.85</v>
      </c>
      <c r="R56" s="147">
        <f t="shared" si="16"/>
        <v>112.87356164383561</v>
      </c>
      <c r="S56" s="148">
        <f t="shared" ref="S56:S66" si="26">R56*$S$3*$S$8</f>
        <v>24719.309999999998</v>
      </c>
      <c r="T56" s="199"/>
      <c r="U56" s="150"/>
      <c r="V56" s="151"/>
      <c r="W56" s="151"/>
      <c r="X56" s="152"/>
      <c r="Y56" s="153"/>
      <c r="Z56" s="153"/>
      <c r="AA56" s="154"/>
      <c r="AB56" s="155">
        <f>S56*$AB$3</f>
        <v>14337.199799999999</v>
      </c>
      <c r="AC56" s="156">
        <f>S56*$AC$3</f>
        <v>3213.5102999999999</v>
      </c>
      <c r="AD56" s="156">
        <f>S56*$AD$3</f>
        <v>2169.1194524999996</v>
      </c>
      <c r="AE56" s="156">
        <f>S56*$AE$3</f>
        <v>988.77239999999995</v>
      </c>
      <c r="AF56" s="156">
        <f>S56*$AF$3</f>
        <v>494.38619999999997</v>
      </c>
      <c r="AG56" s="156">
        <f>S56*$AG$3</f>
        <v>494.38619999999997</v>
      </c>
      <c r="AH56" s="156">
        <f>S56*$AH$3</f>
        <v>247.19309999999999</v>
      </c>
      <c r="AI56" s="156">
        <f>S56*$AI$3</f>
        <v>494.38619999999997</v>
      </c>
      <c r="AJ56" s="156">
        <f>S56*$AJ$3</f>
        <v>494.38619999999997</v>
      </c>
      <c r="AK56" s="156">
        <f>S56*$AK$3</f>
        <v>1730.3516999999999</v>
      </c>
      <c r="AL56" s="157">
        <f t="shared" si="18"/>
        <v>7607.3676524999992</v>
      </c>
      <c r="AM56" s="158">
        <f t="shared" si="19"/>
        <v>2200</v>
      </c>
      <c r="AN56" s="159">
        <v>0.2</v>
      </c>
      <c r="AO56" s="160">
        <f t="shared" si="20"/>
        <v>202130533.02227938</v>
      </c>
      <c r="AP56" s="161">
        <f t="shared" si="21"/>
        <v>56147.374775756114</v>
      </c>
      <c r="AQ56" s="162">
        <f t="shared" si="22"/>
        <v>11229.474955151223</v>
      </c>
      <c r="AR56" s="580">
        <f t="shared" si="23"/>
        <v>1.6023794171163275</v>
      </c>
      <c r="AS56" s="582">
        <f t="shared" si="24"/>
        <v>1.6023794171163275</v>
      </c>
      <c r="AT56" s="165"/>
      <c r="AU56" s="166"/>
      <c r="AV56" s="167"/>
      <c r="AW56" s="146"/>
      <c r="AX56" s="168"/>
    </row>
    <row r="57" spans="1:50" s="139" customFormat="1" ht="11.25" x14ac:dyDescent="0.25">
      <c r="A57" s="140">
        <v>20</v>
      </c>
      <c r="B57" s="170" t="s">
        <v>107</v>
      </c>
      <c r="C57" s="142"/>
      <c r="D57" s="143"/>
      <c r="E57" s="143"/>
      <c r="F57" s="143"/>
      <c r="G57" s="143"/>
      <c r="H57" s="143"/>
      <c r="I57" s="143"/>
      <c r="J57" s="143"/>
      <c r="K57" s="143"/>
      <c r="L57" s="143"/>
      <c r="M57" s="222">
        <v>223049</v>
      </c>
      <c r="N57" s="143"/>
      <c r="O57" s="145"/>
      <c r="P57" s="223">
        <f t="shared" si="14"/>
        <v>223049</v>
      </c>
      <c r="Q57" s="147">
        <f t="shared" si="25"/>
        <v>24535.39</v>
      </c>
      <c r="R57" s="147">
        <f t="shared" si="16"/>
        <v>67.220246575342458</v>
      </c>
      <c r="S57" s="148">
        <f t="shared" si="26"/>
        <v>14721.233999999997</v>
      </c>
      <c r="T57" s="199"/>
      <c r="U57" s="150"/>
      <c r="V57" s="151"/>
      <c r="W57" s="151"/>
      <c r="X57" s="152"/>
      <c r="Y57" s="153"/>
      <c r="Z57" s="153"/>
      <c r="AA57" s="154"/>
      <c r="AB57" s="155">
        <f>S57*$AB$3</f>
        <v>8538.3157199999969</v>
      </c>
      <c r="AC57" s="156">
        <f>S57*$AC$3</f>
        <v>1913.7604199999996</v>
      </c>
      <c r="AD57" s="156">
        <f>S57*$AD$3</f>
        <v>1291.7882834999996</v>
      </c>
      <c r="AE57" s="156">
        <f>S57*$AE$3</f>
        <v>588.84935999999993</v>
      </c>
      <c r="AF57" s="156">
        <f>S57*$AF$3</f>
        <v>294.42467999999997</v>
      </c>
      <c r="AG57" s="156">
        <f>S57*$AG$3</f>
        <v>294.42467999999997</v>
      </c>
      <c r="AH57" s="156">
        <f>S57*$AH$3</f>
        <v>147.21233999999998</v>
      </c>
      <c r="AI57" s="156">
        <f>S57*$AI$3</f>
        <v>294.42467999999997</v>
      </c>
      <c r="AJ57" s="156">
        <f>S57*$AJ$3</f>
        <v>294.42467999999997</v>
      </c>
      <c r="AK57" s="156">
        <f>S57*$AK$3</f>
        <v>1030.4863799999998</v>
      </c>
      <c r="AL57" s="157">
        <f t="shared" si="18"/>
        <v>4530.4597634999991</v>
      </c>
      <c r="AM57" s="158">
        <f t="shared" si="19"/>
        <v>2200</v>
      </c>
      <c r="AN57" s="159">
        <v>0.2</v>
      </c>
      <c r="AO57" s="160">
        <f t="shared" si="20"/>
        <v>120375968.22749911</v>
      </c>
      <c r="AP57" s="161">
        <f t="shared" si="21"/>
        <v>33437.771627104601</v>
      </c>
      <c r="AQ57" s="162">
        <f t="shared" si="22"/>
        <v>6687.5543254209206</v>
      </c>
      <c r="AR57" s="580">
        <f t="shared" si="23"/>
        <v>0.95427430442650119</v>
      </c>
      <c r="AS57" s="582">
        <f t="shared" si="24"/>
        <v>0.95427430442650119</v>
      </c>
      <c r="AT57" s="165"/>
      <c r="AU57" s="166"/>
      <c r="AV57" s="167"/>
      <c r="AW57" s="146"/>
      <c r="AX57" s="168"/>
    </row>
    <row r="58" spans="1:50" s="139" customFormat="1" ht="11.25" x14ac:dyDescent="0.25">
      <c r="A58" s="140">
        <v>21</v>
      </c>
      <c r="B58" s="170" t="s">
        <v>108</v>
      </c>
      <c r="C58" s="142"/>
      <c r="D58" s="143"/>
      <c r="E58" s="143"/>
      <c r="F58" s="143"/>
      <c r="G58" s="143"/>
      <c r="H58" s="143"/>
      <c r="I58" s="143"/>
      <c r="J58" s="143"/>
      <c r="K58" s="143"/>
      <c r="L58" s="143"/>
      <c r="M58" s="222">
        <v>223480</v>
      </c>
      <c r="N58" s="143"/>
      <c r="O58" s="145"/>
      <c r="P58" s="223">
        <f t="shared" si="14"/>
        <v>223480</v>
      </c>
      <c r="Q58" s="147">
        <f t="shared" si="25"/>
        <v>24582.799999999999</v>
      </c>
      <c r="R58" s="147">
        <f t="shared" si="16"/>
        <v>67.350136986301365</v>
      </c>
      <c r="S58" s="148">
        <f t="shared" si="26"/>
        <v>14749.679999999998</v>
      </c>
      <c r="T58" s="199"/>
      <c r="U58" s="150"/>
      <c r="V58" s="151"/>
      <c r="W58" s="151"/>
      <c r="X58" s="152"/>
      <c r="Y58" s="153"/>
      <c r="Z58" s="153"/>
      <c r="AA58" s="154"/>
      <c r="AB58" s="155">
        <f>S58*$AB$3</f>
        <v>8554.8143999999993</v>
      </c>
      <c r="AC58" s="156">
        <f>S58*$AC$3</f>
        <v>1917.4583999999998</v>
      </c>
      <c r="AD58" s="156">
        <f>S58*$AD$3</f>
        <v>1294.2844199999997</v>
      </c>
      <c r="AE58" s="156">
        <f>S58*$AE$3</f>
        <v>589.98719999999992</v>
      </c>
      <c r="AF58" s="156">
        <f>S58*$AF$3</f>
        <v>294.99359999999996</v>
      </c>
      <c r="AG58" s="156">
        <f>S58*$AG$3</f>
        <v>294.99359999999996</v>
      </c>
      <c r="AH58" s="156">
        <f>S58*$AH$3</f>
        <v>147.49679999999998</v>
      </c>
      <c r="AI58" s="156">
        <f>S58*$AI$3</f>
        <v>294.99359999999996</v>
      </c>
      <c r="AJ58" s="156">
        <f>S58*$AJ$3</f>
        <v>294.99359999999996</v>
      </c>
      <c r="AK58" s="156">
        <f>S58*$AK$3</f>
        <v>1032.4775999999999</v>
      </c>
      <c r="AL58" s="157">
        <f t="shared" si="18"/>
        <v>4539.2140199999994</v>
      </c>
      <c r="AM58" s="158">
        <f t="shared" si="19"/>
        <v>2200</v>
      </c>
      <c r="AN58" s="159">
        <v>0.2</v>
      </c>
      <c r="AO58" s="160">
        <f t="shared" si="20"/>
        <v>120608572.01548319</v>
      </c>
      <c r="AP58" s="161">
        <f t="shared" si="21"/>
        <v>33502.383795602487</v>
      </c>
      <c r="AQ58" s="162">
        <f t="shared" si="22"/>
        <v>6700.4767591204982</v>
      </c>
      <c r="AR58" s="580">
        <f t="shared" si="23"/>
        <v>0.95611825900692038</v>
      </c>
      <c r="AS58" s="582">
        <f t="shared" si="24"/>
        <v>0.95611825900692038</v>
      </c>
      <c r="AT58" s="165"/>
      <c r="AU58" s="166"/>
      <c r="AV58" s="167"/>
      <c r="AW58" s="146"/>
      <c r="AX58" s="168"/>
    </row>
    <row r="59" spans="1:50" s="139" customFormat="1" ht="11.25" x14ac:dyDescent="0.25">
      <c r="A59" s="140">
        <v>22</v>
      </c>
      <c r="B59" s="170" t="s">
        <v>109</v>
      </c>
      <c r="C59" s="142"/>
      <c r="D59" s="143"/>
      <c r="E59" s="143"/>
      <c r="F59" s="143"/>
      <c r="G59" s="143"/>
      <c r="H59" s="143"/>
      <c r="I59" s="143"/>
      <c r="J59" s="143"/>
      <c r="K59" s="143"/>
      <c r="L59" s="143"/>
      <c r="M59" s="222">
        <v>277549</v>
      </c>
      <c r="N59" s="143"/>
      <c r="O59" s="145"/>
      <c r="P59" s="223">
        <f t="shared" si="14"/>
        <v>277549</v>
      </c>
      <c r="Q59" s="147">
        <f t="shared" si="25"/>
        <v>30530.39</v>
      </c>
      <c r="R59" s="147">
        <f t="shared" si="16"/>
        <v>83.644904109589035</v>
      </c>
      <c r="S59" s="148">
        <f t="shared" si="26"/>
        <v>18318.234</v>
      </c>
      <c r="T59" s="199"/>
      <c r="U59" s="150"/>
      <c r="V59" s="151"/>
      <c r="W59" s="151"/>
      <c r="X59" s="152"/>
      <c r="Y59" s="153"/>
      <c r="Z59" s="153"/>
      <c r="AA59" s="154"/>
      <c r="AB59" s="155">
        <f>S59*$AB$3</f>
        <v>10624.575719999999</v>
      </c>
      <c r="AC59" s="156">
        <f>S59*$AC$3</f>
        <v>2381.3704200000002</v>
      </c>
      <c r="AD59" s="156">
        <f>S59*$AD$3</f>
        <v>1607.4250334999999</v>
      </c>
      <c r="AE59" s="156">
        <f>S59*$AE$3</f>
        <v>732.72936000000004</v>
      </c>
      <c r="AF59" s="156">
        <f>S59*$AF$3</f>
        <v>366.36468000000002</v>
      </c>
      <c r="AG59" s="156">
        <f>S59*$AG$3</f>
        <v>366.36468000000002</v>
      </c>
      <c r="AH59" s="156">
        <f>S59*$AH$3</f>
        <v>183.18234000000001</v>
      </c>
      <c r="AI59" s="156">
        <f>S59*$AI$3</f>
        <v>366.36468000000002</v>
      </c>
      <c r="AJ59" s="156">
        <f>S59*$AJ$3</f>
        <v>366.36468000000002</v>
      </c>
      <c r="AK59" s="156">
        <f>S59*$AK$3</f>
        <v>1282.2763800000002</v>
      </c>
      <c r="AL59" s="157">
        <f t="shared" si="18"/>
        <v>5637.4365134999998</v>
      </c>
      <c r="AM59" s="158">
        <f t="shared" si="19"/>
        <v>2200</v>
      </c>
      <c r="AN59" s="159">
        <v>0.2</v>
      </c>
      <c r="AO59" s="160">
        <f t="shared" si="20"/>
        <v>149788744.20227912</v>
      </c>
      <c r="AP59" s="161">
        <f t="shared" si="21"/>
        <v>41607.987829271849</v>
      </c>
      <c r="AQ59" s="162">
        <f t="shared" si="22"/>
        <v>8321.5975658543703</v>
      </c>
      <c r="AR59" s="580">
        <f t="shared" si="23"/>
        <v>1.1874425750362971</v>
      </c>
      <c r="AS59" s="582">
        <f t="shared" si="24"/>
        <v>1.1874425750362971</v>
      </c>
      <c r="AT59" s="165"/>
      <c r="AU59" s="166"/>
      <c r="AV59" s="167"/>
      <c r="AW59" s="146"/>
      <c r="AX59" s="168"/>
    </row>
    <row r="60" spans="1:50" s="139" customFormat="1" ht="11.25" x14ac:dyDescent="0.25">
      <c r="A60" s="140">
        <v>23</v>
      </c>
      <c r="B60" s="170" t="s">
        <v>110</v>
      </c>
      <c r="C60" s="142"/>
      <c r="D60" s="143"/>
      <c r="E60" s="143"/>
      <c r="F60" s="143"/>
      <c r="G60" s="143"/>
      <c r="H60" s="143"/>
      <c r="I60" s="143"/>
      <c r="J60" s="143"/>
      <c r="K60" s="143"/>
      <c r="L60" s="143"/>
      <c r="M60" s="222">
        <v>331660</v>
      </c>
      <c r="N60" s="143"/>
      <c r="O60" s="145"/>
      <c r="P60" s="223">
        <f t="shared" si="14"/>
        <v>331660</v>
      </c>
      <c r="Q60" s="147">
        <f t="shared" si="25"/>
        <v>36482.6</v>
      </c>
      <c r="R60" s="147">
        <f t="shared" si="16"/>
        <v>99.952328767123291</v>
      </c>
      <c r="S60" s="148">
        <f t="shared" si="26"/>
        <v>21889.559999999998</v>
      </c>
      <c r="T60" s="199"/>
      <c r="U60" s="150"/>
      <c r="V60" s="151"/>
      <c r="W60" s="151"/>
      <c r="X60" s="152"/>
      <c r="Y60" s="153"/>
      <c r="Z60" s="153"/>
      <c r="AA60" s="154"/>
      <c r="AB60" s="155">
        <f>S60*$AB$3</f>
        <v>12695.944799999997</v>
      </c>
      <c r="AC60" s="156">
        <f>S60*$AC$3</f>
        <v>2845.6427999999996</v>
      </c>
      <c r="AD60" s="156">
        <f>S60*$AD$3</f>
        <v>1920.8088899999998</v>
      </c>
      <c r="AE60" s="156">
        <f>S60*$AE$3</f>
        <v>875.58239999999989</v>
      </c>
      <c r="AF60" s="156">
        <f>S60*$AF$3</f>
        <v>437.79119999999995</v>
      </c>
      <c r="AG60" s="156">
        <f>S60*$AG$3</f>
        <v>437.79119999999995</v>
      </c>
      <c r="AH60" s="156">
        <f>S60*$AH$3</f>
        <v>218.89559999999997</v>
      </c>
      <c r="AI60" s="156">
        <f>S60*$AI$3</f>
        <v>437.79119999999995</v>
      </c>
      <c r="AJ60" s="156">
        <f>S60*$AJ$3</f>
        <v>437.79119999999995</v>
      </c>
      <c r="AK60" s="156">
        <f>S60*$AK$3</f>
        <v>1532.2692</v>
      </c>
      <c r="AL60" s="157">
        <f t="shared" si="18"/>
        <v>6736.5120899999993</v>
      </c>
      <c r="AM60" s="158">
        <f t="shared" si="19"/>
        <v>2200</v>
      </c>
      <c r="AN60" s="159">
        <v>0.2</v>
      </c>
      <c r="AO60" s="160">
        <f t="shared" si="20"/>
        <v>178991583.11551437</v>
      </c>
      <c r="AP60" s="161">
        <f t="shared" si="21"/>
        <v>49719.888176344728</v>
      </c>
      <c r="AQ60" s="162">
        <f t="shared" si="22"/>
        <v>9943.977635268946</v>
      </c>
      <c r="AR60" s="580">
        <f t="shared" si="23"/>
        <v>1.4189465803751349</v>
      </c>
      <c r="AS60" s="582">
        <f t="shared" si="24"/>
        <v>1.4189465803751349</v>
      </c>
      <c r="AT60" s="165"/>
      <c r="AU60" s="166"/>
      <c r="AV60" s="167"/>
      <c r="AW60" s="146"/>
      <c r="AX60" s="168"/>
    </row>
    <row r="61" spans="1:50" s="139" customFormat="1" ht="11.25" x14ac:dyDescent="0.25">
      <c r="A61" s="140">
        <v>24</v>
      </c>
      <c r="B61" s="170" t="s">
        <v>111</v>
      </c>
      <c r="C61" s="142"/>
      <c r="D61" s="143"/>
      <c r="E61" s="143"/>
      <c r="F61" s="143"/>
      <c r="G61" s="143"/>
      <c r="H61" s="143"/>
      <c r="I61" s="143"/>
      <c r="J61" s="143"/>
      <c r="K61" s="143"/>
      <c r="L61" s="143"/>
      <c r="M61" s="222">
        <v>127530</v>
      </c>
      <c r="N61" s="143"/>
      <c r="O61" s="145"/>
      <c r="P61" s="223">
        <f t="shared" si="14"/>
        <v>127530</v>
      </c>
      <c r="Q61" s="147">
        <f t="shared" si="25"/>
        <v>14028.3</v>
      </c>
      <c r="R61" s="147">
        <f t="shared" si="16"/>
        <v>38.433698630136988</v>
      </c>
      <c r="S61" s="148">
        <f t="shared" si="26"/>
        <v>8416.98</v>
      </c>
      <c r="T61" s="199"/>
      <c r="U61" s="150"/>
      <c r="V61" s="151"/>
      <c r="W61" s="151"/>
      <c r="X61" s="152"/>
      <c r="Y61" s="153"/>
      <c r="Z61" s="153"/>
      <c r="AA61" s="154"/>
      <c r="AB61" s="155">
        <f>S61*$AB$3</f>
        <v>4881.8483999999999</v>
      </c>
      <c r="AC61" s="156">
        <f>S61*$AC$3</f>
        <v>1094.2074</v>
      </c>
      <c r="AD61" s="156">
        <f>S61*$AD$3</f>
        <v>738.58999499999993</v>
      </c>
      <c r="AE61" s="156">
        <f>S61*$AE$3</f>
        <v>336.67919999999998</v>
      </c>
      <c r="AF61" s="156">
        <f>S61*$AF$3</f>
        <v>168.33959999999999</v>
      </c>
      <c r="AG61" s="156">
        <f>S61*$AG$3</f>
        <v>168.33959999999999</v>
      </c>
      <c r="AH61" s="156">
        <f>S61*$AH$3</f>
        <v>84.169799999999995</v>
      </c>
      <c r="AI61" s="156">
        <f>S61*$AI$3</f>
        <v>168.33959999999999</v>
      </c>
      <c r="AJ61" s="156">
        <f>S61*$AJ$3</f>
        <v>168.33959999999999</v>
      </c>
      <c r="AK61" s="156">
        <f>S61*$AK$3</f>
        <v>589.18860000000006</v>
      </c>
      <c r="AL61" s="157">
        <f t="shared" si="18"/>
        <v>2590.3255949999998</v>
      </c>
      <c r="AM61" s="158">
        <f t="shared" si="19"/>
        <v>2200</v>
      </c>
      <c r="AN61" s="159">
        <v>0.2</v>
      </c>
      <c r="AO61" s="160">
        <f t="shared" si="20"/>
        <v>68825895.780985191</v>
      </c>
      <c r="AP61" s="161">
        <f t="shared" si="21"/>
        <v>19118.305913071348</v>
      </c>
      <c r="AQ61" s="162">
        <f t="shared" si="22"/>
        <v>3823.6611826142698</v>
      </c>
      <c r="AR61" s="580">
        <f t="shared" si="23"/>
        <v>0.54561375322692207</v>
      </c>
      <c r="AS61" s="582">
        <f t="shared" si="24"/>
        <v>0.54561375322692207</v>
      </c>
      <c r="AT61" s="165"/>
      <c r="AU61" s="166"/>
      <c r="AV61" s="167"/>
      <c r="AW61" s="146"/>
      <c r="AX61" s="168"/>
    </row>
    <row r="62" spans="1:50" s="139" customFormat="1" ht="11.25" x14ac:dyDescent="0.25">
      <c r="A62" s="140">
        <v>25</v>
      </c>
      <c r="B62" s="170" t="s">
        <v>112</v>
      </c>
      <c r="C62" s="142"/>
      <c r="D62" s="143"/>
      <c r="E62" s="143"/>
      <c r="F62" s="143"/>
      <c r="G62" s="143"/>
      <c r="H62" s="143"/>
      <c r="I62" s="143"/>
      <c r="J62" s="143"/>
      <c r="K62" s="143"/>
      <c r="L62" s="143"/>
      <c r="M62" s="222">
        <v>81461</v>
      </c>
      <c r="N62" s="143"/>
      <c r="O62" s="145"/>
      <c r="P62" s="223">
        <f t="shared" si="14"/>
        <v>81461</v>
      </c>
      <c r="Q62" s="147">
        <f t="shared" si="25"/>
        <v>8960.7100000000009</v>
      </c>
      <c r="R62" s="147">
        <f t="shared" si="16"/>
        <v>24.549890410958906</v>
      </c>
      <c r="S62" s="148">
        <f t="shared" si="26"/>
        <v>5376.4260000000004</v>
      </c>
      <c r="T62" s="199"/>
      <c r="U62" s="150"/>
      <c r="V62" s="151"/>
      <c r="W62" s="151"/>
      <c r="X62" s="152"/>
      <c r="Y62" s="153"/>
      <c r="Z62" s="153"/>
      <c r="AA62" s="154"/>
      <c r="AB62" s="155">
        <f>S62*$AB$3</f>
        <v>3118.32708</v>
      </c>
      <c r="AC62" s="156">
        <f>S62*$AC$3</f>
        <v>698.93538000000012</v>
      </c>
      <c r="AD62" s="156">
        <f>S62*$AD$3</f>
        <v>471.78138150000001</v>
      </c>
      <c r="AE62" s="156">
        <f>S62*$AE$3</f>
        <v>215.05704000000003</v>
      </c>
      <c r="AF62" s="156">
        <f>S62*$AF$3</f>
        <v>107.52852000000001</v>
      </c>
      <c r="AG62" s="156">
        <f>S62*$AG$3</f>
        <v>107.52852000000001</v>
      </c>
      <c r="AH62" s="156">
        <f>S62*$AH$3</f>
        <v>53.764260000000007</v>
      </c>
      <c r="AI62" s="156">
        <f>S62*$AI$3</f>
        <v>107.52852000000001</v>
      </c>
      <c r="AJ62" s="156">
        <f>S62*$AJ$3</f>
        <v>107.52852000000001</v>
      </c>
      <c r="AK62" s="156">
        <f>S62*$AK$3</f>
        <v>376.34982000000008</v>
      </c>
      <c r="AL62" s="157">
        <f t="shared" si="18"/>
        <v>1654.5951015000001</v>
      </c>
      <c r="AM62" s="158">
        <f t="shared" si="19"/>
        <v>2200</v>
      </c>
      <c r="AN62" s="159">
        <v>0.2</v>
      </c>
      <c r="AO62" s="160">
        <f t="shared" si="20"/>
        <v>43963195.296909235</v>
      </c>
      <c r="AP62" s="161">
        <f t="shared" si="21"/>
        <v>12211.999670545794</v>
      </c>
      <c r="AQ62" s="162">
        <f t="shared" si="22"/>
        <v>2442.3999341091589</v>
      </c>
      <c r="AR62" s="580">
        <f t="shared" si="23"/>
        <v>0.34851597233292791</v>
      </c>
      <c r="AS62" s="582">
        <f t="shared" si="24"/>
        <v>0.34851597233292791</v>
      </c>
      <c r="AT62" s="165"/>
      <c r="AU62" s="166"/>
      <c r="AV62" s="167"/>
      <c r="AW62" s="146"/>
      <c r="AX62" s="168"/>
    </row>
    <row r="63" spans="1:50" s="139" customFormat="1" ht="11.25" x14ac:dyDescent="0.25">
      <c r="A63" s="140">
        <v>26</v>
      </c>
      <c r="B63" s="170" t="s">
        <v>113</v>
      </c>
      <c r="C63" s="142"/>
      <c r="D63" s="143"/>
      <c r="E63" s="143"/>
      <c r="F63" s="143"/>
      <c r="G63" s="143"/>
      <c r="H63" s="143"/>
      <c r="I63" s="143"/>
      <c r="J63" s="143"/>
      <c r="K63" s="143"/>
      <c r="L63" s="143"/>
      <c r="M63" s="222">
        <v>84444</v>
      </c>
      <c r="N63" s="143"/>
      <c r="O63" s="145"/>
      <c r="P63" s="223">
        <f t="shared" si="14"/>
        <v>84444</v>
      </c>
      <c r="Q63" s="147">
        <f t="shared" si="25"/>
        <v>9288.84</v>
      </c>
      <c r="R63" s="147">
        <f t="shared" si="16"/>
        <v>25.448876712328769</v>
      </c>
      <c r="S63" s="148">
        <f t="shared" si="26"/>
        <v>5573.3040000000001</v>
      </c>
      <c r="T63" s="199"/>
      <c r="U63" s="150"/>
      <c r="V63" s="151"/>
      <c r="W63" s="151"/>
      <c r="X63" s="152"/>
      <c r="Y63" s="153"/>
      <c r="Z63" s="153"/>
      <c r="AA63" s="154"/>
      <c r="AB63" s="155">
        <f>S63*$AB$3</f>
        <v>3232.5163199999997</v>
      </c>
      <c r="AC63" s="156">
        <f>S63*$AC$3</f>
        <v>724.52952000000005</v>
      </c>
      <c r="AD63" s="156">
        <f>S63*$AD$3</f>
        <v>489.05742599999996</v>
      </c>
      <c r="AE63" s="156">
        <f>S63*$AE$3</f>
        <v>222.93216000000001</v>
      </c>
      <c r="AF63" s="156">
        <f>S63*$AF$3</f>
        <v>111.46608000000001</v>
      </c>
      <c r="AG63" s="156">
        <f>S63*$AG$3</f>
        <v>111.46608000000001</v>
      </c>
      <c r="AH63" s="156">
        <f>S63*$AH$3</f>
        <v>55.733040000000003</v>
      </c>
      <c r="AI63" s="156">
        <f>S63*$AI$3</f>
        <v>111.46608000000001</v>
      </c>
      <c r="AJ63" s="156">
        <f>S63*$AJ$3</f>
        <v>111.46608000000001</v>
      </c>
      <c r="AK63" s="156">
        <f>S63*$AK$3</f>
        <v>390.13128000000006</v>
      </c>
      <c r="AL63" s="157">
        <f t="shared" si="18"/>
        <v>1715.1843059999999</v>
      </c>
      <c r="AM63" s="158">
        <f t="shared" si="19"/>
        <v>2200</v>
      </c>
      <c r="AN63" s="159">
        <v>0.2</v>
      </c>
      <c r="AO63" s="160">
        <f t="shared" si="20"/>
        <v>45573072.558060959</v>
      </c>
      <c r="AP63" s="161">
        <f t="shared" si="21"/>
        <v>12659.187834418546</v>
      </c>
      <c r="AQ63" s="162">
        <f t="shared" si="22"/>
        <v>2531.8375668837093</v>
      </c>
      <c r="AR63" s="580">
        <f t="shared" si="23"/>
        <v>0.36127819162153385</v>
      </c>
      <c r="AS63" s="582">
        <f t="shared" si="24"/>
        <v>0.36127819162153385</v>
      </c>
      <c r="AT63" s="165"/>
      <c r="AU63" s="166"/>
      <c r="AV63" s="167"/>
      <c r="AW63" s="146"/>
      <c r="AX63" s="168"/>
    </row>
    <row r="64" spans="1:50" s="139" customFormat="1" ht="11.25" x14ac:dyDescent="0.25">
      <c r="A64" s="140">
        <v>27</v>
      </c>
      <c r="B64" s="170" t="s">
        <v>114</v>
      </c>
      <c r="C64" s="142"/>
      <c r="D64" s="143"/>
      <c r="E64" s="143"/>
      <c r="F64" s="143"/>
      <c r="G64" s="143"/>
      <c r="H64" s="143"/>
      <c r="I64" s="143"/>
      <c r="J64" s="143"/>
      <c r="K64" s="143"/>
      <c r="L64" s="143"/>
      <c r="M64" s="222">
        <v>154426</v>
      </c>
      <c r="N64" s="143"/>
      <c r="O64" s="145"/>
      <c r="P64" s="223">
        <f t="shared" si="14"/>
        <v>154426</v>
      </c>
      <c r="Q64" s="147">
        <f t="shared" si="25"/>
        <v>16986.86</v>
      </c>
      <c r="R64" s="147">
        <f t="shared" si="16"/>
        <v>46.539342465753428</v>
      </c>
      <c r="S64" s="148">
        <f t="shared" si="26"/>
        <v>10192.116</v>
      </c>
      <c r="T64" s="199"/>
      <c r="U64" s="150"/>
      <c r="V64" s="151"/>
      <c r="W64" s="151"/>
      <c r="X64" s="152"/>
      <c r="Y64" s="153"/>
      <c r="Z64" s="153"/>
      <c r="AA64" s="154"/>
      <c r="AB64" s="155">
        <f>S64*$AB$3</f>
        <v>5911.4272799999999</v>
      </c>
      <c r="AC64" s="156">
        <f>S64*$AC$3</f>
        <v>1324.9750799999999</v>
      </c>
      <c r="AD64" s="156">
        <f>S64*$AD$3</f>
        <v>894.35817899999995</v>
      </c>
      <c r="AE64" s="156">
        <f>S64*$AE$3</f>
        <v>407.68464</v>
      </c>
      <c r="AF64" s="156">
        <f>S64*$AF$3</f>
        <v>203.84232</v>
      </c>
      <c r="AG64" s="156">
        <f>S64*$AG$3</f>
        <v>203.84232</v>
      </c>
      <c r="AH64" s="156">
        <f>S64*$AH$3</f>
        <v>101.92116</v>
      </c>
      <c r="AI64" s="156">
        <f>S64*$AI$3</f>
        <v>203.84232</v>
      </c>
      <c r="AJ64" s="156">
        <f>S64*$AJ$3</f>
        <v>203.84232</v>
      </c>
      <c r="AK64" s="156">
        <f>S64*$AK$3</f>
        <v>713.44812000000002</v>
      </c>
      <c r="AL64" s="157">
        <f t="shared" si="18"/>
        <v>3136.6236990000002</v>
      </c>
      <c r="AM64" s="158">
        <f t="shared" si="19"/>
        <v>2200</v>
      </c>
      <c r="AN64" s="159">
        <v>0.2</v>
      </c>
      <c r="AO64" s="160">
        <f t="shared" si="20"/>
        <v>83341235.645529836</v>
      </c>
      <c r="AP64" s="161">
        <f t="shared" si="21"/>
        <v>23150.345086896858</v>
      </c>
      <c r="AQ64" s="162">
        <f t="shared" si="22"/>
        <v>4630.0690173793719</v>
      </c>
      <c r="AR64" s="580">
        <f t="shared" si="23"/>
        <v>0.66068336435207931</v>
      </c>
      <c r="AS64" s="582">
        <f t="shared" si="24"/>
        <v>0.66068336435207931</v>
      </c>
      <c r="AT64" s="165"/>
      <c r="AU64" s="166"/>
      <c r="AV64" s="167"/>
      <c r="AW64" s="146"/>
      <c r="AX64" s="168"/>
    </row>
    <row r="65" spans="1:50" s="139" customFormat="1" ht="11.25" x14ac:dyDescent="0.25">
      <c r="A65" s="140">
        <v>28</v>
      </c>
      <c r="B65" s="234" t="s">
        <v>115</v>
      </c>
      <c r="C65" s="235"/>
      <c r="D65" s="236"/>
      <c r="E65" s="236"/>
      <c r="F65" s="236"/>
      <c r="G65" s="236"/>
      <c r="H65" s="236"/>
      <c r="I65" s="236"/>
      <c r="J65" s="236"/>
      <c r="K65" s="236"/>
      <c r="L65" s="236"/>
      <c r="M65" s="236">
        <v>234885</v>
      </c>
      <c r="N65" s="236"/>
      <c r="O65" s="237"/>
      <c r="P65" s="223">
        <f t="shared" si="14"/>
        <v>234885</v>
      </c>
      <c r="Q65" s="147">
        <f t="shared" si="25"/>
        <v>25837.35</v>
      </c>
      <c r="R65" s="147">
        <f t="shared" si="16"/>
        <v>70.787260273972592</v>
      </c>
      <c r="S65" s="148">
        <f t="shared" si="26"/>
        <v>15502.409999999996</v>
      </c>
      <c r="T65" s="199"/>
      <c r="U65" s="150"/>
      <c r="V65" s="151"/>
      <c r="W65" s="151"/>
      <c r="X65" s="152"/>
      <c r="Y65" s="153"/>
      <c r="Z65" s="153"/>
      <c r="AA65" s="154"/>
      <c r="AB65" s="155">
        <f>S65*$AB$3</f>
        <v>8991.397799999997</v>
      </c>
      <c r="AC65" s="156">
        <f>S65*$AC$3</f>
        <v>2015.3132999999996</v>
      </c>
      <c r="AD65" s="156">
        <f>S65*$AD$3</f>
        <v>1360.3364774999995</v>
      </c>
      <c r="AE65" s="156">
        <f>S65*$AE$3</f>
        <v>620.0963999999999</v>
      </c>
      <c r="AF65" s="156">
        <f>S65*$AF$3</f>
        <v>310.04819999999995</v>
      </c>
      <c r="AG65" s="156">
        <f>S65*$AG$3</f>
        <v>310.04819999999995</v>
      </c>
      <c r="AH65" s="156">
        <f>S65*$AH$3</f>
        <v>155.02409999999998</v>
      </c>
      <c r="AI65" s="156">
        <f>S65*$AI$3</f>
        <v>310.04819999999995</v>
      </c>
      <c r="AJ65" s="156">
        <f>S65*$AJ$3</f>
        <v>310.04819999999995</v>
      </c>
      <c r="AK65" s="156">
        <f>S65*$AK$3</f>
        <v>1085.1686999999999</v>
      </c>
      <c r="AL65" s="157">
        <f t="shared" si="18"/>
        <v>4770.8666774999983</v>
      </c>
      <c r="AM65" s="158">
        <f t="shared" si="19"/>
        <v>2200</v>
      </c>
      <c r="AN65" s="159">
        <v>0.2</v>
      </c>
      <c r="AO65" s="160">
        <f t="shared" si="20"/>
        <v>126763667.61167336</v>
      </c>
      <c r="AP65" s="161">
        <f t="shared" si="21"/>
        <v>35212.132709101876</v>
      </c>
      <c r="AQ65" s="162">
        <f t="shared" si="22"/>
        <v>7042.4265418203759</v>
      </c>
      <c r="AR65" s="580">
        <f t="shared" si="23"/>
        <v>1.0049124631593003</v>
      </c>
      <c r="AS65" s="582">
        <f t="shared" si="24"/>
        <v>1.0049124631593003</v>
      </c>
      <c r="AT65" s="165"/>
      <c r="AU65" s="166"/>
      <c r="AV65" s="167"/>
      <c r="AW65" s="146"/>
      <c r="AX65" s="168"/>
    </row>
    <row r="66" spans="1:50" s="139" customFormat="1" ht="11.25" x14ac:dyDescent="0.25">
      <c r="A66" s="140">
        <v>29</v>
      </c>
      <c r="B66" s="221" t="s">
        <v>116</v>
      </c>
      <c r="C66" s="235"/>
      <c r="D66" s="236"/>
      <c r="E66" s="236"/>
      <c r="F66" s="236"/>
      <c r="G66" s="236"/>
      <c r="H66" s="236"/>
      <c r="I66" s="236"/>
      <c r="J66" s="236"/>
      <c r="K66" s="236"/>
      <c r="L66" s="236"/>
      <c r="M66" s="236">
        <v>145180</v>
      </c>
      <c r="N66" s="236"/>
      <c r="O66" s="237"/>
      <c r="P66" s="223">
        <f t="shared" si="14"/>
        <v>145180</v>
      </c>
      <c r="Q66" s="147">
        <f t="shared" si="25"/>
        <v>15969.8</v>
      </c>
      <c r="R66" s="147">
        <f t="shared" si="16"/>
        <v>43.752876712328764</v>
      </c>
      <c r="S66" s="148">
        <f t="shared" si="26"/>
        <v>9581.8799999999992</v>
      </c>
      <c r="T66" s="199"/>
      <c r="U66" s="150"/>
      <c r="V66" s="151"/>
      <c r="W66" s="151"/>
      <c r="X66" s="152"/>
      <c r="Y66" s="153"/>
      <c r="Z66" s="153"/>
      <c r="AA66" s="154"/>
      <c r="AB66" s="155">
        <f>S66*$AB$3</f>
        <v>5557.4903999999988</v>
      </c>
      <c r="AC66" s="156">
        <f>S66*$AC$3</f>
        <v>1245.6443999999999</v>
      </c>
      <c r="AD66" s="156">
        <f>S66*$AD$3</f>
        <v>840.80996999999991</v>
      </c>
      <c r="AE66" s="156">
        <f>S66*$AE$3</f>
        <v>383.27519999999998</v>
      </c>
      <c r="AF66" s="156">
        <f>S66*$AF$3</f>
        <v>191.63759999999999</v>
      </c>
      <c r="AG66" s="156">
        <f>S66*$AG$3</f>
        <v>191.63759999999999</v>
      </c>
      <c r="AH66" s="156">
        <f>S66*$AH$3</f>
        <v>95.818799999999996</v>
      </c>
      <c r="AI66" s="156">
        <f>S66*$AI$3</f>
        <v>191.63759999999999</v>
      </c>
      <c r="AJ66" s="156">
        <f>S66*$AJ$3</f>
        <v>191.63759999999999</v>
      </c>
      <c r="AK66" s="156">
        <f>S66*$AK$3</f>
        <v>670.73159999999996</v>
      </c>
      <c r="AL66" s="157">
        <f t="shared" si="18"/>
        <v>2948.82357</v>
      </c>
      <c r="AM66" s="158">
        <f t="shared" si="19"/>
        <v>2200</v>
      </c>
      <c r="AN66" s="159">
        <v>0.2</v>
      </c>
      <c r="AO66" s="160">
        <f t="shared" si="20"/>
        <v>78351317.725111187</v>
      </c>
      <c r="AP66" s="161">
        <f t="shared" si="21"/>
        <v>21764.256664782391</v>
      </c>
      <c r="AQ66" s="162">
        <f t="shared" si="22"/>
        <v>4352.8513329564785</v>
      </c>
      <c r="AR66" s="580">
        <f t="shared" si="23"/>
        <v>0.62112604636936053</v>
      </c>
      <c r="AS66" s="582">
        <f t="shared" si="24"/>
        <v>0.62112604636936053</v>
      </c>
      <c r="AT66" s="165"/>
      <c r="AU66" s="166"/>
      <c r="AV66" s="167"/>
      <c r="AW66" s="146"/>
      <c r="AX66" s="168"/>
    </row>
    <row r="67" spans="1:50" s="139" customFormat="1" ht="11.25" x14ac:dyDescent="0.25">
      <c r="A67" s="140">
        <v>30</v>
      </c>
      <c r="B67" s="238" t="s">
        <v>117</v>
      </c>
      <c r="C67" s="235"/>
      <c r="D67" s="236"/>
      <c r="E67" s="236"/>
      <c r="F67" s="236"/>
      <c r="G67" s="236"/>
      <c r="H67" s="236"/>
      <c r="I67" s="236"/>
      <c r="J67" s="236"/>
      <c r="K67" s="236"/>
      <c r="L67" s="236"/>
      <c r="M67" s="236">
        <v>2109339</v>
      </c>
      <c r="N67" s="236"/>
      <c r="O67" s="237"/>
      <c r="P67" s="223">
        <f t="shared" si="14"/>
        <v>2109339</v>
      </c>
      <c r="Q67" s="147">
        <f>P67*$Q$5</f>
        <v>499913.34299999999</v>
      </c>
      <c r="R67" s="147">
        <f t="shared" si="16"/>
        <v>1369.6255972602739</v>
      </c>
      <c r="S67" s="148">
        <f>R67*$S$3*$S$5</f>
        <v>449922.00870000001</v>
      </c>
      <c r="T67" s="199"/>
      <c r="U67" s="150"/>
      <c r="V67" s="151"/>
      <c r="W67" s="151"/>
      <c r="X67" s="152"/>
      <c r="Y67" s="153"/>
      <c r="Z67" s="153"/>
      <c r="AA67" s="154"/>
      <c r="AB67" s="155">
        <f>S67*$AB$3</f>
        <v>260954.76504599999</v>
      </c>
      <c r="AC67" s="156">
        <f>S67*$AC$3</f>
        <v>58489.861131000005</v>
      </c>
      <c r="AD67" s="156">
        <f>S67*$AD$3</f>
        <v>39480.656263425</v>
      </c>
      <c r="AE67" s="156">
        <f>S67*$AE$3</f>
        <v>17996.880348000002</v>
      </c>
      <c r="AF67" s="156">
        <f>S67*$AF$3</f>
        <v>8998.4401740000012</v>
      </c>
      <c r="AG67" s="156">
        <f>S67*$AG$3</f>
        <v>8998.4401740000012</v>
      </c>
      <c r="AH67" s="156">
        <f>S67*$AH$3</f>
        <v>4499.2200870000006</v>
      </c>
      <c r="AI67" s="156">
        <f>S67*$AI$3</f>
        <v>8998.4401740000012</v>
      </c>
      <c r="AJ67" s="156">
        <f>S67*$AJ$3</f>
        <v>8998.4401740000012</v>
      </c>
      <c r="AK67" s="156">
        <f>S67*$AK$3</f>
        <v>31494.540609000003</v>
      </c>
      <c r="AL67" s="157">
        <f t="shared" si="18"/>
        <v>138463.498177425</v>
      </c>
      <c r="AM67" s="158">
        <f t="shared" si="19"/>
        <v>2200</v>
      </c>
      <c r="AN67" s="159">
        <v>0.2</v>
      </c>
      <c r="AO67" s="160">
        <f t="shared" si="20"/>
        <v>3679025645.8204389</v>
      </c>
      <c r="AP67" s="161">
        <f t="shared" si="21"/>
        <v>1021951.6500395807</v>
      </c>
      <c r="AQ67" s="162">
        <f t="shared" si="22"/>
        <v>204390.33000791614</v>
      </c>
      <c r="AR67" s="580">
        <f t="shared" si="23"/>
        <v>29.16528681619808</v>
      </c>
      <c r="AS67" s="435">
        <f t="shared" si="24"/>
        <v>29.16528681619808</v>
      </c>
      <c r="AT67" s="187"/>
      <c r="AU67" s="166"/>
      <c r="AV67" s="167"/>
      <c r="AW67" s="146"/>
      <c r="AX67" s="168"/>
    </row>
    <row r="68" spans="1:50" s="139" customFormat="1" ht="11.25" x14ac:dyDescent="0.25">
      <c r="A68" s="140">
        <v>31</v>
      </c>
      <c r="B68" s="221" t="s">
        <v>118</v>
      </c>
      <c r="C68" s="235"/>
      <c r="D68" s="236"/>
      <c r="E68" s="236"/>
      <c r="F68" s="236"/>
      <c r="G68" s="236"/>
      <c r="H68" s="236"/>
      <c r="I68" s="236"/>
      <c r="J68" s="236"/>
      <c r="K68" s="236"/>
      <c r="L68" s="236"/>
      <c r="M68" s="236">
        <v>246010</v>
      </c>
      <c r="N68" s="236"/>
      <c r="O68" s="237"/>
      <c r="P68" s="223">
        <f t="shared" si="14"/>
        <v>246010</v>
      </c>
      <c r="Q68" s="147">
        <f t="shared" si="25"/>
        <v>27061.1</v>
      </c>
      <c r="R68" s="147">
        <f t="shared" si="16"/>
        <v>74.14</v>
      </c>
      <c r="S68" s="148">
        <f>R68*$S$3*$S$8</f>
        <v>16236.659999999998</v>
      </c>
      <c r="T68" s="199"/>
      <c r="U68" s="150"/>
      <c r="V68" s="151"/>
      <c r="W68" s="151"/>
      <c r="X68" s="152"/>
      <c r="Y68" s="153"/>
      <c r="Z68" s="153"/>
      <c r="AA68" s="154"/>
      <c r="AB68" s="155">
        <f>S68*$AB$3</f>
        <v>9417.2627999999986</v>
      </c>
      <c r="AC68" s="156">
        <f>S68*$AC$3</f>
        <v>2110.7657999999997</v>
      </c>
      <c r="AD68" s="156">
        <f>S68*$AD$3</f>
        <v>1424.7669149999997</v>
      </c>
      <c r="AE68" s="156">
        <f>S68*$AE$3</f>
        <v>649.46639999999991</v>
      </c>
      <c r="AF68" s="156">
        <f>S68*$AF$3</f>
        <v>324.73319999999995</v>
      </c>
      <c r="AG68" s="156">
        <f>S68*$AG$3</f>
        <v>324.73319999999995</v>
      </c>
      <c r="AH68" s="156">
        <f>S68*$AH$3</f>
        <v>162.36659999999998</v>
      </c>
      <c r="AI68" s="156">
        <f>S68*$AI$3</f>
        <v>324.73319999999995</v>
      </c>
      <c r="AJ68" s="156">
        <f>S68*$AJ$3</f>
        <v>324.73319999999995</v>
      </c>
      <c r="AK68" s="156">
        <f>S68*$AK$3</f>
        <v>1136.5662</v>
      </c>
      <c r="AL68" s="157">
        <f t="shared" si="18"/>
        <v>4996.8321149999992</v>
      </c>
      <c r="AM68" s="158">
        <f t="shared" si="19"/>
        <v>2200</v>
      </c>
      <c r="AN68" s="159">
        <v>0.2</v>
      </c>
      <c r="AO68" s="160">
        <f t="shared" si="20"/>
        <v>132767651.69826837</v>
      </c>
      <c r="AP68" s="161">
        <f t="shared" si="21"/>
        <v>36879.906199911253</v>
      </c>
      <c r="AQ68" s="162">
        <f t="shared" si="22"/>
        <v>7375.9812399822513</v>
      </c>
      <c r="AR68" s="580">
        <f t="shared" si="23"/>
        <v>1.0525087385819423</v>
      </c>
      <c r="AS68" s="582">
        <f t="shared" si="24"/>
        <v>1.0525087385819423</v>
      </c>
      <c r="AT68" s="165"/>
      <c r="AU68" s="166"/>
      <c r="AV68" s="167"/>
      <c r="AW68" s="146"/>
      <c r="AX68" s="168"/>
    </row>
    <row r="69" spans="1:50" s="139" customFormat="1" ht="11.25" x14ac:dyDescent="0.25">
      <c r="A69" s="140">
        <v>32</v>
      </c>
      <c r="B69" s="239" t="s">
        <v>119</v>
      </c>
      <c r="C69" s="235"/>
      <c r="D69" s="236"/>
      <c r="E69" s="236"/>
      <c r="F69" s="236"/>
      <c r="G69" s="236"/>
      <c r="H69" s="236"/>
      <c r="I69" s="236"/>
      <c r="J69" s="236"/>
      <c r="K69" s="236"/>
      <c r="L69" s="236"/>
      <c r="M69" s="236">
        <v>191554</v>
      </c>
      <c r="N69" s="236"/>
      <c r="O69" s="237"/>
      <c r="P69" s="223">
        <f t="shared" si="14"/>
        <v>191554</v>
      </c>
      <c r="Q69" s="147">
        <f t="shared" si="25"/>
        <v>21070.94</v>
      </c>
      <c r="R69" s="147">
        <f t="shared" si="16"/>
        <v>57.728602739726021</v>
      </c>
      <c r="S69" s="148">
        <f>R69*$S$3*$S$8</f>
        <v>12642.563999999998</v>
      </c>
      <c r="T69" s="199"/>
      <c r="U69" s="150"/>
      <c r="V69" s="151"/>
      <c r="W69" s="151"/>
      <c r="X69" s="152"/>
      <c r="Y69" s="153"/>
      <c r="Z69" s="153"/>
      <c r="AA69" s="154"/>
      <c r="AB69" s="155">
        <f>S69*$AB$3</f>
        <v>7332.6871199999987</v>
      </c>
      <c r="AC69" s="156">
        <f>S69*$AC$3</f>
        <v>1643.5333199999998</v>
      </c>
      <c r="AD69" s="156">
        <f>S69*$AD$3</f>
        <v>1109.3849909999999</v>
      </c>
      <c r="AE69" s="156">
        <f>S69*$AE$3</f>
        <v>505.70255999999995</v>
      </c>
      <c r="AF69" s="156">
        <f>S69*$AF$3</f>
        <v>252.85127999999997</v>
      </c>
      <c r="AG69" s="156">
        <f>S69*$AG$3</f>
        <v>252.85127999999997</v>
      </c>
      <c r="AH69" s="156">
        <f>S69*$AH$3</f>
        <v>126.42563999999999</v>
      </c>
      <c r="AI69" s="156">
        <f>S69*$AI$3</f>
        <v>252.85127999999997</v>
      </c>
      <c r="AJ69" s="156">
        <f>S69*$AJ$3</f>
        <v>252.85127999999997</v>
      </c>
      <c r="AK69" s="156">
        <f>S69*$AK$3</f>
        <v>884.97947999999997</v>
      </c>
      <c r="AL69" s="157">
        <f t="shared" si="18"/>
        <v>3890.7490709999988</v>
      </c>
      <c r="AM69" s="158">
        <f t="shared" si="19"/>
        <v>2200</v>
      </c>
      <c r="AN69" s="159">
        <v>0.2</v>
      </c>
      <c r="AO69" s="160">
        <f t="shared" si="20"/>
        <v>103378621.81785333</v>
      </c>
      <c r="AP69" s="161">
        <f t="shared" si="21"/>
        <v>28716.286135595299</v>
      </c>
      <c r="AQ69" s="162">
        <f t="shared" si="22"/>
        <v>5743.2572271190602</v>
      </c>
      <c r="AR69" s="580">
        <f t="shared" si="23"/>
        <v>0.81952871391539106</v>
      </c>
      <c r="AS69" s="582">
        <f t="shared" si="24"/>
        <v>0.81952871391539106</v>
      </c>
      <c r="AT69" s="165"/>
      <c r="AU69" s="166"/>
      <c r="AV69" s="167"/>
      <c r="AW69" s="146"/>
      <c r="AX69" s="168"/>
    </row>
    <row r="70" spans="1:50" s="139" customFormat="1" ht="11.25" x14ac:dyDescent="0.25">
      <c r="A70" s="140">
        <v>33</v>
      </c>
      <c r="B70" s="239" t="s">
        <v>120</v>
      </c>
      <c r="C70" s="235"/>
      <c r="D70" s="236"/>
      <c r="E70" s="236"/>
      <c r="F70" s="236"/>
      <c r="G70" s="236"/>
      <c r="H70" s="236"/>
      <c r="I70" s="236"/>
      <c r="J70" s="236"/>
      <c r="K70" s="236"/>
      <c r="L70" s="236"/>
      <c r="M70" s="236">
        <v>125566</v>
      </c>
      <c r="N70" s="236"/>
      <c r="O70" s="237"/>
      <c r="P70" s="223">
        <f t="shared" si="14"/>
        <v>125566</v>
      </c>
      <c r="Q70" s="147">
        <f t="shared" si="25"/>
        <v>13812.26</v>
      </c>
      <c r="R70" s="147">
        <f t="shared" si="16"/>
        <v>37.841808219178084</v>
      </c>
      <c r="S70" s="148">
        <f>R70*$S$3*$S$8</f>
        <v>8287.3559999999998</v>
      </c>
      <c r="T70" s="199"/>
      <c r="U70" s="150"/>
      <c r="V70" s="151"/>
      <c r="W70" s="151"/>
      <c r="X70" s="152"/>
      <c r="Y70" s="153"/>
      <c r="Z70" s="153"/>
      <c r="AA70" s="154"/>
      <c r="AB70" s="155">
        <f>S70*$AB$3</f>
        <v>4806.6664799999999</v>
      </c>
      <c r="AC70" s="156">
        <f>S70*$AC$3</f>
        <v>1077.35628</v>
      </c>
      <c r="AD70" s="156">
        <f>S70*$AD$3</f>
        <v>727.21548899999993</v>
      </c>
      <c r="AE70" s="156">
        <f>S70*$AE$3</f>
        <v>331.49423999999999</v>
      </c>
      <c r="AF70" s="156">
        <f>S70*$AF$3</f>
        <v>165.74712</v>
      </c>
      <c r="AG70" s="156">
        <f>S70*$AG$3</f>
        <v>165.74712</v>
      </c>
      <c r="AH70" s="156">
        <f>S70*$AH$3</f>
        <v>82.873559999999998</v>
      </c>
      <c r="AI70" s="156">
        <f>S70*$AI$3</f>
        <v>165.74712</v>
      </c>
      <c r="AJ70" s="156">
        <f>S70*$AJ$3</f>
        <v>165.74712</v>
      </c>
      <c r="AK70" s="156">
        <f>S70*$AK$3</f>
        <v>580.11491999999998</v>
      </c>
      <c r="AL70" s="157">
        <f t="shared" si="18"/>
        <v>2550.4338090000001</v>
      </c>
      <c r="AM70" s="158">
        <f t="shared" si="19"/>
        <v>2200</v>
      </c>
      <c r="AN70" s="159">
        <v>0.2</v>
      </c>
      <c r="AO70" s="160">
        <f t="shared" si="20"/>
        <v>67765956.477967441</v>
      </c>
      <c r="AP70" s="161">
        <f t="shared" si="21"/>
        <v>18823.878305345545</v>
      </c>
      <c r="AQ70" s="162">
        <f t="shared" si="22"/>
        <v>3764.775661069109</v>
      </c>
      <c r="AR70" s="580">
        <f t="shared" si="23"/>
        <v>0.53721113885118565</v>
      </c>
      <c r="AS70" s="582">
        <f t="shared" si="24"/>
        <v>0.53721113885118565</v>
      </c>
      <c r="AT70" s="165"/>
      <c r="AU70" s="166"/>
      <c r="AV70" s="167"/>
      <c r="AW70" s="167"/>
      <c r="AX70" s="168"/>
    </row>
    <row r="71" spans="1:50" s="190" customFormat="1" ht="11.25" x14ac:dyDescent="0.25">
      <c r="A71" s="120"/>
      <c r="B71" s="121" t="s">
        <v>121</v>
      </c>
      <c r="C71" s="240">
        <f t="shared" ref="C71:T71" si="27">SUM(C38:C70)</f>
        <v>0</v>
      </c>
      <c r="D71" s="240">
        <f t="shared" si="27"/>
        <v>0</v>
      </c>
      <c r="E71" s="240">
        <f t="shared" si="27"/>
        <v>0</v>
      </c>
      <c r="F71" s="240">
        <f t="shared" si="27"/>
        <v>0</v>
      </c>
      <c r="G71" s="240">
        <f t="shared" si="27"/>
        <v>0</v>
      </c>
      <c r="H71" s="240">
        <f t="shared" si="27"/>
        <v>0</v>
      </c>
      <c r="I71" s="240">
        <f t="shared" si="27"/>
        <v>0</v>
      </c>
      <c r="J71" s="240">
        <f t="shared" si="27"/>
        <v>0</v>
      </c>
      <c r="K71" s="240">
        <f t="shared" si="27"/>
        <v>0</v>
      </c>
      <c r="L71" s="240">
        <f t="shared" si="27"/>
        <v>0</v>
      </c>
      <c r="M71" s="240">
        <f t="shared" si="27"/>
        <v>12884194</v>
      </c>
      <c r="N71" s="240">
        <f t="shared" si="27"/>
        <v>0</v>
      </c>
      <c r="O71" s="240">
        <f t="shared" si="27"/>
        <v>0</v>
      </c>
      <c r="P71" s="240">
        <f t="shared" si="27"/>
        <v>12884194</v>
      </c>
      <c r="Q71" s="240">
        <f t="shared" si="27"/>
        <v>2021991.2460000005</v>
      </c>
      <c r="R71" s="240">
        <f t="shared" si="27"/>
        <v>5539.7020438356167</v>
      </c>
      <c r="S71" s="240">
        <f t="shared" si="27"/>
        <v>1534836.8689999999</v>
      </c>
      <c r="T71" s="199">
        <f t="shared" si="27"/>
        <v>0</v>
      </c>
      <c r="U71" s="241"/>
      <c r="V71" s="242">
        <f>SUM(V38:V70)</f>
        <v>0</v>
      </c>
      <c r="W71" s="242">
        <f>SUM(W38:W70)</f>
        <v>0</v>
      </c>
      <c r="X71" s="242">
        <f>SUM(X38:X70)</f>
        <v>0</v>
      </c>
      <c r="Y71" s="199"/>
      <c r="Z71" s="199"/>
      <c r="AA71" s="243"/>
      <c r="AB71" s="240">
        <f t="shared" ref="AB71:AL71" si="28">SUM(AB38:AB70)</f>
        <v>890205.38401999988</v>
      </c>
      <c r="AC71" s="244">
        <f t="shared" si="28"/>
        <v>199528.79297000001</v>
      </c>
      <c r="AD71" s="244">
        <f t="shared" si="28"/>
        <v>134681.93525474999</v>
      </c>
      <c r="AE71" s="244">
        <f t="shared" si="28"/>
        <v>61393.474759999983</v>
      </c>
      <c r="AF71" s="244">
        <f t="shared" si="28"/>
        <v>30696.737379999991</v>
      </c>
      <c r="AG71" s="244">
        <f t="shared" si="28"/>
        <v>30696.737379999991</v>
      </c>
      <c r="AH71" s="244">
        <f t="shared" si="28"/>
        <v>15348.368689999996</v>
      </c>
      <c r="AI71" s="244">
        <f t="shared" si="28"/>
        <v>30696.737379999991</v>
      </c>
      <c r="AJ71" s="244">
        <f t="shared" si="28"/>
        <v>30696.737379999991</v>
      </c>
      <c r="AK71" s="244">
        <f t="shared" si="28"/>
        <v>107438.58082999996</v>
      </c>
      <c r="AL71" s="245">
        <f t="shared" si="28"/>
        <v>472346.04643475002</v>
      </c>
      <c r="AM71" s="158"/>
      <c r="AN71" s="183"/>
      <c r="AO71" s="184">
        <f>SUM(AO38:AO70)</f>
        <v>12550406723.861485</v>
      </c>
      <c r="AP71" s="184">
        <f>SUM(AP38:AP70)</f>
        <v>3486224.3688594494</v>
      </c>
      <c r="AQ71" s="184">
        <f>SUM(AQ38:AQ70)</f>
        <v>697244.87377189007</v>
      </c>
      <c r="AR71" s="186">
        <f>SUM(AR38:AR70)</f>
        <v>99.492704590737745</v>
      </c>
      <c r="AS71" s="435">
        <f>SUM(AS38:AS70)</f>
        <v>99.492704590737745</v>
      </c>
      <c r="AT71" s="187"/>
      <c r="AU71" s="246">
        <f>SUM(AU42:AU69)</f>
        <v>0</v>
      </c>
      <c r="AV71" s="246"/>
      <c r="AW71" s="185">
        <f>SUM(AW42:AW69)</f>
        <v>0</v>
      </c>
      <c r="AX71" s="189"/>
    </row>
    <row r="72" spans="1:50" s="139" customFormat="1" ht="11.25" x14ac:dyDescent="0.25">
      <c r="A72" s="247"/>
      <c r="B72" s="152"/>
      <c r="C72" s="247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248"/>
      <c r="P72" s="249"/>
      <c r="Q72" s="250"/>
      <c r="R72" s="250"/>
      <c r="S72" s="251"/>
      <c r="T72" s="199"/>
      <c r="U72" s="179"/>
      <c r="V72" s="249"/>
      <c r="W72" s="249"/>
      <c r="X72" s="152"/>
      <c r="Y72" s="153"/>
      <c r="Z72" s="153"/>
      <c r="AA72" s="154"/>
      <c r="AB72" s="247"/>
      <c r="AC72" s="252"/>
      <c r="AD72" s="252"/>
      <c r="AE72" s="252"/>
      <c r="AF72" s="252"/>
      <c r="AG72" s="252"/>
      <c r="AH72" s="252"/>
      <c r="AI72" s="252"/>
      <c r="AJ72" s="252"/>
      <c r="AK72" s="252"/>
      <c r="AL72" s="214"/>
      <c r="AM72" s="203"/>
      <c r="AN72" s="204"/>
      <c r="AO72" s="203"/>
      <c r="AP72" s="205"/>
      <c r="AQ72" s="206"/>
      <c r="AR72" s="253"/>
      <c r="AS72" s="254"/>
      <c r="AT72" s="255"/>
      <c r="AU72" s="256"/>
      <c r="AV72" s="257"/>
      <c r="AW72" s="214"/>
      <c r="AX72" s="212"/>
    </row>
    <row r="73" spans="1:50" s="139" customFormat="1" ht="11.25" x14ac:dyDescent="0.25">
      <c r="A73" s="120"/>
      <c r="B73" s="258" t="s">
        <v>122</v>
      </c>
      <c r="C73" s="122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213"/>
      <c r="P73" s="76"/>
      <c r="Q73" s="108"/>
      <c r="R73" s="108"/>
      <c r="S73" s="94"/>
      <c r="T73" s="199"/>
      <c r="U73" s="179"/>
      <c r="V73" s="180"/>
      <c r="W73" s="180"/>
      <c r="X73" s="214"/>
      <c r="Y73" s="181"/>
      <c r="Z73" s="181"/>
      <c r="AA73" s="182"/>
      <c r="AB73" s="62"/>
      <c r="AC73" s="215"/>
      <c r="AD73" s="215"/>
      <c r="AE73" s="215"/>
      <c r="AF73" s="215"/>
      <c r="AG73" s="215"/>
      <c r="AH73" s="215"/>
      <c r="AI73" s="215"/>
      <c r="AJ73" s="215"/>
      <c r="AK73" s="215"/>
      <c r="AL73" s="125"/>
      <c r="AM73" s="75"/>
      <c r="AN73" s="216"/>
      <c r="AO73" s="75"/>
      <c r="AP73" s="51"/>
      <c r="AQ73" s="259"/>
      <c r="AR73" s="583"/>
      <c r="AS73" s="584"/>
      <c r="AT73" s="220"/>
      <c r="AU73" s="135"/>
      <c r="AV73" s="136"/>
      <c r="AW73" s="137"/>
      <c r="AX73" s="138"/>
    </row>
    <row r="74" spans="1:50" ht="11.25" x14ac:dyDescent="0.25">
      <c r="A74" s="140">
        <v>1</v>
      </c>
      <c r="B74" s="221" t="s">
        <v>123</v>
      </c>
      <c r="C74" s="235"/>
      <c r="D74" s="236"/>
      <c r="E74" s="236"/>
      <c r="F74" s="236"/>
      <c r="G74" s="236"/>
      <c r="H74" s="236"/>
      <c r="I74" s="236"/>
      <c r="J74" s="236"/>
      <c r="K74" s="236"/>
      <c r="L74" s="236"/>
      <c r="M74" s="236">
        <v>76173</v>
      </c>
      <c r="N74" s="236"/>
      <c r="O74" s="237"/>
      <c r="P74" s="223">
        <f t="shared" ref="P74:P92" si="29">MAX(C74:O74)</f>
        <v>76173</v>
      </c>
      <c r="Q74" s="147">
        <f t="shared" ref="Q74:Q85" si="30">P74*$Q$8</f>
        <v>8379.0300000000007</v>
      </c>
      <c r="R74" s="147">
        <f t="shared" ref="R74:R92" si="31">Q74/$R$3</f>
        <v>22.956246575342469</v>
      </c>
      <c r="S74" s="148">
        <f t="shared" ref="S74:S85" si="32">R74*$S$3*$S$8</f>
        <v>5027.4180000000006</v>
      </c>
      <c r="T74" s="199"/>
      <c r="U74" s="150"/>
      <c r="V74" s="249"/>
      <c r="W74" s="249"/>
      <c r="X74" s="152"/>
      <c r="Y74" s="153"/>
      <c r="Z74" s="153"/>
      <c r="AA74" s="154"/>
      <c r="AB74" s="155">
        <f>S74*$AB$3</f>
        <v>2915.9024400000003</v>
      </c>
      <c r="AC74" s="156">
        <f>S74*$AC$3</f>
        <v>653.56434000000013</v>
      </c>
      <c r="AD74" s="156">
        <f>S74*$AD$3</f>
        <v>441.15592950000001</v>
      </c>
      <c r="AE74" s="156">
        <f>S74*$AE$3</f>
        <v>201.09672000000003</v>
      </c>
      <c r="AF74" s="156">
        <f>S74*$AF$3</f>
        <v>100.54836000000002</v>
      </c>
      <c r="AG74" s="156">
        <f>S74*$AG$3</f>
        <v>100.54836000000002</v>
      </c>
      <c r="AH74" s="156">
        <f>S74*$AH$3</f>
        <v>50.274180000000008</v>
      </c>
      <c r="AI74" s="156">
        <f>S74*$AI$3</f>
        <v>100.54836000000002</v>
      </c>
      <c r="AJ74" s="156">
        <f>S74*$AJ$3</f>
        <v>100.54836000000002</v>
      </c>
      <c r="AK74" s="156">
        <f>S74*$AK$3</f>
        <v>351.91926000000007</v>
      </c>
      <c r="AL74" s="157">
        <f t="shared" ref="AL74:AL92" si="33">SUM(AC74:AH74)</f>
        <v>1547.1878895000002</v>
      </c>
      <c r="AM74" s="158">
        <f t="shared" ref="AM74:AM92" si="34">$AM$3</f>
        <v>2200</v>
      </c>
      <c r="AN74" s="159">
        <v>0.2</v>
      </c>
      <c r="AO74" s="160">
        <f t="shared" ref="AO74:AO92" si="35">(AB74+AL74)*AM74*$AO$3</f>
        <v>41109346.501411326</v>
      </c>
      <c r="AP74" s="161">
        <f t="shared" ref="AP74:AP92" si="36">AO74*$AP$3</f>
        <v>11419.263830599735</v>
      </c>
      <c r="AQ74" s="162">
        <f t="shared" ref="AQ74:AQ92" si="37">AP74*$AQ$3</f>
        <v>2283.8527661199473</v>
      </c>
      <c r="AR74" s="580">
        <f t="shared" ref="AR74:AR92" si="38">AQ74/$AR$3</f>
        <v>0.32589223260843997</v>
      </c>
      <c r="AS74" s="582">
        <f t="shared" ref="AS74:AS92" si="39">AR74</f>
        <v>0.32589223260843997</v>
      </c>
      <c r="AT74" s="165"/>
      <c r="AU74" s="166"/>
      <c r="AV74" s="167"/>
      <c r="AW74" s="146"/>
      <c r="AX74" s="168"/>
    </row>
    <row r="75" spans="1:50" ht="11.25" x14ac:dyDescent="0.25">
      <c r="A75" s="140">
        <v>2</v>
      </c>
      <c r="B75" s="221" t="s">
        <v>124</v>
      </c>
      <c r="C75" s="235"/>
      <c r="D75" s="236"/>
      <c r="E75" s="236"/>
      <c r="F75" s="236"/>
      <c r="G75" s="236"/>
      <c r="H75" s="236"/>
      <c r="I75" s="236"/>
      <c r="J75" s="236"/>
      <c r="K75" s="236"/>
      <c r="L75" s="236"/>
      <c r="M75" s="236">
        <v>429246</v>
      </c>
      <c r="N75" s="236"/>
      <c r="O75" s="237"/>
      <c r="P75" s="223">
        <f t="shared" si="29"/>
        <v>429246</v>
      </c>
      <c r="Q75" s="147">
        <f t="shared" si="30"/>
        <v>47217.06</v>
      </c>
      <c r="R75" s="147">
        <f t="shared" si="31"/>
        <v>129.36180821917807</v>
      </c>
      <c r="S75" s="148">
        <f t="shared" si="32"/>
        <v>28330.235999999997</v>
      </c>
      <c r="T75" s="199"/>
      <c r="U75" s="150"/>
      <c r="V75" s="249"/>
      <c r="W75" s="249"/>
      <c r="X75" s="152"/>
      <c r="Y75" s="153"/>
      <c r="Z75" s="153"/>
      <c r="AA75" s="154"/>
      <c r="AB75" s="155">
        <f>S75*$AB$3</f>
        <v>16431.536879999996</v>
      </c>
      <c r="AC75" s="156">
        <f>S75*$AC$3</f>
        <v>3682.9306799999999</v>
      </c>
      <c r="AD75" s="156">
        <f>S75*$AD$3</f>
        <v>2485.9782089999994</v>
      </c>
      <c r="AE75" s="156">
        <f>S75*$AE$3</f>
        <v>1133.2094399999999</v>
      </c>
      <c r="AF75" s="156">
        <f>S75*$AF$3</f>
        <v>566.60471999999993</v>
      </c>
      <c r="AG75" s="156">
        <f>S75*$AG$3</f>
        <v>566.60471999999993</v>
      </c>
      <c r="AH75" s="156">
        <f>S75*$AH$3</f>
        <v>283.30235999999996</v>
      </c>
      <c r="AI75" s="156">
        <f>S75*$AI$3</f>
        <v>566.60471999999993</v>
      </c>
      <c r="AJ75" s="156">
        <f>S75*$AJ$3</f>
        <v>566.60471999999993</v>
      </c>
      <c r="AK75" s="156">
        <f>S75*$AK$3</f>
        <v>1983.11652</v>
      </c>
      <c r="AL75" s="157">
        <f t="shared" si="33"/>
        <v>8718.6301289999992</v>
      </c>
      <c r="AM75" s="158">
        <f t="shared" si="34"/>
        <v>2200</v>
      </c>
      <c r="AN75" s="159">
        <v>0.2</v>
      </c>
      <c r="AO75" s="160">
        <f t="shared" si="35"/>
        <v>231657182.31321859</v>
      </c>
      <c r="AP75" s="161">
        <f t="shared" si="36"/>
        <v>64349.222457164768</v>
      </c>
      <c r="AQ75" s="162">
        <f t="shared" si="37"/>
        <v>12869.844491432954</v>
      </c>
      <c r="AR75" s="580">
        <f t="shared" si="38"/>
        <v>1.8364504125903187</v>
      </c>
      <c r="AS75" s="582">
        <f t="shared" si="39"/>
        <v>1.8364504125903187</v>
      </c>
      <c r="AT75" s="165"/>
      <c r="AU75" s="166"/>
      <c r="AV75" s="167"/>
      <c r="AW75" s="146"/>
      <c r="AX75" s="168"/>
    </row>
    <row r="76" spans="1:50" ht="11.25" x14ac:dyDescent="0.25">
      <c r="A76" s="140">
        <v>3</v>
      </c>
      <c r="B76" s="221" t="s">
        <v>125</v>
      </c>
      <c r="C76" s="235"/>
      <c r="D76" s="236"/>
      <c r="E76" s="236"/>
      <c r="F76" s="236"/>
      <c r="G76" s="236"/>
      <c r="H76" s="236"/>
      <c r="I76" s="236"/>
      <c r="J76" s="236"/>
      <c r="K76" s="236"/>
      <c r="L76" s="236"/>
      <c r="M76" s="236">
        <v>348566</v>
      </c>
      <c r="N76" s="236"/>
      <c r="O76" s="237"/>
      <c r="P76" s="223">
        <f t="shared" si="29"/>
        <v>348566</v>
      </c>
      <c r="Q76" s="147">
        <f t="shared" si="30"/>
        <v>38342.26</v>
      </c>
      <c r="R76" s="147">
        <f t="shared" si="31"/>
        <v>105.04728767123288</v>
      </c>
      <c r="S76" s="148">
        <f t="shared" si="32"/>
        <v>23005.356</v>
      </c>
      <c r="T76" s="199"/>
      <c r="U76" s="150"/>
      <c r="V76" s="249"/>
      <c r="W76" s="249"/>
      <c r="X76" s="152"/>
      <c r="Y76" s="153"/>
      <c r="Z76" s="153"/>
      <c r="AA76" s="154"/>
      <c r="AB76" s="155">
        <f>S76*$AB$3</f>
        <v>13343.106479999999</v>
      </c>
      <c r="AC76" s="156">
        <f>S76*$AC$3</f>
        <v>2990.6962800000001</v>
      </c>
      <c r="AD76" s="156">
        <f>S76*$AD$3</f>
        <v>2018.7199889999999</v>
      </c>
      <c r="AE76" s="156">
        <f>S76*$AE$3</f>
        <v>920.21424000000002</v>
      </c>
      <c r="AF76" s="156">
        <f>S76*$AF$3</f>
        <v>460.10712000000001</v>
      </c>
      <c r="AG76" s="156">
        <f>S76*$AG$3</f>
        <v>460.10712000000001</v>
      </c>
      <c r="AH76" s="156">
        <f>S76*$AH$3</f>
        <v>230.05356</v>
      </c>
      <c r="AI76" s="156">
        <f>S76*$AI$3</f>
        <v>460.10712000000001</v>
      </c>
      <c r="AJ76" s="156">
        <f>S76*$AJ$3</f>
        <v>460.10712000000001</v>
      </c>
      <c r="AK76" s="156">
        <f>S76*$AK$3</f>
        <v>1610.3749200000002</v>
      </c>
      <c r="AL76" s="157">
        <f t="shared" si="33"/>
        <v>7079.8983090000002</v>
      </c>
      <c r="AM76" s="158">
        <f t="shared" si="34"/>
        <v>2200</v>
      </c>
      <c r="AN76" s="159">
        <v>0.2</v>
      </c>
      <c r="AO76" s="160">
        <f t="shared" si="35"/>
        <v>188115480.1912874</v>
      </c>
      <c r="AP76" s="161">
        <f t="shared" si="36"/>
        <v>52254.304233479394</v>
      </c>
      <c r="AQ76" s="162">
        <f t="shared" si="37"/>
        <v>10450.860846695879</v>
      </c>
      <c r="AR76" s="580">
        <f t="shared" si="38"/>
        <v>1.4912758057499829</v>
      </c>
      <c r="AS76" s="582">
        <f t="shared" si="39"/>
        <v>1.4912758057499829</v>
      </c>
      <c r="AT76" s="165"/>
      <c r="AU76" s="166"/>
      <c r="AV76" s="167"/>
      <c r="AW76" s="146"/>
      <c r="AX76" s="168"/>
    </row>
    <row r="77" spans="1:50" ht="11.25" x14ac:dyDescent="0.25">
      <c r="A77" s="140">
        <v>4</v>
      </c>
      <c r="B77" s="221" t="s">
        <v>126</v>
      </c>
      <c r="C77" s="235"/>
      <c r="D77" s="236"/>
      <c r="E77" s="236"/>
      <c r="F77" s="236"/>
      <c r="G77" s="236"/>
      <c r="H77" s="236"/>
      <c r="I77" s="236"/>
      <c r="J77" s="236"/>
      <c r="K77" s="236"/>
      <c r="L77" s="236"/>
      <c r="M77" s="236">
        <v>201823</v>
      </c>
      <c r="N77" s="236"/>
      <c r="O77" s="237"/>
      <c r="P77" s="223">
        <f t="shared" si="29"/>
        <v>201823</v>
      </c>
      <c r="Q77" s="147">
        <f t="shared" si="30"/>
        <v>22200.53</v>
      </c>
      <c r="R77" s="147">
        <f t="shared" si="31"/>
        <v>60.823369863013696</v>
      </c>
      <c r="S77" s="148">
        <f t="shared" si="32"/>
        <v>13320.317999999999</v>
      </c>
      <c r="T77" s="199"/>
      <c r="U77" s="150"/>
      <c r="V77" s="249"/>
      <c r="W77" s="249"/>
      <c r="X77" s="152"/>
      <c r="Y77" s="153"/>
      <c r="Z77" s="153"/>
      <c r="AA77" s="154"/>
      <c r="AB77" s="155">
        <f>S77*$AB$3</f>
        <v>7725.7844399999994</v>
      </c>
      <c r="AC77" s="156">
        <f>S77*$AC$3</f>
        <v>1731.6413399999999</v>
      </c>
      <c r="AD77" s="156">
        <f>S77*$AD$3</f>
        <v>1168.8579044999999</v>
      </c>
      <c r="AE77" s="156">
        <f>S77*$AE$3</f>
        <v>532.81272000000001</v>
      </c>
      <c r="AF77" s="156">
        <f>S77*$AF$3</f>
        <v>266.40636000000001</v>
      </c>
      <c r="AG77" s="156">
        <f>S77*$AG$3</f>
        <v>266.40636000000001</v>
      </c>
      <c r="AH77" s="156">
        <f>S77*$AH$3</f>
        <v>133.20318</v>
      </c>
      <c r="AI77" s="156">
        <f>S77*$AI$3</f>
        <v>266.40636000000001</v>
      </c>
      <c r="AJ77" s="156">
        <f>S77*$AJ$3</f>
        <v>266.40636000000001</v>
      </c>
      <c r="AK77" s="156">
        <f>S77*$AK$3</f>
        <v>932.42226000000005</v>
      </c>
      <c r="AL77" s="157">
        <f t="shared" si="33"/>
        <v>4099.3278645</v>
      </c>
      <c r="AM77" s="158">
        <f t="shared" si="34"/>
        <v>2200</v>
      </c>
      <c r="AN77" s="159">
        <v>0.2</v>
      </c>
      <c r="AO77" s="160">
        <f t="shared" si="35"/>
        <v>108920636.43225731</v>
      </c>
      <c r="AP77" s="161">
        <f t="shared" si="36"/>
        <v>30255.734762752283</v>
      </c>
      <c r="AQ77" s="162">
        <f t="shared" si="37"/>
        <v>6051.1469525504572</v>
      </c>
      <c r="AR77" s="580">
        <f t="shared" si="38"/>
        <v>0.863462750078547</v>
      </c>
      <c r="AS77" s="582">
        <f t="shared" si="39"/>
        <v>0.863462750078547</v>
      </c>
      <c r="AT77" s="165"/>
      <c r="AU77" s="166"/>
      <c r="AV77" s="167"/>
      <c r="AW77" s="146"/>
      <c r="AX77" s="168"/>
    </row>
    <row r="78" spans="1:50" ht="11.25" x14ac:dyDescent="0.25">
      <c r="A78" s="140">
        <v>5</v>
      </c>
      <c r="B78" s="221" t="s">
        <v>127</v>
      </c>
      <c r="C78" s="235"/>
      <c r="D78" s="236"/>
      <c r="E78" s="236"/>
      <c r="F78" s="236"/>
      <c r="G78" s="236"/>
      <c r="H78" s="236"/>
      <c r="I78" s="236"/>
      <c r="J78" s="236"/>
      <c r="K78" s="236"/>
      <c r="L78" s="236"/>
      <c r="M78" s="236">
        <v>338494</v>
      </c>
      <c r="N78" s="236"/>
      <c r="O78" s="237"/>
      <c r="P78" s="223">
        <f t="shared" si="29"/>
        <v>338494</v>
      </c>
      <c r="Q78" s="147">
        <f t="shared" si="30"/>
        <v>37234.340000000004</v>
      </c>
      <c r="R78" s="147">
        <f t="shared" si="31"/>
        <v>102.01189041095891</v>
      </c>
      <c r="S78" s="148">
        <f t="shared" si="32"/>
        <v>22340.604000000003</v>
      </c>
      <c r="T78" s="199"/>
      <c r="U78" s="150"/>
      <c r="V78" s="249"/>
      <c r="W78" s="249"/>
      <c r="X78" s="152"/>
      <c r="Y78" s="153"/>
      <c r="Z78" s="153"/>
      <c r="AA78" s="154"/>
      <c r="AB78" s="155">
        <f>S78*$AB$3</f>
        <v>12957.55032</v>
      </c>
      <c r="AC78" s="156">
        <f>S78*$AC$3</f>
        <v>2904.2785200000003</v>
      </c>
      <c r="AD78" s="156">
        <f>S78*$AD$3</f>
        <v>1960.388001</v>
      </c>
      <c r="AE78" s="156">
        <f>S78*$AE$3</f>
        <v>893.62416000000019</v>
      </c>
      <c r="AF78" s="156">
        <f>S78*$AF$3</f>
        <v>446.81208000000009</v>
      </c>
      <c r="AG78" s="156">
        <f>S78*$AG$3</f>
        <v>446.81208000000009</v>
      </c>
      <c r="AH78" s="156">
        <f>S78*$AH$3</f>
        <v>223.40604000000005</v>
      </c>
      <c r="AI78" s="156">
        <f>S78*$AI$3</f>
        <v>446.81208000000009</v>
      </c>
      <c r="AJ78" s="156">
        <f>S78*$AJ$3</f>
        <v>446.81208000000009</v>
      </c>
      <c r="AK78" s="156">
        <f>S78*$AK$3</f>
        <v>1563.8422800000003</v>
      </c>
      <c r="AL78" s="157">
        <f t="shared" si="33"/>
        <v>6875.3208809999996</v>
      </c>
      <c r="AM78" s="158">
        <f t="shared" si="34"/>
        <v>2200</v>
      </c>
      <c r="AN78" s="159">
        <v>0.2</v>
      </c>
      <c r="AO78" s="160">
        <f t="shared" si="35"/>
        <v>182679783.31756297</v>
      </c>
      <c r="AP78" s="161">
        <f t="shared" si="36"/>
        <v>50744.388314429343</v>
      </c>
      <c r="AQ78" s="162">
        <f t="shared" si="37"/>
        <v>10148.877662885869</v>
      </c>
      <c r="AR78" s="580">
        <f t="shared" si="38"/>
        <v>1.448184598014536</v>
      </c>
      <c r="AS78" s="582">
        <f t="shared" si="39"/>
        <v>1.448184598014536</v>
      </c>
      <c r="AT78" s="165"/>
      <c r="AU78" s="166"/>
      <c r="AV78" s="167"/>
      <c r="AW78" s="146"/>
      <c r="AX78" s="168"/>
    </row>
    <row r="79" spans="1:50" ht="11.25" x14ac:dyDescent="0.25">
      <c r="A79" s="140">
        <v>6</v>
      </c>
      <c r="B79" s="221" t="s">
        <v>128</v>
      </c>
      <c r="C79" s="235"/>
      <c r="D79" s="236"/>
      <c r="E79" s="236"/>
      <c r="F79" s="236"/>
      <c r="G79" s="236"/>
      <c r="H79" s="236"/>
      <c r="I79" s="236"/>
      <c r="J79" s="236"/>
      <c r="K79" s="236"/>
      <c r="L79" s="236"/>
      <c r="M79" s="236">
        <v>391056</v>
      </c>
      <c r="N79" s="236"/>
      <c r="O79" s="237"/>
      <c r="P79" s="223">
        <f t="shared" si="29"/>
        <v>391056</v>
      </c>
      <c r="Q79" s="147">
        <f t="shared" si="30"/>
        <v>43016.160000000003</v>
      </c>
      <c r="R79" s="147">
        <f t="shared" si="31"/>
        <v>117.85249315068494</v>
      </c>
      <c r="S79" s="148">
        <f t="shared" si="32"/>
        <v>25809.696</v>
      </c>
      <c r="T79" s="199"/>
      <c r="U79" s="150"/>
      <c r="V79" s="249"/>
      <c r="W79" s="249"/>
      <c r="X79" s="152"/>
      <c r="Y79" s="153"/>
      <c r="Z79" s="153"/>
      <c r="AA79" s="154"/>
      <c r="AB79" s="155">
        <f>S79*$AB$3</f>
        <v>14969.623679999999</v>
      </c>
      <c r="AC79" s="156">
        <f>S79*$AC$3</f>
        <v>3355.2604799999999</v>
      </c>
      <c r="AD79" s="156">
        <f>S79*$AD$3</f>
        <v>2264.8008239999999</v>
      </c>
      <c r="AE79" s="156">
        <f>S79*$AE$3</f>
        <v>1032.3878400000001</v>
      </c>
      <c r="AF79" s="156">
        <f>S79*$AF$3</f>
        <v>516.19392000000005</v>
      </c>
      <c r="AG79" s="156">
        <f>S79*$AG$3</f>
        <v>516.19392000000005</v>
      </c>
      <c r="AH79" s="156">
        <f>S79*$AH$3</f>
        <v>258.09696000000002</v>
      </c>
      <c r="AI79" s="156">
        <f>S79*$AI$3</f>
        <v>516.19392000000005</v>
      </c>
      <c r="AJ79" s="156">
        <f>S79*$AJ$3</f>
        <v>516.19392000000005</v>
      </c>
      <c r="AK79" s="156">
        <f>S79*$AK$3</f>
        <v>1806.6787200000001</v>
      </c>
      <c r="AL79" s="157">
        <f t="shared" si="33"/>
        <v>7942.9339439999994</v>
      </c>
      <c r="AM79" s="158">
        <f t="shared" si="34"/>
        <v>2200</v>
      </c>
      <c r="AN79" s="159">
        <v>0.2</v>
      </c>
      <c r="AO79" s="160">
        <f t="shared" si="35"/>
        <v>211046651.77235898</v>
      </c>
      <c r="AP79" s="161">
        <f t="shared" si="36"/>
        <v>58624.074626691981</v>
      </c>
      <c r="AQ79" s="162">
        <f t="shared" si="37"/>
        <v>11724.814925338396</v>
      </c>
      <c r="AR79" s="580">
        <f t="shared" si="38"/>
        <v>1.673061490487785</v>
      </c>
      <c r="AS79" s="582">
        <f t="shared" si="39"/>
        <v>1.673061490487785</v>
      </c>
      <c r="AT79" s="165"/>
      <c r="AU79" s="166"/>
      <c r="AV79" s="167"/>
      <c r="AW79" s="146"/>
      <c r="AX79" s="168"/>
    </row>
    <row r="80" spans="1:50" ht="11.25" x14ac:dyDescent="0.25">
      <c r="A80" s="140">
        <v>7</v>
      </c>
      <c r="B80" s="221" t="s">
        <v>129</v>
      </c>
      <c r="C80" s="235"/>
      <c r="D80" s="236"/>
      <c r="E80" s="236"/>
      <c r="F80" s="236"/>
      <c r="G80" s="236"/>
      <c r="H80" s="236"/>
      <c r="I80" s="236"/>
      <c r="J80" s="236"/>
      <c r="K80" s="236"/>
      <c r="L80" s="236"/>
      <c r="M80" s="236">
        <v>454853</v>
      </c>
      <c r="N80" s="236"/>
      <c r="O80" s="237"/>
      <c r="P80" s="223">
        <f t="shared" si="29"/>
        <v>454853</v>
      </c>
      <c r="Q80" s="147">
        <f t="shared" si="30"/>
        <v>50033.83</v>
      </c>
      <c r="R80" s="147">
        <f t="shared" si="31"/>
        <v>137.07898630136987</v>
      </c>
      <c r="S80" s="148">
        <f t="shared" si="32"/>
        <v>30020.297999999999</v>
      </c>
      <c r="T80" s="199"/>
      <c r="U80" s="150"/>
      <c r="V80" s="249"/>
      <c r="W80" s="249"/>
      <c r="X80" s="152"/>
      <c r="Y80" s="153"/>
      <c r="Z80" s="153"/>
      <c r="AA80" s="154"/>
      <c r="AB80" s="155">
        <f>S80*$AB$3</f>
        <v>17411.772839999998</v>
      </c>
      <c r="AC80" s="156">
        <f>S80*$AC$3</f>
        <v>3902.6387399999999</v>
      </c>
      <c r="AD80" s="156">
        <f>S80*$AD$3</f>
        <v>2634.2811494999996</v>
      </c>
      <c r="AE80" s="156">
        <f>S80*$AE$3</f>
        <v>1200.8119199999999</v>
      </c>
      <c r="AF80" s="156">
        <f>S80*$AF$3</f>
        <v>600.40595999999994</v>
      </c>
      <c r="AG80" s="156">
        <f>S80*$AG$3</f>
        <v>600.40595999999994</v>
      </c>
      <c r="AH80" s="156">
        <f>S80*$AH$3</f>
        <v>300.20297999999997</v>
      </c>
      <c r="AI80" s="156">
        <f>S80*$AI$3</f>
        <v>600.40595999999994</v>
      </c>
      <c r="AJ80" s="156">
        <f>S80*$AJ$3</f>
        <v>600.40595999999994</v>
      </c>
      <c r="AK80" s="156">
        <f>S80*$AK$3</f>
        <v>2101.4208600000002</v>
      </c>
      <c r="AL80" s="157">
        <f t="shared" si="33"/>
        <v>9238.7467094999993</v>
      </c>
      <c r="AM80" s="158">
        <f t="shared" si="34"/>
        <v>2200</v>
      </c>
      <c r="AN80" s="159">
        <v>0.2</v>
      </c>
      <c r="AO80" s="160">
        <f t="shared" si="35"/>
        <v>245476869.5496625</v>
      </c>
      <c r="AP80" s="161">
        <f t="shared" si="36"/>
        <v>68188.024774392237</v>
      </c>
      <c r="AQ80" s="162">
        <f t="shared" si="37"/>
        <v>13637.604954878449</v>
      </c>
      <c r="AR80" s="580">
        <f t="shared" si="38"/>
        <v>1.9460052732417878</v>
      </c>
      <c r="AS80" s="582">
        <f t="shared" si="39"/>
        <v>1.9460052732417878</v>
      </c>
      <c r="AT80" s="165"/>
      <c r="AU80" s="166"/>
      <c r="AV80" s="167"/>
      <c r="AW80" s="146"/>
      <c r="AX80" s="168"/>
    </row>
    <row r="81" spans="1:50" ht="11.25" x14ac:dyDescent="0.25">
      <c r="A81" s="140">
        <v>8</v>
      </c>
      <c r="B81" s="221" t="s">
        <v>130</v>
      </c>
      <c r="C81" s="235"/>
      <c r="D81" s="236"/>
      <c r="E81" s="236"/>
      <c r="F81" s="236"/>
      <c r="G81" s="236"/>
      <c r="H81" s="236"/>
      <c r="I81" s="236"/>
      <c r="J81" s="236"/>
      <c r="K81" s="236"/>
      <c r="L81" s="236"/>
      <c r="M81" s="236">
        <v>348555</v>
      </c>
      <c r="N81" s="236"/>
      <c r="O81" s="237"/>
      <c r="P81" s="223">
        <f t="shared" si="29"/>
        <v>348555</v>
      </c>
      <c r="Q81" s="147">
        <f t="shared" si="30"/>
        <v>38341.050000000003</v>
      </c>
      <c r="R81" s="147">
        <f t="shared" si="31"/>
        <v>105.04397260273973</v>
      </c>
      <c r="S81" s="148">
        <f t="shared" si="32"/>
        <v>23004.63</v>
      </c>
      <c r="T81" s="199"/>
      <c r="U81" s="150"/>
      <c r="V81" s="249"/>
      <c r="W81" s="249"/>
      <c r="X81" s="152"/>
      <c r="Y81" s="153"/>
      <c r="Z81" s="153"/>
      <c r="AA81" s="154"/>
      <c r="AB81" s="155">
        <f>S81*$AB$3</f>
        <v>13342.6854</v>
      </c>
      <c r="AC81" s="156">
        <f>S81*$AC$3</f>
        <v>2990.6019000000001</v>
      </c>
      <c r="AD81" s="156">
        <f>S81*$AD$3</f>
        <v>2018.6562824999999</v>
      </c>
      <c r="AE81" s="156">
        <f>S81*$AE$3</f>
        <v>920.18520000000001</v>
      </c>
      <c r="AF81" s="156">
        <f>S81*$AF$3</f>
        <v>460.0926</v>
      </c>
      <c r="AG81" s="156">
        <f>S81*$AG$3</f>
        <v>460.0926</v>
      </c>
      <c r="AH81" s="156">
        <f>S81*$AH$3</f>
        <v>230.0463</v>
      </c>
      <c r="AI81" s="156">
        <f>S81*$AI$3</f>
        <v>460.0926</v>
      </c>
      <c r="AJ81" s="156">
        <f>S81*$AJ$3</f>
        <v>460.0926</v>
      </c>
      <c r="AK81" s="156">
        <f>S81*$AK$3</f>
        <v>1610.3241000000003</v>
      </c>
      <c r="AL81" s="157">
        <f t="shared" si="33"/>
        <v>7079.6748824999995</v>
      </c>
      <c r="AM81" s="158">
        <f t="shared" si="34"/>
        <v>2200</v>
      </c>
      <c r="AN81" s="159">
        <v>0.2</v>
      </c>
      <c r="AO81" s="160">
        <f t="shared" si="35"/>
        <v>188109543.66769618</v>
      </c>
      <c r="AP81" s="161">
        <f t="shared" si="36"/>
        <v>52252.655199016575</v>
      </c>
      <c r="AQ81" s="162">
        <f t="shared" si="37"/>
        <v>10450.531039803316</v>
      </c>
      <c r="AR81" s="580">
        <f t="shared" si="38"/>
        <v>1.4912287442641718</v>
      </c>
      <c r="AS81" s="582">
        <f t="shared" si="39"/>
        <v>1.4912287442641718</v>
      </c>
      <c r="AT81" s="165"/>
      <c r="AU81" s="166"/>
      <c r="AV81" s="167"/>
      <c r="AW81" s="146"/>
      <c r="AX81" s="168"/>
    </row>
    <row r="82" spans="1:50" ht="11.25" x14ac:dyDescent="0.25">
      <c r="A82" s="140">
        <v>9</v>
      </c>
      <c r="B82" s="221" t="s">
        <v>131</v>
      </c>
      <c r="C82" s="235"/>
      <c r="D82" s="236"/>
      <c r="E82" s="236"/>
      <c r="F82" s="236"/>
      <c r="G82" s="236"/>
      <c r="H82" s="236"/>
      <c r="I82" s="236"/>
      <c r="J82" s="236"/>
      <c r="K82" s="236"/>
      <c r="L82" s="236"/>
      <c r="M82" s="236">
        <v>253299</v>
      </c>
      <c r="N82" s="236"/>
      <c r="O82" s="237"/>
      <c r="P82" s="223">
        <f t="shared" si="29"/>
        <v>253299</v>
      </c>
      <c r="Q82" s="147">
        <f t="shared" si="30"/>
        <v>27862.89</v>
      </c>
      <c r="R82" s="147">
        <f t="shared" si="31"/>
        <v>76.336684931506852</v>
      </c>
      <c r="S82" s="148">
        <f t="shared" si="32"/>
        <v>16717.734</v>
      </c>
      <c r="T82" s="199"/>
      <c r="U82" s="150"/>
      <c r="V82" s="249"/>
      <c r="W82" s="249"/>
      <c r="X82" s="152"/>
      <c r="Y82" s="153"/>
      <c r="Z82" s="153"/>
      <c r="AA82" s="154"/>
      <c r="AB82" s="155">
        <f>S82*$AB$3</f>
        <v>9696.2857199999999</v>
      </c>
      <c r="AC82" s="156">
        <f>S82*$AC$3</f>
        <v>2173.3054200000001</v>
      </c>
      <c r="AD82" s="156">
        <f>S82*$AD$3</f>
        <v>1466.9811585</v>
      </c>
      <c r="AE82" s="156">
        <f>S82*$AE$3</f>
        <v>668.70936000000006</v>
      </c>
      <c r="AF82" s="156">
        <f>S82*$AF$3</f>
        <v>334.35468000000003</v>
      </c>
      <c r="AG82" s="156">
        <f>S82*$AG$3</f>
        <v>334.35468000000003</v>
      </c>
      <c r="AH82" s="156">
        <f>S82*$AH$3</f>
        <v>167.17734000000002</v>
      </c>
      <c r="AI82" s="156">
        <f>S82*$AI$3</f>
        <v>334.35468000000003</v>
      </c>
      <c r="AJ82" s="156">
        <f>S82*$AJ$3</f>
        <v>334.35468000000003</v>
      </c>
      <c r="AK82" s="156">
        <f>S82*$AK$3</f>
        <v>1170.2413800000002</v>
      </c>
      <c r="AL82" s="157">
        <f t="shared" si="33"/>
        <v>5144.8826385000011</v>
      </c>
      <c r="AM82" s="158">
        <f t="shared" si="34"/>
        <v>2200</v>
      </c>
      <c r="AN82" s="159">
        <v>0.2</v>
      </c>
      <c r="AO82" s="160">
        <f t="shared" si="35"/>
        <v>136701408.10340917</v>
      </c>
      <c r="AP82" s="161">
        <f t="shared" si="36"/>
        <v>37972.616399867169</v>
      </c>
      <c r="AQ82" s="162">
        <f t="shared" si="37"/>
        <v>7594.523279973434</v>
      </c>
      <c r="AR82" s="580">
        <f t="shared" si="38"/>
        <v>1.0836933904071682</v>
      </c>
      <c r="AS82" s="582">
        <f t="shared" si="39"/>
        <v>1.0836933904071682</v>
      </c>
      <c r="AT82" s="165"/>
      <c r="AU82" s="166"/>
      <c r="AV82" s="167"/>
      <c r="AW82" s="146"/>
      <c r="AX82" s="168"/>
    </row>
    <row r="83" spans="1:50" ht="11.25" x14ac:dyDescent="0.25">
      <c r="A83" s="140">
        <v>10</v>
      </c>
      <c r="B83" s="221" t="s">
        <v>132</v>
      </c>
      <c r="C83" s="235"/>
      <c r="D83" s="236"/>
      <c r="E83" s="236"/>
      <c r="F83" s="236"/>
      <c r="G83" s="236"/>
      <c r="H83" s="236"/>
      <c r="I83" s="236"/>
      <c r="J83" s="236"/>
      <c r="K83" s="236"/>
      <c r="L83" s="236"/>
      <c r="M83" s="236">
        <v>144281</v>
      </c>
      <c r="N83" s="236"/>
      <c r="O83" s="237"/>
      <c r="P83" s="223">
        <f t="shared" si="29"/>
        <v>144281</v>
      </c>
      <c r="Q83" s="147">
        <f t="shared" si="30"/>
        <v>15870.91</v>
      </c>
      <c r="R83" s="147">
        <f t="shared" si="31"/>
        <v>43.481945205479448</v>
      </c>
      <c r="S83" s="148">
        <f t="shared" si="32"/>
        <v>9522.5459999999985</v>
      </c>
      <c r="T83" s="199"/>
      <c r="U83" s="150"/>
      <c r="V83" s="249"/>
      <c r="W83" s="249"/>
      <c r="X83" s="152"/>
      <c r="Y83" s="153"/>
      <c r="Z83" s="153"/>
      <c r="AA83" s="154"/>
      <c r="AB83" s="155">
        <f>S83*$AB$3</f>
        <v>5523.0766799999983</v>
      </c>
      <c r="AC83" s="156">
        <f>S83*$AC$3</f>
        <v>1237.9309799999999</v>
      </c>
      <c r="AD83" s="156">
        <f>S83*$AD$3</f>
        <v>835.60341149999977</v>
      </c>
      <c r="AE83" s="156">
        <f>S83*$AE$3</f>
        <v>380.90183999999994</v>
      </c>
      <c r="AF83" s="156">
        <f>S83*$AF$3</f>
        <v>190.45091999999997</v>
      </c>
      <c r="AG83" s="156">
        <f>S83*$AG$3</f>
        <v>190.45091999999997</v>
      </c>
      <c r="AH83" s="156">
        <f>S83*$AH$3</f>
        <v>95.225459999999984</v>
      </c>
      <c r="AI83" s="156">
        <f>S83*$AI$3</f>
        <v>190.45091999999997</v>
      </c>
      <c r="AJ83" s="156">
        <f>S83*$AJ$3</f>
        <v>190.45091999999997</v>
      </c>
      <c r="AK83" s="156">
        <f>S83*$AK$3</f>
        <v>666.57821999999999</v>
      </c>
      <c r="AL83" s="157">
        <f t="shared" si="33"/>
        <v>2930.563531499999</v>
      </c>
      <c r="AM83" s="158">
        <f t="shared" si="34"/>
        <v>2200</v>
      </c>
      <c r="AN83" s="159">
        <v>0.2</v>
      </c>
      <c r="AO83" s="160">
        <f t="shared" si="35"/>
        <v>77866141.842518032</v>
      </c>
      <c r="AP83" s="161">
        <f t="shared" si="36"/>
        <v>21629.485575502604</v>
      </c>
      <c r="AQ83" s="162">
        <f t="shared" si="37"/>
        <v>4325.8971151005208</v>
      </c>
      <c r="AR83" s="580">
        <f t="shared" si="38"/>
        <v>0.61727983948352183</v>
      </c>
      <c r="AS83" s="582">
        <f t="shared" si="39"/>
        <v>0.61727983948352183</v>
      </c>
      <c r="AT83" s="165"/>
      <c r="AU83" s="166"/>
      <c r="AV83" s="167"/>
      <c r="AW83" s="146"/>
      <c r="AX83" s="168"/>
    </row>
    <row r="84" spans="1:50" ht="11.25" x14ac:dyDescent="0.25">
      <c r="A84" s="140">
        <v>11</v>
      </c>
      <c r="B84" s="221" t="s">
        <v>133</v>
      </c>
      <c r="C84" s="235"/>
      <c r="D84" s="236"/>
      <c r="E84" s="236"/>
      <c r="F84" s="236"/>
      <c r="G84" s="236"/>
      <c r="H84" s="236"/>
      <c r="I84" s="236"/>
      <c r="J84" s="236"/>
      <c r="K84" s="236"/>
      <c r="L84" s="236"/>
      <c r="M84" s="236">
        <v>191422</v>
      </c>
      <c r="N84" s="236"/>
      <c r="O84" s="237"/>
      <c r="P84" s="223">
        <f t="shared" si="29"/>
        <v>191422</v>
      </c>
      <c r="Q84" s="147">
        <f t="shared" si="30"/>
        <v>21056.420000000002</v>
      </c>
      <c r="R84" s="147">
        <f t="shared" si="31"/>
        <v>57.688821917808227</v>
      </c>
      <c r="S84" s="148">
        <f t="shared" si="32"/>
        <v>12633.852000000001</v>
      </c>
      <c r="T84" s="199"/>
      <c r="U84" s="150"/>
      <c r="V84" s="249"/>
      <c r="W84" s="249"/>
      <c r="X84" s="152"/>
      <c r="Y84" s="153"/>
      <c r="Z84" s="153"/>
      <c r="AA84" s="154"/>
      <c r="AB84" s="155">
        <f>S84*$AB$3</f>
        <v>7327.6341599999996</v>
      </c>
      <c r="AC84" s="156">
        <f>S84*$AC$3</f>
        <v>1642.4007600000002</v>
      </c>
      <c r="AD84" s="156">
        <f>S84*$AD$3</f>
        <v>1108.6205130000001</v>
      </c>
      <c r="AE84" s="156">
        <f>S84*$AE$3</f>
        <v>505.35408000000007</v>
      </c>
      <c r="AF84" s="156">
        <f>S84*$AF$3</f>
        <v>252.67704000000003</v>
      </c>
      <c r="AG84" s="156">
        <f>S84*$AG$3</f>
        <v>252.67704000000003</v>
      </c>
      <c r="AH84" s="156">
        <f>S84*$AH$3</f>
        <v>126.33852000000002</v>
      </c>
      <c r="AI84" s="156">
        <f>S84*$AI$3</f>
        <v>252.67704000000003</v>
      </c>
      <c r="AJ84" s="156">
        <f>S84*$AJ$3</f>
        <v>252.67704000000003</v>
      </c>
      <c r="AK84" s="156">
        <f>S84*$AK$3</f>
        <v>884.36964000000012</v>
      </c>
      <c r="AL84" s="157">
        <f t="shared" si="33"/>
        <v>3888.0679530000007</v>
      </c>
      <c r="AM84" s="158">
        <f t="shared" si="34"/>
        <v>2200</v>
      </c>
      <c r="AN84" s="159">
        <v>0.2</v>
      </c>
      <c r="AO84" s="160">
        <f t="shared" si="35"/>
        <v>103307383.53475846</v>
      </c>
      <c r="AP84" s="161">
        <f t="shared" si="36"/>
        <v>28696.497722041429</v>
      </c>
      <c r="AQ84" s="162">
        <f t="shared" si="37"/>
        <v>5739.2995444082862</v>
      </c>
      <c r="AR84" s="580">
        <f t="shared" si="38"/>
        <v>0.8189639760856573</v>
      </c>
      <c r="AS84" s="582">
        <f t="shared" si="39"/>
        <v>0.8189639760856573</v>
      </c>
      <c r="AT84" s="165"/>
      <c r="AU84" s="166"/>
      <c r="AV84" s="167"/>
      <c r="AW84" s="146"/>
      <c r="AX84" s="168"/>
    </row>
    <row r="85" spans="1:50" ht="11.25" x14ac:dyDescent="0.25">
      <c r="A85" s="140">
        <v>12</v>
      </c>
      <c r="B85" s="221" t="s">
        <v>134</v>
      </c>
      <c r="C85" s="235"/>
      <c r="D85" s="236"/>
      <c r="E85" s="236"/>
      <c r="F85" s="236"/>
      <c r="G85" s="236"/>
      <c r="H85" s="236"/>
      <c r="I85" s="236"/>
      <c r="J85" s="236"/>
      <c r="K85" s="236"/>
      <c r="L85" s="236"/>
      <c r="M85" s="236">
        <v>365129</v>
      </c>
      <c r="N85" s="236"/>
      <c r="O85" s="237"/>
      <c r="P85" s="223">
        <f t="shared" si="29"/>
        <v>365129</v>
      </c>
      <c r="Q85" s="147">
        <f t="shared" si="30"/>
        <v>40164.19</v>
      </c>
      <c r="R85" s="147">
        <f t="shared" si="31"/>
        <v>110.03887671232877</v>
      </c>
      <c r="S85" s="148">
        <f t="shared" si="32"/>
        <v>24098.513999999999</v>
      </c>
      <c r="T85" s="199"/>
      <c r="U85" s="150"/>
      <c r="V85" s="249"/>
      <c r="W85" s="249"/>
      <c r="X85" s="152"/>
      <c r="Y85" s="153"/>
      <c r="Z85" s="153"/>
      <c r="AA85" s="154"/>
      <c r="AB85" s="155">
        <f>S85*$AB$3</f>
        <v>13977.138119999998</v>
      </c>
      <c r="AC85" s="156">
        <f>S85*$AC$3</f>
        <v>3132.8068199999998</v>
      </c>
      <c r="AD85" s="156">
        <f>S85*$AD$3</f>
        <v>2114.6446034999999</v>
      </c>
      <c r="AE85" s="156">
        <f>S85*$AE$3</f>
        <v>963.94056</v>
      </c>
      <c r="AF85" s="156">
        <f>S85*$AF$3</f>
        <v>481.97028</v>
      </c>
      <c r="AG85" s="156">
        <f>S85*$AG$3</f>
        <v>481.97028</v>
      </c>
      <c r="AH85" s="156">
        <f>S85*$AH$3</f>
        <v>240.98514</v>
      </c>
      <c r="AI85" s="156">
        <f>S85*$AI$3</f>
        <v>481.97028</v>
      </c>
      <c r="AJ85" s="156">
        <f>S85*$AJ$3</f>
        <v>481.97028</v>
      </c>
      <c r="AK85" s="156">
        <f>S85*$AK$3</f>
        <v>1686.89598</v>
      </c>
      <c r="AL85" s="157">
        <f t="shared" si="33"/>
        <v>7416.3176834999986</v>
      </c>
      <c r="AM85" s="158">
        <f t="shared" si="34"/>
        <v>2200</v>
      </c>
      <c r="AN85" s="159">
        <v>0.2</v>
      </c>
      <c r="AO85" s="160">
        <f t="shared" si="35"/>
        <v>197054265.66780633</v>
      </c>
      <c r="AP85" s="161">
        <f t="shared" si="36"/>
        <v>54737.30039781877</v>
      </c>
      <c r="AQ85" s="162">
        <f t="shared" si="37"/>
        <v>10947.460079563754</v>
      </c>
      <c r="AR85" s="580">
        <f t="shared" si="38"/>
        <v>1.5621375684309011</v>
      </c>
      <c r="AS85" s="582">
        <f t="shared" si="39"/>
        <v>1.5621375684309011</v>
      </c>
      <c r="AT85" s="165"/>
      <c r="AU85" s="166"/>
      <c r="AV85" s="167"/>
      <c r="AW85" s="146"/>
      <c r="AX85" s="168"/>
    </row>
    <row r="86" spans="1:50" ht="11.25" x14ac:dyDescent="0.25">
      <c r="A86" s="140">
        <v>13</v>
      </c>
      <c r="B86" s="238" t="s">
        <v>135</v>
      </c>
      <c r="C86" s="235"/>
      <c r="D86" s="236"/>
      <c r="E86" s="236"/>
      <c r="F86" s="236"/>
      <c r="G86" s="236"/>
      <c r="H86" s="236"/>
      <c r="I86" s="236"/>
      <c r="J86" s="236"/>
      <c r="K86" s="236"/>
      <c r="L86" s="236"/>
      <c r="M86" s="236">
        <v>833562</v>
      </c>
      <c r="N86" s="236"/>
      <c r="O86" s="237"/>
      <c r="P86" s="223">
        <f t="shared" si="29"/>
        <v>833562</v>
      </c>
      <c r="Q86" s="147">
        <f>P86*$Q$7</f>
        <v>121700.052</v>
      </c>
      <c r="R86" s="147">
        <f t="shared" si="31"/>
        <v>333.4248</v>
      </c>
      <c r="S86" s="148">
        <f>R86*$S$3*$S$7</f>
        <v>85190.036399999997</v>
      </c>
      <c r="T86" s="199"/>
      <c r="U86" s="150"/>
      <c r="V86" s="249"/>
      <c r="W86" s="249"/>
      <c r="X86" s="152"/>
      <c r="Y86" s="153"/>
      <c r="Z86" s="153"/>
      <c r="AA86" s="154"/>
      <c r="AB86" s="155">
        <f>S86*$AB$3</f>
        <v>49410.221111999992</v>
      </c>
      <c r="AC86" s="156">
        <f>S86*$AC$3</f>
        <v>11074.704732</v>
      </c>
      <c r="AD86" s="156">
        <f>S86*$AD$3</f>
        <v>7475.4256940999994</v>
      </c>
      <c r="AE86" s="156">
        <f>S86*$AE$3</f>
        <v>3407.6014559999999</v>
      </c>
      <c r="AF86" s="156">
        <f>S86*$AF$3</f>
        <v>1703.8007279999999</v>
      </c>
      <c r="AG86" s="156">
        <f>S86*$AG$3</f>
        <v>1703.8007279999999</v>
      </c>
      <c r="AH86" s="156">
        <f>S86*$AH$3</f>
        <v>851.90036399999997</v>
      </c>
      <c r="AI86" s="156">
        <f>S86*$AI$3</f>
        <v>1703.8007279999999</v>
      </c>
      <c r="AJ86" s="156">
        <f>S86*$AJ$3</f>
        <v>1703.8007279999999</v>
      </c>
      <c r="AK86" s="156">
        <f>S86*$AK$3</f>
        <v>5963.3025480000006</v>
      </c>
      <c r="AL86" s="157">
        <f t="shared" si="33"/>
        <v>26217.233702099998</v>
      </c>
      <c r="AM86" s="158">
        <f t="shared" si="34"/>
        <v>2200</v>
      </c>
      <c r="AN86" s="159">
        <v>0.2</v>
      </c>
      <c r="AO86" s="160">
        <f t="shared" si="35"/>
        <v>696601461.19448245</v>
      </c>
      <c r="AP86" s="161">
        <f t="shared" si="36"/>
        <v>193500.42136738871</v>
      </c>
      <c r="AQ86" s="162">
        <f t="shared" si="37"/>
        <v>38700.084273477747</v>
      </c>
      <c r="AR86" s="580">
        <f t="shared" si="38"/>
        <v>5.5222722992976241</v>
      </c>
      <c r="AS86" s="435">
        <f t="shared" si="39"/>
        <v>5.5222722992976241</v>
      </c>
      <c r="AT86" s="187"/>
      <c r="AU86" s="166"/>
      <c r="AV86" s="167"/>
      <c r="AW86" s="146"/>
      <c r="AX86" s="168"/>
    </row>
    <row r="87" spans="1:50" ht="11.25" x14ac:dyDescent="0.25">
      <c r="A87" s="140">
        <v>14</v>
      </c>
      <c r="B87" s="221" t="s">
        <v>136</v>
      </c>
      <c r="C87" s="235"/>
      <c r="D87" s="236"/>
      <c r="E87" s="236"/>
      <c r="F87" s="236"/>
      <c r="G87" s="236"/>
      <c r="H87" s="236"/>
      <c r="I87" s="236"/>
      <c r="J87" s="236"/>
      <c r="K87" s="236"/>
      <c r="L87" s="236"/>
      <c r="M87" s="236">
        <v>59396</v>
      </c>
      <c r="N87" s="236"/>
      <c r="O87" s="237"/>
      <c r="P87" s="223">
        <f t="shared" si="29"/>
        <v>59396</v>
      </c>
      <c r="Q87" s="147">
        <f t="shared" ref="Q87:Q92" si="40">P87*$Q$8</f>
        <v>6533.56</v>
      </c>
      <c r="R87" s="147">
        <f t="shared" si="31"/>
        <v>17.900164383561645</v>
      </c>
      <c r="S87" s="148">
        <f t="shared" ref="S87:S92" si="41">R87*$S$3*$S$8</f>
        <v>3920.136</v>
      </c>
      <c r="T87" s="199"/>
      <c r="U87" s="150"/>
      <c r="V87" s="249"/>
      <c r="W87" s="249"/>
      <c r="X87" s="152"/>
      <c r="Y87" s="153"/>
      <c r="Z87" s="153"/>
      <c r="AA87" s="154"/>
      <c r="AB87" s="155">
        <f>S87*$AB$3</f>
        <v>2273.6788799999999</v>
      </c>
      <c r="AC87" s="156">
        <f>S87*$AC$3</f>
        <v>509.61768000000001</v>
      </c>
      <c r="AD87" s="156">
        <f>S87*$AD$3</f>
        <v>343.99193399999996</v>
      </c>
      <c r="AE87" s="156">
        <f>S87*$AE$3</f>
        <v>156.80544</v>
      </c>
      <c r="AF87" s="156">
        <f>S87*$AF$3</f>
        <v>78.402720000000002</v>
      </c>
      <c r="AG87" s="156">
        <f>S87*$AG$3</f>
        <v>78.402720000000002</v>
      </c>
      <c r="AH87" s="156">
        <f>S87*$AH$3</f>
        <v>39.201360000000001</v>
      </c>
      <c r="AI87" s="156">
        <f>S87*$AI$3</f>
        <v>78.402720000000002</v>
      </c>
      <c r="AJ87" s="156">
        <f>S87*$AJ$3</f>
        <v>78.402720000000002</v>
      </c>
      <c r="AK87" s="156">
        <f>S87*$AK$3</f>
        <v>274.40952000000004</v>
      </c>
      <c r="AL87" s="157">
        <f t="shared" si="33"/>
        <v>1206.4218539999999</v>
      </c>
      <c r="AM87" s="158">
        <f t="shared" si="34"/>
        <v>2200</v>
      </c>
      <c r="AN87" s="159">
        <v>0.2</v>
      </c>
      <c r="AO87" s="160">
        <f t="shared" si="35"/>
        <v>32055068.656844638</v>
      </c>
      <c r="AP87" s="161">
        <f t="shared" si="36"/>
        <v>8904.1864503472589</v>
      </c>
      <c r="AQ87" s="162">
        <f t="shared" si="37"/>
        <v>1780.8372900694519</v>
      </c>
      <c r="AR87" s="580">
        <f t="shared" si="38"/>
        <v>0.25411491011265008</v>
      </c>
      <c r="AS87" s="582">
        <f t="shared" si="39"/>
        <v>0.25411491011265008</v>
      </c>
      <c r="AT87" s="165"/>
      <c r="AU87" s="166"/>
      <c r="AV87" s="167"/>
      <c r="AW87" s="146"/>
      <c r="AX87" s="168"/>
    </row>
    <row r="88" spans="1:50" ht="11.25" x14ac:dyDescent="0.25">
      <c r="A88" s="140">
        <v>15</v>
      </c>
      <c r="B88" s="221" t="s">
        <v>137</v>
      </c>
      <c r="C88" s="235"/>
      <c r="D88" s="236"/>
      <c r="E88" s="236"/>
      <c r="F88" s="236"/>
      <c r="G88" s="236"/>
      <c r="H88" s="236"/>
      <c r="I88" s="236"/>
      <c r="J88" s="236"/>
      <c r="K88" s="236"/>
      <c r="L88" s="236"/>
      <c r="M88" s="236">
        <v>56866</v>
      </c>
      <c r="N88" s="236"/>
      <c r="O88" s="237"/>
      <c r="P88" s="223">
        <f t="shared" si="29"/>
        <v>56866</v>
      </c>
      <c r="Q88" s="147">
        <f t="shared" si="40"/>
        <v>6255.26</v>
      </c>
      <c r="R88" s="147">
        <f t="shared" si="31"/>
        <v>17.137698630136988</v>
      </c>
      <c r="S88" s="148">
        <f t="shared" si="41"/>
        <v>3753.1560000000004</v>
      </c>
      <c r="T88" s="199"/>
      <c r="U88" s="150"/>
      <c r="V88" s="249"/>
      <c r="W88" s="249"/>
      <c r="X88" s="152"/>
      <c r="Y88" s="153"/>
      <c r="Z88" s="153"/>
      <c r="AA88" s="154"/>
      <c r="AB88" s="155">
        <f>S88*$AB$3</f>
        <v>2176.8304800000001</v>
      </c>
      <c r="AC88" s="156">
        <f>S88*$AC$3</f>
        <v>487.91028000000006</v>
      </c>
      <c r="AD88" s="156">
        <f>S88*$AD$3</f>
        <v>329.33943900000003</v>
      </c>
      <c r="AE88" s="156">
        <f>S88*$AE$3</f>
        <v>150.12624000000002</v>
      </c>
      <c r="AF88" s="156">
        <f>S88*$AF$3</f>
        <v>75.063120000000012</v>
      </c>
      <c r="AG88" s="156">
        <f>S88*$AG$3</f>
        <v>75.063120000000012</v>
      </c>
      <c r="AH88" s="156">
        <f>S88*$AH$3</f>
        <v>37.531560000000006</v>
      </c>
      <c r="AI88" s="156">
        <f>S88*$AI$3</f>
        <v>75.063120000000012</v>
      </c>
      <c r="AJ88" s="156">
        <f>S88*$AJ$3</f>
        <v>75.063120000000012</v>
      </c>
      <c r="AK88" s="156">
        <f>S88*$AK$3</f>
        <v>262.72092000000004</v>
      </c>
      <c r="AL88" s="157">
        <f t="shared" si="33"/>
        <v>1155.0337590000001</v>
      </c>
      <c r="AM88" s="158">
        <f t="shared" si="34"/>
        <v>2200</v>
      </c>
      <c r="AN88" s="159">
        <v>0.2</v>
      </c>
      <c r="AO88" s="160">
        <f t="shared" si="35"/>
        <v>30689668.230859444</v>
      </c>
      <c r="AP88" s="161">
        <f t="shared" si="36"/>
        <v>8524.9085238980279</v>
      </c>
      <c r="AQ88" s="162">
        <f t="shared" si="37"/>
        <v>1704.9817047796057</v>
      </c>
      <c r="AR88" s="580">
        <f t="shared" si="38"/>
        <v>0.24329076837608529</v>
      </c>
      <c r="AS88" s="582">
        <f t="shared" si="39"/>
        <v>0.24329076837608529</v>
      </c>
      <c r="AT88" s="165"/>
      <c r="AU88" s="166"/>
      <c r="AV88" s="167"/>
      <c r="AW88" s="146"/>
      <c r="AX88" s="168"/>
    </row>
    <row r="89" spans="1:50" ht="11.25" x14ac:dyDescent="0.25">
      <c r="A89" s="140">
        <v>16</v>
      </c>
      <c r="B89" s="221" t="s">
        <v>138</v>
      </c>
      <c r="C89" s="235"/>
      <c r="D89" s="236"/>
      <c r="E89" s="236"/>
      <c r="F89" s="236"/>
      <c r="G89" s="236"/>
      <c r="H89" s="236"/>
      <c r="I89" s="236"/>
      <c r="J89" s="236"/>
      <c r="K89" s="236"/>
      <c r="L89" s="236"/>
      <c r="M89" s="236">
        <v>47008</v>
      </c>
      <c r="N89" s="236"/>
      <c r="O89" s="237"/>
      <c r="P89" s="223">
        <f t="shared" si="29"/>
        <v>47008</v>
      </c>
      <c r="Q89" s="147">
        <f t="shared" si="40"/>
        <v>5170.88</v>
      </c>
      <c r="R89" s="147">
        <f t="shared" si="31"/>
        <v>14.166794520547946</v>
      </c>
      <c r="S89" s="148">
        <f t="shared" si="41"/>
        <v>3102.5279999999998</v>
      </c>
      <c r="T89" s="199"/>
      <c r="U89" s="150"/>
      <c r="V89" s="249"/>
      <c r="W89" s="249"/>
      <c r="X89" s="152"/>
      <c r="Y89" s="153"/>
      <c r="Z89" s="153"/>
      <c r="AA89" s="154"/>
      <c r="AB89" s="155">
        <f>S89*$AB$3</f>
        <v>1799.4662399999997</v>
      </c>
      <c r="AC89" s="156">
        <f>S89*$AC$3</f>
        <v>403.32864000000001</v>
      </c>
      <c r="AD89" s="156">
        <f>S89*$AD$3</f>
        <v>272.24683199999998</v>
      </c>
      <c r="AE89" s="156">
        <f>S89*$AE$3</f>
        <v>124.10111999999999</v>
      </c>
      <c r="AF89" s="156">
        <f>S89*$AF$3</f>
        <v>62.050559999999997</v>
      </c>
      <c r="AG89" s="156">
        <f>S89*$AG$3</f>
        <v>62.050559999999997</v>
      </c>
      <c r="AH89" s="156">
        <f>S89*$AH$3</f>
        <v>31.025279999999999</v>
      </c>
      <c r="AI89" s="156">
        <f>S89*$AI$3</f>
        <v>62.050559999999997</v>
      </c>
      <c r="AJ89" s="156">
        <f>S89*$AJ$3</f>
        <v>62.050559999999997</v>
      </c>
      <c r="AK89" s="156">
        <f>S89*$AK$3</f>
        <v>217.17696000000001</v>
      </c>
      <c r="AL89" s="157">
        <f t="shared" si="33"/>
        <v>954.80299200000002</v>
      </c>
      <c r="AM89" s="158">
        <f t="shared" si="34"/>
        <v>2200</v>
      </c>
      <c r="AN89" s="159">
        <v>0.2</v>
      </c>
      <c r="AO89" s="160">
        <f t="shared" si="35"/>
        <v>25369463.725182716</v>
      </c>
      <c r="AP89" s="161">
        <f t="shared" si="36"/>
        <v>7047.0738207610593</v>
      </c>
      <c r="AQ89" s="162">
        <f t="shared" si="37"/>
        <v>1409.414764152212</v>
      </c>
      <c r="AR89" s="580">
        <f t="shared" si="38"/>
        <v>0.20111512045550969</v>
      </c>
      <c r="AS89" s="582">
        <f t="shared" si="39"/>
        <v>0.20111512045550969</v>
      </c>
      <c r="AT89" s="165"/>
      <c r="AU89" s="166"/>
      <c r="AV89" s="167"/>
      <c r="AW89" s="146"/>
      <c r="AX89" s="168"/>
    </row>
    <row r="90" spans="1:50" ht="11.25" x14ac:dyDescent="0.25">
      <c r="A90" s="140">
        <v>17</v>
      </c>
      <c r="B90" s="221" t="s">
        <v>139</v>
      </c>
      <c r="C90" s="235"/>
      <c r="D90" s="236"/>
      <c r="E90" s="236"/>
      <c r="F90" s="236"/>
      <c r="G90" s="236"/>
      <c r="H90" s="236"/>
      <c r="I90" s="236"/>
      <c r="J90" s="236"/>
      <c r="K90" s="236"/>
      <c r="L90" s="236"/>
      <c r="M90" s="236">
        <v>111312</v>
      </c>
      <c r="N90" s="236"/>
      <c r="O90" s="237"/>
      <c r="P90" s="223">
        <f t="shared" si="29"/>
        <v>111312</v>
      </c>
      <c r="Q90" s="147">
        <f t="shared" si="40"/>
        <v>12244.32</v>
      </c>
      <c r="R90" s="147">
        <f t="shared" si="31"/>
        <v>33.546082191780819</v>
      </c>
      <c r="S90" s="148">
        <f t="shared" si="41"/>
        <v>7346.5919999999996</v>
      </c>
      <c r="T90" s="199"/>
      <c r="U90" s="150"/>
      <c r="V90" s="249"/>
      <c r="W90" s="249"/>
      <c r="X90" s="152"/>
      <c r="Y90" s="153"/>
      <c r="Z90" s="153"/>
      <c r="AA90" s="154"/>
      <c r="AB90" s="155">
        <f>S90*$AB$3</f>
        <v>4261.0233599999992</v>
      </c>
      <c r="AC90" s="156">
        <f>S90*$AC$3</f>
        <v>955.05696</v>
      </c>
      <c r="AD90" s="156">
        <f>S90*$AD$3</f>
        <v>644.6634479999999</v>
      </c>
      <c r="AE90" s="156">
        <f>S90*$AE$3</f>
        <v>293.86367999999999</v>
      </c>
      <c r="AF90" s="156">
        <f>S90*$AF$3</f>
        <v>146.93183999999999</v>
      </c>
      <c r="AG90" s="156">
        <f>S90*$AG$3</f>
        <v>146.93183999999999</v>
      </c>
      <c r="AH90" s="156">
        <f>S90*$AH$3</f>
        <v>73.465919999999997</v>
      </c>
      <c r="AI90" s="156">
        <f>S90*$AI$3</f>
        <v>146.93183999999999</v>
      </c>
      <c r="AJ90" s="156">
        <f>S90*$AJ$3</f>
        <v>146.93183999999999</v>
      </c>
      <c r="AK90" s="156">
        <f>S90*$AK$3</f>
        <v>514.26143999999999</v>
      </c>
      <c r="AL90" s="157">
        <f t="shared" si="33"/>
        <v>2260.9136880000001</v>
      </c>
      <c r="AM90" s="158">
        <f t="shared" si="34"/>
        <v>2200</v>
      </c>
      <c r="AN90" s="159">
        <v>0.2</v>
      </c>
      <c r="AO90" s="160">
        <f t="shared" si="35"/>
        <v>60073301.271646075</v>
      </c>
      <c r="AP90" s="161">
        <f t="shared" si="36"/>
        <v>16687.029465975047</v>
      </c>
      <c r="AQ90" s="162">
        <f t="shared" si="37"/>
        <v>3337.4058931950094</v>
      </c>
      <c r="AR90" s="580">
        <f t="shared" si="38"/>
        <v>0.47622800987371711</v>
      </c>
      <c r="AS90" s="582">
        <f t="shared" si="39"/>
        <v>0.47622800987371711</v>
      </c>
      <c r="AT90" s="165"/>
      <c r="AU90" s="166"/>
      <c r="AV90" s="167"/>
      <c r="AW90" s="146"/>
      <c r="AX90" s="168"/>
    </row>
    <row r="91" spans="1:50" ht="11.25" x14ac:dyDescent="0.25">
      <c r="A91" s="140">
        <v>18</v>
      </c>
      <c r="B91" s="221" t="s">
        <v>140</v>
      </c>
      <c r="C91" s="235"/>
      <c r="D91" s="236"/>
      <c r="E91" s="236"/>
      <c r="F91" s="236"/>
      <c r="G91" s="236"/>
      <c r="H91" s="236"/>
      <c r="I91" s="236"/>
      <c r="J91" s="236"/>
      <c r="K91" s="236"/>
      <c r="L91" s="236"/>
      <c r="M91" s="236">
        <v>116825</v>
      </c>
      <c r="N91" s="236"/>
      <c r="O91" s="237"/>
      <c r="P91" s="223">
        <f t="shared" si="29"/>
        <v>116825</v>
      </c>
      <c r="Q91" s="147">
        <f t="shared" si="40"/>
        <v>12850.75</v>
      </c>
      <c r="R91" s="147">
        <f t="shared" si="31"/>
        <v>35.207534246575342</v>
      </c>
      <c r="S91" s="148">
        <f t="shared" si="41"/>
        <v>7710.45</v>
      </c>
      <c r="T91" s="199"/>
      <c r="U91" s="150"/>
      <c r="V91" s="249"/>
      <c r="W91" s="249"/>
      <c r="X91" s="152"/>
      <c r="Y91" s="153"/>
      <c r="Z91" s="153"/>
      <c r="AA91" s="154"/>
      <c r="AB91" s="155">
        <f>S91*$AB$3</f>
        <v>4472.0609999999997</v>
      </c>
      <c r="AC91" s="156">
        <f>S91*$AC$3</f>
        <v>1002.3585</v>
      </c>
      <c r="AD91" s="156">
        <f>S91*$AD$3</f>
        <v>676.59198749999996</v>
      </c>
      <c r="AE91" s="156">
        <f>S91*$AE$3</f>
        <v>308.41800000000001</v>
      </c>
      <c r="AF91" s="156">
        <f>S91*$AF$3</f>
        <v>154.209</v>
      </c>
      <c r="AG91" s="156">
        <f>S91*$AG$3</f>
        <v>154.209</v>
      </c>
      <c r="AH91" s="156">
        <f>S91*$AH$3</f>
        <v>77.104500000000002</v>
      </c>
      <c r="AI91" s="156">
        <f>S91*$AI$3</f>
        <v>154.209</v>
      </c>
      <c r="AJ91" s="156">
        <f>S91*$AJ$3</f>
        <v>154.209</v>
      </c>
      <c r="AK91" s="156">
        <f>S91*$AK$3</f>
        <v>539.73149999999998</v>
      </c>
      <c r="AL91" s="157">
        <f t="shared" si="33"/>
        <v>2372.8909874999995</v>
      </c>
      <c r="AM91" s="158">
        <f t="shared" si="34"/>
        <v>2200</v>
      </c>
      <c r="AN91" s="159">
        <v>0.2</v>
      </c>
      <c r="AO91" s="160">
        <f t="shared" si="35"/>
        <v>63048578.958782986</v>
      </c>
      <c r="AP91" s="161">
        <f t="shared" si="36"/>
        <v>17513.495556297028</v>
      </c>
      <c r="AQ91" s="162">
        <f t="shared" si="37"/>
        <v>3502.699111259406</v>
      </c>
      <c r="AR91" s="580">
        <f t="shared" si="38"/>
        <v>0.49981437089888786</v>
      </c>
      <c r="AS91" s="582">
        <f t="shared" si="39"/>
        <v>0.49981437089888786</v>
      </c>
      <c r="AT91" s="165"/>
      <c r="AU91" s="166"/>
      <c r="AV91" s="167"/>
      <c r="AW91" s="146"/>
      <c r="AX91" s="168"/>
    </row>
    <row r="92" spans="1:50" ht="11.25" x14ac:dyDescent="0.25">
      <c r="A92" s="140">
        <v>19</v>
      </c>
      <c r="B92" s="221" t="s">
        <v>141</v>
      </c>
      <c r="C92" s="235"/>
      <c r="D92" s="236"/>
      <c r="E92" s="236"/>
      <c r="F92" s="236"/>
      <c r="G92" s="236"/>
      <c r="H92" s="236"/>
      <c r="I92" s="236"/>
      <c r="J92" s="236"/>
      <c r="K92" s="236"/>
      <c r="L92" s="236"/>
      <c r="M92" s="236">
        <v>79043</v>
      </c>
      <c r="N92" s="236"/>
      <c r="O92" s="237"/>
      <c r="P92" s="223">
        <f t="shared" si="29"/>
        <v>79043</v>
      </c>
      <c r="Q92" s="147">
        <f t="shared" si="40"/>
        <v>8694.73</v>
      </c>
      <c r="R92" s="147">
        <f t="shared" si="31"/>
        <v>23.821178082191778</v>
      </c>
      <c r="S92" s="148">
        <f t="shared" si="41"/>
        <v>5216.8379999999997</v>
      </c>
      <c r="T92" s="199"/>
      <c r="U92" s="150"/>
      <c r="V92" s="249"/>
      <c r="W92" s="249"/>
      <c r="X92" s="152"/>
      <c r="Y92" s="153"/>
      <c r="Z92" s="153"/>
      <c r="AA92" s="154"/>
      <c r="AB92" s="155">
        <f>S92*$AB$3</f>
        <v>3025.7660399999995</v>
      </c>
      <c r="AC92" s="156">
        <f>S92*$AC$3</f>
        <v>678.18894</v>
      </c>
      <c r="AD92" s="156">
        <f>S92*$AD$3</f>
        <v>457.77753449999994</v>
      </c>
      <c r="AE92" s="156">
        <f>S92*$AE$3</f>
        <v>208.67352</v>
      </c>
      <c r="AF92" s="156">
        <f>S92*$AF$3</f>
        <v>104.33676</v>
      </c>
      <c r="AG92" s="156">
        <f>S92*$AG$3</f>
        <v>104.33676</v>
      </c>
      <c r="AH92" s="156">
        <f>S92*$AH$3</f>
        <v>52.168379999999999</v>
      </c>
      <c r="AI92" s="156">
        <f>S92*$AI$3</f>
        <v>104.33676</v>
      </c>
      <c r="AJ92" s="156">
        <f>S92*$AJ$3</f>
        <v>104.33676</v>
      </c>
      <c r="AK92" s="156">
        <f>S92*$AK$3</f>
        <v>365.17866000000004</v>
      </c>
      <c r="AL92" s="157">
        <f t="shared" si="33"/>
        <v>1605.4818945</v>
      </c>
      <c r="AM92" s="158">
        <f t="shared" si="34"/>
        <v>2200</v>
      </c>
      <c r="AN92" s="159">
        <v>0.2</v>
      </c>
      <c r="AO92" s="160">
        <f t="shared" si="35"/>
        <v>42658239.474762112</v>
      </c>
      <c r="AP92" s="161">
        <f t="shared" si="36"/>
        <v>11849.511913172575</v>
      </c>
      <c r="AQ92" s="162">
        <f t="shared" si="37"/>
        <v>2369.9023826345151</v>
      </c>
      <c r="AR92" s="580">
        <f t="shared" si="38"/>
        <v>0.33817100208825845</v>
      </c>
      <c r="AS92" s="582">
        <f t="shared" si="39"/>
        <v>0.33817100208825845</v>
      </c>
      <c r="AT92" s="165"/>
      <c r="AU92" s="166"/>
      <c r="AV92" s="167"/>
      <c r="AW92" s="146"/>
      <c r="AX92" s="168"/>
    </row>
    <row r="93" spans="1:50" s="263" customFormat="1" ht="11.25" x14ac:dyDescent="0.25">
      <c r="A93" s="225"/>
      <c r="B93" s="121" t="s">
        <v>142</v>
      </c>
      <c r="C93" s="240">
        <f>SUM(C74:C92)</f>
        <v>0</v>
      </c>
      <c r="D93" s="240">
        <f t="shared" ref="D93:O93" si="42">SUM(D74:D92)</f>
        <v>0</v>
      </c>
      <c r="E93" s="240">
        <f t="shared" si="42"/>
        <v>0</v>
      </c>
      <c r="F93" s="240">
        <f t="shared" si="42"/>
        <v>0</v>
      </c>
      <c r="G93" s="240">
        <f t="shared" si="42"/>
        <v>0</v>
      </c>
      <c r="H93" s="240">
        <f t="shared" si="42"/>
        <v>0</v>
      </c>
      <c r="I93" s="240">
        <v>4632152</v>
      </c>
      <c r="J93" s="240">
        <v>4697764</v>
      </c>
      <c r="K93" s="240">
        <v>4763099</v>
      </c>
      <c r="L93" s="240">
        <v>4827973</v>
      </c>
      <c r="M93" s="240">
        <f>SUM(M74:M92)</f>
        <v>4846909</v>
      </c>
      <c r="N93" s="240">
        <f t="shared" si="42"/>
        <v>0</v>
      </c>
      <c r="O93" s="240">
        <f t="shared" si="42"/>
        <v>0</v>
      </c>
      <c r="P93" s="240">
        <f>SUM(P74:P92)</f>
        <v>4846909</v>
      </c>
      <c r="Q93" s="240">
        <f>SUM(Q74:Q92)</f>
        <v>563168.22199999983</v>
      </c>
      <c r="R93" s="240">
        <f>SUM(R74:R92)</f>
        <v>1542.9266356164385</v>
      </c>
      <c r="S93" s="240">
        <f>SUM(S74:S92)</f>
        <v>350070.93840000004</v>
      </c>
      <c r="T93" s="199"/>
      <c r="U93" s="179"/>
      <c r="V93" s="180"/>
      <c r="W93" s="180"/>
      <c r="X93" s="227"/>
      <c r="Y93" s="181"/>
      <c r="Z93" s="181"/>
      <c r="AA93" s="182"/>
      <c r="AB93" s="240">
        <f>SUM(AB74:AB92)</f>
        <v>203041.14427199998</v>
      </c>
      <c r="AC93" s="244">
        <f t="shared" ref="AC93:AK93" si="43">SUM(AC74:AC92)</f>
        <v>45509.221992000006</v>
      </c>
      <c r="AD93" s="244">
        <f t="shared" si="43"/>
        <v>30718.724844600001</v>
      </c>
      <c r="AE93" s="244">
        <f t="shared" si="43"/>
        <v>14002.837535999997</v>
      </c>
      <c r="AF93" s="244">
        <f t="shared" si="43"/>
        <v>7001.4187679999986</v>
      </c>
      <c r="AG93" s="244">
        <f t="shared" si="43"/>
        <v>7001.4187679999986</v>
      </c>
      <c r="AH93" s="244">
        <f t="shared" si="43"/>
        <v>3500.7093839999993</v>
      </c>
      <c r="AI93" s="244">
        <f t="shared" si="43"/>
        <v>7001.4187679999986</v>
      </c>
      <c r="AJ93" s="244">
        <f t="shared" si="43"/>
        <v>7001.4187679999986</v>
      </c>
      <c r="AK93" s="244">
        <f t="shared" si="43"/>
        <v>24504.965688000004</v>
      </c>
      <c r="AL93" s="245">
        <f>SUM(AL74:AL92)</f>
        <v>107734.33129259998</v>
      </c>
      <c r="AM93" s="261"/>
      <c r="AN93" s="262"/>
      <c r="AO93" s="184">
        <f>SUM(AO74:AO92)</f>
        <v>2862540474.4065075</v>
      </c>
      <c r="AP93" s="184">
        <f t="shared" ref="AP93:AW93" si="44">SUM(AP74:AP92)</f>
        <v>795150.19539159595</v>
      </c>
      <c r="AQ93" s="184">
        <f t="shared" si="44"/>
        <v>159030.03907831921</v>
      </c>
      <c r="AR93" s="186">
        <f t="shared" si="44"/>
        <v>22.692642562545554</v>
      </c>
      <c r="AS93" s="435">
        <f t="shared" si="44"/>
        <v>22.692642562545554</v>
      </c>
      <c r="AT93" s="187"/>
      <c r="AU93" s="246">
        <f t="shared" si="44"/>
        <v>0</v>
      </c>
      <c r="AV93" s="246"/>
      <c r="AW93" s="185">
        <f t="shared" si="44"/>
        <v>0</v>
      </c>
      <c r="AX93" s="189"/>
    </row>
    <row r="94" spans="1:50" s="139" customFormat="1" ht="11.25" x14ac:dyDescent="0.25">
      <c r="A94" s="247"/>
      <c r="B94" s="152"/>
      <c r="C94" s="247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248"/>
      <c r="P94" s="249"/>
      <c r="Q94" s="250"/>
      <c r="R94" s="250"/>
      <c r="S94" s="251"/>
      <c r="T94" s="199"/>
      <c r="U94" s="179"/>
      <c r="V94" s="249"/>
      <c r="W94" s="249"/>
      <c r="X94" s="152"/>
      <c r="Y94" s="153"/>
      <c r="Z94" s="153"/>
      <c r="AA94" s="154"/>
      <c r="AB94" s="247"/>
      <c r="AC94" s="252"/>
      <c r="AD94" s="252"/>
      <c r="AE94" s="252"/>
      <c r="AF94" s="252"/>
      <c r="AG94" s="252"/>
      <c r="AH94" s="252"/>
      <c r="AI94" s="252"/>
      <c r="AJ94" s="252"/>
      <c r="AK94" s="252"/>
      <c r="AL94" s="214"/>
      <c r="AM94" s="203"/>
      <c r="AN94" s="204"/>
      <c r="AO94" s="203"/>
      <c r="AP94" s="205"/>
      <c r="AQ94" s="206"/>
      <c r="AR94" s="253"/>
      <c r="AS94" s="254"/>
      <c r="AT94" s="255"/>
      <c r="AU94" s="256"/>
      <c r="AV94" s="257"/>
      <c r="AW94" s="214"/>
      <c r="AX94" s="212"/>
    </row>
    <row r="95" spans="1:50" s="139" customFormat="1" ht="11.25" x14ac:dyDescent="0.25">
      <c r="A95" s="120"/>
      <c r="B95" s="258" t="s">
        <v>143</v>
      </c>
      <c r="C95" s="122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213"/>
      <c r="P95" s="76"/>
      <c r="Q95" s="108"/>
      <c r="R95" s="108"/>
      <c r="S95" s="94"/>
      <c r="T95" s="199"/>
      <c r="U95" s="179"/>
      <c r="V95" s="180"/>
      <c r="W95" s="180"/>
      <c r="X95" s="214"/>
      <c r="Y95" s="181"/>
      <c r="Z95" s="181"/>
      <c r="AA95" s="182"/>
      <c r="AB95" s="62"/>
      <c r="AC95" s="215"/>
      <c r="AD95" s="215"/>
      <c r="AE95" s="215"/>
      <c r="AF95" s="215"/>
      <c r="AG95" s="215"/>
      <c r="AH95" s="215"/>
      <c r="AI95" s="215"/>
      <c r="AJ95" s="215"/>
      <c r="AK95" s="215"/>
      <c r="AL95" s="125"/>
      <c r="AM95" s="75"/>
      <c r="AN95" s="216"/>
      <c r="AO95" s="75"/>
      <c r="AP95" s="51"/>
      <c r="AQ95" s="259"/>
      <c r="AR95" s="583"/>
      <c r="AS95" s="584"/>
      <c r="AT95" s="220"/>
      <c r="AU95" s="135"/>
      <c r="AV95" s="136"/>
      <c r="AW95" s="137"/>
      <c r="AX95" s="138"/>
    </row>
    <row r="96" spans="1:50" ht="11.25" x14ac:dyDescent="0.25">
      <c r="A96" s="140">
        <v>1</v>
      </c>
      <c r="B96" s="63" t="s">
        <v>144</v>
      </c>
      <c r="C96" s="235"/>
      <c r="D96" s="236"/>
      <c r="E96" s="236"/>
      <c r="F96" s="236"/>
      <c r="G96" s="236"/>
      <c r="H96" s="236"/>
      <c r="I96" s="236"/>
      <c r="J96" s="236">
        <v>270177</v>
      </c>
      <c r="K96" s="236">
        <v>274757</v>
      </c>
      <c r="L96" s="236">
        <v>279234</v>
      </c>
      <c r="M96" s="236">
        <v>291044</v>
      </c>
      <c r="N96" s="236"/>
      <c r="O96" s="237"/>
      <c r="P96" s="223">
        <f t="shared" ref="P96:P107" si="45">MAX(C96:O96)</f>
        <v>291044</v>
      </c>
      <c r="Q96" s="147">
        <f>P96*$Q$8</f>
        <v>32014.84</v>
      </c>
      <c r="R96" s="147">
        <f t="shared" ref="R96:R107" si="46">Q96/$R$3</f>
        <v>87.711890410958901</v>
      </c>
      <c r="S96" s="148">
        <f>R96*$S$3*$S$8</f>
        <v>19208.903999999999</v>
      </c>
      <c r="T96" s="199"/>
      <c r="U96" s="150"/>
      <c r="V96" s="249"/>
      <c r="W96" s="249"/>
      <c r="X96" s="152"/>
      <c r="Y96" s="153"/>
      <c r="Z96" s="153"/>
      <c r="AA96" s="154"/>
      <c r="AB96" s="155">
        <f>S96*$AB$3</f>
        <v>11141.164319999998</v>
      </c>
      <c r="AC96" s="156">
        <f>S96*$AC$3</f>
        <v>2497.1575199999997</v>
      </c>
      <c r="AD96" s="156">
        <f>S96*$AD$3</f>
        <v>1685.5813259999998</v>
      </c>
      <c r="AE96" s="156">
        <f>S96*$AE$3</f>
        <v>768.35615999999993</v>
      </c>
      <c r="AF96" s="156">
        <f>S96*$AF$3</f>
        <v>384.17807999999997</v>
      </c>
      <c r="AG96" s="156">
        <f>S96*$AG$3</f>
        <v>384.17807999999997</v>
      </c>
      <c r="AH96" s="156">
        <f>S96*$AH$3</f>
        <v>192.08903999999998</v>
      </c>
      <c r="AI96" s="156">
        <f>S96*$AI$3</f>
        <v>384.17807999999997</v>
      </c>
      <c r="AJ96" s="156">
        <f>S96*$AJ$3</f>
        <v>384.17807999999997</v>
      </c>
      <c r="AK96" s="156">
        <f>S96*$AK$3</f>
        <v>1344.62328</v>
      </c>
      <c r="AL96" s="157">
        <f t="shared" ref="AL96:AL107" si="47">SUM(AC96:AH96)</f>
        <v>5911.5402059999988</v>
      </c>
      <c r="AM96" s="158">
        <f t="shared" ref="AM96:AM107" si="48">$AM$3</f>
        <v>2200</v>
      </c>
      <c r="AN96" s="159">
        <v>0.2</v>
      </c>
      <c r="AO96" s="160">
        <f t="shared" ref="AO96:AO107" si="49">(AB96+AL96)*AM96*$AO$3</f>
        <v>157071779.28080493</v>
      </c>
      <c r="AP96" s="161">
        <f t="shared" ref="AP96:AP107" si="50">AO96*$AP$3</f>
        <v>43631.053290707576</v>
      </c>
      <c r="AQ96" s="162">
        <f t="shared" ref="AQ96:AQ107" si="51">AP96*$AQ$3</f>
        <v>8726.2106581415155</v>
      </c>
      <c r="AR96" s="580">
        <f t="shared" ref="AR96:AR107" si="52">AQ96/$AR$3</f>
        <v>1.2451784614927961</v>
      </c>
      <c r="AS96" s="582">
        <f t="shared" ref="AS96:AS107" si="53">AR96</f>
        <v>1.2451784614927961</v>
      </c>
      <c r="AT96" s="165"/>
      <c r="AU96" s="166"/>
      <c r="AV96" s="167"/>
      <c r="AW96" s="146"/>
      <c r="AX96" s="168"/>
    </row>
    <row r="97" spans="1:50" ht="11.25" x14ac:dyDescent="0.25">
      <c r="A97" s="140">
        <v>2</v>
      </c>
      <c r="B97" s="63" t="s">
        <v>145</v>
      </c>
      <c r="C97" s="235"/>
      <c r="D97" s="236"/>
      <c r="E97" s="236"/>
      <c r="F97" s="236"/>
      <c r="G97" s="236"/>
      <c r="H97" s="236"/>
      <c r="I97" s="236"/>
      <c r="J97" s="236">
        <v>317549</v>
      </c>
      <c r="K97" s="236">
        <v>322759</v>
      </c>
      <c r="L97" s="236">
        <v>330410</v>
      </c>
      <c r="M97" s="236">
        <v>362961</v>
      </c>
      <c r="N97" s="236"/>
      <c r="O97" s="237"/>
      <c r="P97" s="223">
        <f t="shared" si="45"/>
        <v>362961</v>
      </c>
      <c r="Q97" s="147">
        <f>P97*$Q$8</f>
        <v>39925.71</v>
      </c>
      <c r="R97" s="147">
        <f t="shared" si="46"/>
        <v>109.38550684931506</v>
      </c>
      <c r="S97" s="148">
        <f>R97*$S$3*$S$8</f>
        <v>23955.425999999999</v>
      </c>
      <c r="T97" s="199"/>
      <c r="U97" s="150"/>
      <c r="V97" s="249"/>
      <c r="W97" s="249"/>
      <c r="X97" s="152"/>
      <c r="Y97" s="153"/>
      <c r="Z97" s="153"/>
      <c r="AA97" s="154"/>
      <c r="AB97" s="155">
        <f>S97*$AB$3</f>
        <v>13894.147079999999</v>
      </c>
      <c r="AC97" s="156">
        <f>S97*$AC$3</f>
        <v>3114.2053799999999</v>
      </c>
      <c r="AD97" s="156">
        <f>S97*$AD$3</f>
        <v>2102.0886314999998</v>
      </c>
      <c r="AE97" s="156">
        <f>S97*$AE$3</f>
        <v>958.21704</v>
      </c>
      <c r="AF97" s="156">
        <f>S97*$AF$3</f>
        <v>479.10852</v>
      </c>
      <c r="AG97" s="156">
        <f>S97*$AG$3</f>
        <v>479.10852</v>
      </c>
      <c r="AH97" s="156">
        <f>S97*$AH$3</f>
        <v>239.55426</v>
      </c>
      <c r="AI97" s="156">
        <f>S97*$AI$3</f>
        <v>479.10852</v>
      </c>
      <c r="AJ97" s="156">
        <f>S97*$AJ$3</f>
        <v>479.10852</v>
      </c>
      <c r="AK97" s="156">
        <f>S97*$AK$3</f>
        <v>1676.8798200000001</v>
      </c>
      <c r="AL97" s="157">
        <f t="shared" si="47"/>
        <v>7372.2823514999991</v>
      </c>
      <c r="AM97" s="158">
        <f t="shared" si="48"/>
        <v>2200</v>
      </c>
      <c r="AN97" s="159">
        <v>0.2</v>
      </c>
      <c r="AO97" s="160">
        <f t="shared" si="49"/>
        <v>195884230.83636922</v>
      </c>
      <c r="AP97" s="161">
        <f t="shared" si="50"/>
        <v>54412.290696418801</v>
      </c>
      <c r="AQ97" s="162">
        <f t="shared" si="51"/>
        <v>10882.458139283761</v>
      </c>
      <c r="AR97" s="580">
        <f t="shared" si="52"/>
        <v>1.5528621774092124</v>
      </c>
      <c r="AS97" s="582">
        <f t="shared" si="53"/>
        <v>1.5528621774092124</v>
      </c>
      <c r="AT97" s="165"/>
      <c r="AU97" s="166"/>
      <c r="AV97" s="167"/>
      <c r="AW97" s="146"/>
      <c r="AX97" s="168"/>
    </row>
    <row r="98" spans="1:50" ht="11.25" x14ac:dyDescent="0.25">
      <c r="A98" s="140">
        <v>3</v>
      </c>
      <c r="B98" s="63" t="s">
        <v>146</v>
      </c>
      <c r="C98" s="235"/>
      <c r="D98" s="236"/>
      <c r="E98" s="236"/>
      <c r="F98" s="236"/>
      <c r="G98" s="236"/>
      <c r="H98" s="236"/>
      <c r="I98" s="236"/>
      <c r="J98" s="236">
        <v>658079</v>
      </c>
      <c r="K98" s="236">
        <v>670814</v>
      </c>
      <c r="L98" s="236">
        <v>683354</v>
      </c>
      <c r="M98" s="236">
        <v>662305</v>
      </c>
      <c r="N98" s="236"/>
      <c r="O98" s="237"/>
      <c r="P98" s="223">
        <f t="shared" si="45"/>
        <v>683354</v>
      </c>
      <c r="Q98" s="147">
        <f>P98*$Q$7</f>
        <v>99769.683999999994</v>
      </c>
      <c r="R98" s="147">
        <f t="shared" si="46"/>
        <v>273.34159999999997</v>
      </c>
      <c r="S98" s="148">
        <f>R98*$S$3*$S$7</f>
        <v>69838.778799999985</v>
      </c>
      <c r="T98" s="199"/>
      <c r="U98" s="150"/>
      <c r="V98" s="249"/>
      <c r="W98" s="249"/>
      <c r="X98" s="152"/>
      <c r="Y98" s="153"/>
      <c r="Z98" s="153"/>
      <c r="AA98" s="154"/>
      <c r="AB98" s="155">
        <f>S98*$AB$3</f>
        <v>40506.491703999985</v>
      </c>
      <c r="AC98" s="156">
        <f>S98*$AC$3</f>
        <v>9079.0412439999982</v>
      </c>
      <c r="AD98" s="156">
        <f>S98*$AD$3</f>
        <v>6128.3528396999982</v>
      </c>
      <c r="AE98" s="156">
        <f>S98*$AE$3</f>
        <v>2793.5511519999995</v>
      </c>
      <c r="AF98" s="156">
        <f>S98*$AF$3</f>
        <v>1396.7755759999998</v>
      </c>
      <c r="AG98" s="156">
        <f>S98*$AG$3</f>
        <v>1396.7755759999998</v>
      </c>
      <c r="AH98" s="156">
        <f>S98*$AH$3</f>
        <v>698.38778799999989</v>
      </c>
      <c r="AI98" s="156">
        <f>S98*$AI$3</f>
        <v>1396.7755759999998</v>
      </c>
      <c r="AJ98" s="156">
        <f>S98*$AJ$3</f>
        <v>1396.7755759999998</v>
      </c>
      <c r="AK98" s="156">
        <f>S98*$AK$3</f>
        <v>4888.7145159999991</v>
      </c>
      <c r="AL98" s="157">
        <f t="shared" si="47"/>
        <v>21492.884175699997</v>
      </c>
      <c r="AM98" s="158">
        <f t="shared" si="48"/>
        <v>2200</v>
      </c>
      <c r="AN98" s="159">
        <v>0.2</v>
      </c>
      <c r="AO98" s="160">
        <f t="shared" si="49"/>
        <v>571073771.25288129</v>
      </c>
      <c r="AP98" s="161">
        <f t="shared" si="50"/>
        <v>158631.61581632862</v>
      </c>
      <c r="AQ98" s="162">
        <f t="shared" si="51"/>
        <v>31726.323163265726</v>
      </c>
      <c r="AR98" s="580">
        <f t="shared" si="52"/>
        <v>4.5271579856258173</v>
      </c>
      <c r="AS98" s="582">
        <f t="shared" si="53"/>
        <v>4.5271579856258173</v>
      </c>
      <c r="AT98" s="165"/>
      <c r="AU98" s="166"/>
      <c r="AV98" s="167"/>
      <c r="AW98" s="146"/>
      <c r="AX98" s="168"/>
    </row>
    <row r="99" spans="1:50" ht="11.25" x14ac:dyDescent="0.25">
      <c r="A99" s="140">
        <v>4</v>
      </c>
      <c r="B99" s="63" t="s">
        <v>147</v>
      </c>
      <c r="C99" s="235"/>
      <c r="D99" s="236"/>
      <c r="E99" s="236"/>
      <c r="F99" s="236"/>
      <c r="G99" s="236"/>
      <c r="H99" s="236"/>
      <c r="I99" s="236"/>
      <c r="J99" s="236">
        <v>271662</v>
      </c>
      <c r="K99" s="236">
        <v>280197</v>
      </c>
      <c r="L99" s="236">
        <v>285813</v>
      </c>
      <c r="M99" s="236">
        <v>303021</v>
      </c>
      <c r="N99" s="236"/>
      <c r="O99" s="237"/>
      <c r="P99" s="223">
        <f t="shared" si="45"/>
        <v>303021</v>
      </c>
      <c r="Q99" s="147">
        <f>P99*$Q$8</f>
        <v>33332.31</v>
      </c>
      <c r="R99" s="147">
        <f t="shared" si="46"/>
        <v>91.321397260273969</v>
      </c>
      <c r="S99" s="148">
        <f>R99*$S$3*$S$8</f>
        <v>19999.385999999999</v>
      </c>
      <c r="T99" s="199"/>
      <c r="U99" s="150"/>
      <c r="V99" s="249"/>
      <c r="W99" s="249"/>
      <c r="X99" s="152"/>
      <c r="Y99" s="153"/>
      <c r="Z99" s="153"/>
      <c r="AA99" s="154"/>
      <c r="AB99" s="155">
        <f>S99*$AB$3</f>
        <v>11599.643879999998</v>
      </c>
      <c r="AC99" s="156">
        <f>S99*$AC$3</f>
        <v>2599.9201800000001</v>
      </c>
      <c r="AD99" s="156">
        <f>S99*$AD$3</f>
        <v>1754.9461214999997</v>
      </c>
      <c r="AE99" s="156">
        <f>S99*$AE$3</f>
        <v>799.97543999999994</v>
      </c>
      <c r="AF99" s="156">
        <f>S99*$AF$3</f>
        <v>399.98771999999997</v>
      </c>
      <c r="AG99" s="156">
        <f>S99*$AG$3</f>
        <v>399.98771999999997</v>
      </c>
      <c r="AH99" s="156">
        <f>S99*$AH$3</f>
        <v>199.99385999999998</v>
      </c>
      <c r="AI99" s="156">
        <f>S99*$AI$3</f>
        <v>399.98771999999997</v>
      </c>
      <c r="AJ99" s="156">
        <f>S99*$AJ$3</f>
        <v>399.98771999999997</v>
      </c>
      <c r="AK99" s="156">
        <f>S99*$AK$3</f>
        <v>1399.9570200000001</v>
      </c>
      <c r="AL99" s="157">
        <f t="shared" si="47"/>
        <v>6154.8110415000001</v>
      </c>
      <c r="AM99" s="158">
        <f t="shared" si="48"/>
        <v>2200</v>
      </c>
      <c r="AN99" s="159">
        <v>0.2</v>
      </c>
      <c r="AO99" s="160">
        <f t="shared" si="49"/>
        <v>163535574.10373959</v>
      </c>
      <c r="AP99" s="161">
        <f t="shared" si="50"/>
        <v>45426.551996273753</v>
      </c>
      <c r="AQ99" s="162">
        <f t="shared" si="51"/>
        <v>9085.3103992547512</v>
      </c>
      <c r="AR99" s="580">
        <f t="shared" si="52"/>
        <v>1.296419862907356</v>
      </c>
      <c r="AS99" s="582">
        <f t="shared" si="53"/>
        <v>1.296419862907356</v>
      </c>
      <c r="AT99" s="165"/>
      <c r="AU99" s="166"/>
      <c r="AV99" s="167"/>
      <c r="AW99" s="146"/>
      <c r="AX99" s="168"/>
    </row>
    <row r="100" spans="1:50" ht="11.25" x14ac:dyDescent="0.25">
      <c r="A100" s="140">
        <v>5</v>
      </c>
      <c r="B100" s="63" t="s">
        <v>148</v>
      </c>
      <c r="C100" s="235"/>
      <c r="D100" s="236"/>
      <c r="E100" s="236"/>
      <c r="F100" s="236"/>
      <c r="G100" s="236"/>
      <c r="H100" s="236"/>
      <c r="I100" s="236"/>
      <c r="J100" s="236">
        <v>318585</v>
      </c>
      <c r="K100" s="236">
        <v>322417</v>
      </c>
      <c r="L100" s="236">
        <v>332562</v>
      </c>
      <c r="M100" s="236">
        <v>377232</v>
      </c>
      <c r="N100" s="236"/>
      <c r="O100" s="237"/>
      <c r="P100" s="223">
        <f t="shared" si="45"/>
        <v>377232</v>
      </c>
      <c r="Q100" s="147">
        <f>P100*$Q$8</f>
        <v>41495.519999999997</v>
      </c>
      <c r="R100" s="147">
        <f t="shared" si="46"/>
        <v>113.68635616438355</v>
      </c>
      <c r="S100" s="148">
        <f>R100*$S$3*$S$8</f>
        <v>24897.311999999998</v>
      </c>
      <c r="T100" s="199"/>
      <c r="U100" s="150"/>
      <c r="V100" s="249"/>
      <c r="W100" s="249"/>
      <c r="X100" s="152"/>
      <c r="Y100" s="153"/>
      <c r="Z100" s="153"/>
      <c r="AA100" s="154"/>
      <c r="AB100" s="155">
        <f>S100*$AB$3</f>
        <v>14440.440959999998</v>
      </c>
      <c r="AC100" s="156">
        <f>S100*$AC$3</f>
        <v>3236.65056</v>
      </c>
      <c r="AD100" s="156">
        <f>S100*$AD$3</f>
        <v>2184.7391279999997</v>
      </c>
      <c r="AE100" s="156">
        <f>S100*$AE$3</f>
        <v>995.89247999999998</v>
      </c>
      <c r="AF100" s="156">
        <f>S100*$AF$3</f>
        <v>497.94623999999999</v>
      </c>
      <c r="AG100" s="156">
        <f>S100*$AG$3</f>
        <v>497.94623999999999</v>
      </c>
      <c r="AH100" s="156">
        <f>S100*$AH$3</f>
        <v>248.97311999999999</v>
      </c>
      <c r="AI100" s="156">
        <f>S100*$AI$3</f>
        <v>497.94623999999999</v>
      </c>
      <c r="AJ100" s="156">
        <f>S100*$AJ$3</f>
        <v>497.94623999999999</v>
      </c>
      <c r="AK100" s="156">
        <f>S100*$AK$3</f>
        <v>1742.8118400000001</v>
      </c>
      <c r="AL100" s="157">
        <f t="shared" si="47"/>
        <v>7662.1477679999998</v>
      </c>
      <c r="AM100" s="158">
        <f t="shared" si="48"/>
        <v>2200</v>
      </c>
      <c r="AN100" s="159">
        <v>0.2</v>
      </c>
      <c r="AO100" s="160">
        <f t="shared" si="49"/>
        <v>203586060.67005888</v>
      </c>
      <c r="AP100" s="161">
        <f t="shared" si="50"/>
        <v>56551.688043595481</v>
      </c>
      <c r="AQ100" s="162">
        <f t="shared" si="51"/>
        <v>11310.337608719097</v>
      </c>
      <c r="AR100" s="580">
        <f t="shared" si="52"/>
        <v>1.6139180377738438</v>
      </c>
      <c r="AS100" s="582">
        <f t="shared" si="53"/>
        <v>1.6139180377738438</v>
      </c>
      <c r="AT100" s="165"/>
      <c r="AU100" s="166"/>
      <c r="AV100" s="167"/>
      <c r="AW100" s="146"/>
      <c r="AX100" s="168"/>
    </row>
    <row r="101" spans="1:50" ht="11.25" x14ac:dyDescent="0.25">
      <c r="A101" s="140">
        <v>6</v>
      </c>
      <c r="B101" s="63" t="s">
        <v>149</v>
      </c>
      <c r="C101" s="235"/>
      <c r="D101" s="236"/>
      <c r="E101" s="236"/>
      <c r="F101" s="236"/>
      <c r="G101" s="236"/>
      <c r="H101" s="236"/>
      <c r="I101" s="236"/>
      <c r="J101" s="236">
        <v>590467</v>
      </c>
      <c r="K101" s="236">
        <v>598764</v>
      </c>
      <c r="L101" s="236">
        <v>615126</v>
      </c>
      <c r="M101" s="236">
        <v>686030</v>
      </c>
      <c r="N101" s="236"/>
      <c r="O101" s="237"/>
      <c r="P101" s="223">
        <f t="shared" si="45"/>
        <v>686030</v>
      </c>
      <c r="Q101" s="147">
        <f>P101*$Q$7</f>
        <v>100160.37999999999</v>
      </c>
      <c r="R101" s="147">
        <f t="shared" si="46"/>
        <v>274.41199999999998</v>
      </c>
      <c r="S101" s="148">
        <f>R101*$S$3*$S$7</f>
        <v>70112.265999999989</v>
      </c>
      <c r="T101" s="199"/>
      <c r="U101" s="150"/>
      <c r="V101" s="249"/>
      <c r="W101" s="249"/>
      <c r="X101" s="152"/>
      <c r="Y101" s="153"/>
      <c r="Z101" s="153"/>
      <c r="AA101" s="154"/>
      <c r="AB101" s="155">
        <f>S101*$AB$3</f>
        <v>40665.114279999987</v>
      </c>
      <c r="AC101" s="156">
        <f>S101*$AC$3</f>
        <v>9114.594579999999</v>
      </c>
      <c r="AD101" s="156">
        <f>S101*$AD$3</f>
        <v>6152.3513414999989</v>
      </c>
      <c r="AE101" s="156">
        <f>S101*$AE$3</f>
        <v>2804.4906399999995</v>
      </c>
      <c r="AF101" s="156">
        <f>S101*$AF$3</f>
        <v>1402.2453199999998</v>
      </c>
      <c r="AG101" s="156">
        <f>S101*$AG$3</f>
        <v>1402.2453199999998</v>
      </c>
      <c r="AH101" s="156">
        <f>S101*$AH$3</f>
        <v>701.12265999999988</v>
      </c>
      <c r="AI101" s="156">
        <f>S101*$AI$3</f>
        <v>1402.2453199999998</v>
      </c>
      <c r="AJ101" s="156">
        <f>S101*$AJ$3</f>
        <v>1402.2453199999998</v>
      </c>
      <c r="AK101" s="156">
        <f>S101*$AK$3</f>
        <v>4907.85862</v>
      </c>
      <c r="AL101" s="157">
        <f t="shared" si="47"/>
        <v>21577.049861499996</v>
      </c>
      <c r="AM101" s="158">
        <f t="shared" si="48"/>
        <v>2200</v>
      </c>
      <c r="AN101" s="159">
        <v>0.2</v>
      </c>
      <c r="AO101" s="160">
        <f t="shared" si="49"/>
        <v>573310084.22079062</v>
      </c>
      <c r="AP101" s="161">
        <f t="shared" si="50"/>
        <v>159252.81391266594</v>
      </c>
      <c r="AQ101" s="162">
        <f t="shared" si="51"/>
        <v>31850.56278253319</v>
      </c>
      <c r="AR101" s="580">
        <f t="shared" si="52"/>
        <v>4.5448862417998273</v>
      </c>
      <c r="AS101" s="582">
        <f t="shared" si="53"/>
        <v>4.5448862417998273</v>
      </c>
      <c r="AT101" s="165"/>
      <c r="AU101" s="166"/>
      <c r="AV101" s="167"/>
      <c r="AW101" s="146"/>
      <c r="AX101" s="168"/>
    </row>
    <row r="102" spans="1:50" ht="11.25" x14ac:dyDescent="0.25">
      <c r="A102" s="140">
        <v>7</v>
      </c>
      <c r="B102" s="63" t="s">
        <v>150</v>
      </c>
      <c r="C102" s="235"/>
      <c r="D102" s="236"/>
      <c r="E102" s="236"/>
      <c r="F102" s="236"/>
      <c r="G102" s="236"/>
      <c r="H102" s="236"/>
      <c r="I102" s="236"/>
      <c r="J102" s="236">
        <v>383417</v>
      </c>
      <c r="K102" s="236">
        <v>398089</v>
      </c>
      <c r="L102" s="236">
        <v>413056</v>
      </c>
      <c r="M102" s="236">
        <v>475011</v>
      </c>
      <c r="N102" s="236"/>
      <c r="O102" s="237"/>
      <c r="P102" s="223">
        <f t="shared" si="45"/>
        <v>475011</v>
      </c>
      <c r="Q102" s="147">
        <f>P102*$Q$8</f>
        <v>52251.21</v>
      </c>
      <c r="R102" s="147">
        <f t="shared" si="46"/>
        <v>143.154</v>
      </c>
      <c r="S102" s="148">
        <f>R102*$S$3*$S$8</f>
        <v>31350.725999999999</v>
      </c>
      <c r="T102" s="199"/>
      <c r="U102" s="150"/>
      <c r="V102" s="249"/>
      <c r="W102" s="249"/>
      <c r="X102" s="152"/>
      <c r="Y102" s="153"/>
      <c r="Z102" s="153"/>
      <c r="AA102" s="154"/>
      <c r="AB102" s="155">
        <f>S102*$AB$3</f>
        <v>18183.421079999996</v>
      </c>
      <c r="AC102" s="156">
        <f>S102*$AC$3</f>
        <v>4075.59438</v>
      </c>
      <c r="AD102" s="156">
        <f>S102*$AD$3</f>
        <v>2751.0262064999997</v>
      </c>
      <c r="AE102" s="156">
        <f>S102*$AE$3</f>
        <v>1254.0290399999999</v>
      </c>
      <c r="AF102" s="156">
        <f>S102*$AF$3</f>
        <v>627.01451999999995</v>
      </c>
      <c r="AG102" s="156">
        <f>S102*$AG$3</f>
        <v>627.01451999999995</v>
      </c>
      <c r="AH102" s="156">
        <f>S102*$AH$3</f>
        <v>313.50725999999997</v>
      </c>
      <c r="AI102" s="156">
        <f>S102*$AI$3</f>
        <v>627.01451999999995</v>
      </c>
      <c r="AJ102" s="156">
        <f>S102*$AJ$3</f>
        <v>627.01451999999995</v>
      </c>
      <c r="AK102" s="156">
        <f>S102*$AK$3</f>
        <v>2194.5508199999999</v>
      </c>
      <c r="AL102" s="157">
        <f t="shared" si="47"/>
        <v>9648.1859265000003</v>
      </c>
      <c r="AM102" s="158">
        <f t="shared" si="48"/>
        <v>2200</v>
      </c>
      <c r="AN102" s="159">
        <v>0.2</v>
      </c>
      <c r="AO102" s="160">
        <f t="shared" si="49"/>
        <v>256355818.87259117</v>
      </c>
      <c r="AP102" s="161">
        <f t="shared" si="50"/>
        <v>71209.955383626861</v>
      </c>
      <c r="AQ102" s="162">
        <f t="shared" si="51"/>
        <v>14241.991076725373</v>
      </c>
      <c r="AR102" s="580">
        <f t="shared" si="52"/>
        <v>2.0322475851491686</v>
      </c>
      <c r="AS102" s="582">
        <f t="shared" si="53"/>
        <v>2.0322475851491686</v>
      </c>
      <c r="AT102" s="165"/>
      <c r="AU102" s="166"/>
      <c r="AV102" s="167"/>
      <c r="AW102" s="146"/>
      <c r="AX102" s="168"/>
    </row>
    <row r="103" spans="1:50" ht="11.25" x14ac:dyDescent="0.25">
      <c r="A103" s="140">
        <v>8</v>
      </c>
      <c r="B103" s="63" t="s">
        <v>151</v>
      </c>
      <c r="C103" s="235"/>
      <c r="D103" s="236"/>
      <c r="E103" s="236"/>
      <c r="F103" s="236"/>
      <c r="G103" s="236"/>
      <c r="H103" s="236"/>
      <c r="I103" s="236"/>
      <c r="J103" s="236">
        <v>738996</v>
      </c>
      <c r="K103" s="236">
        <v>747797</v>
      </c>
      <c r="L103" s="236">
        <v>551880</v>
      </c>
      <c r="M103" s="236">
        <v>498384</v>
      </c>
      <c r="N103" s="236"/>
      <c r="O103" s="237"/>
      <c r="P103" s="223">
        <f t="shared" si="45"/>
        <v>747797</v>
      </c>
      <c r="Q103" s="147">
        <f>P103*$Q$8</f>
        <v>82257.67</v>
      </c>
      <c r="R103" s="147">
        <f t="shared" si="46"/>
        <v>225.36347945205478</v>
      </c>
      <c r="S103" s="148">
        <f>R103*$S$3*$S$8</f>
        <v>49354.601999999999</v>
      </c>
      <c r="T103" s="199"/>
      <c r="U103" s="150"/>
      <c r="V103" s="249"/>
      <c r="W103" s="249"/>
      <c r="X103" s="152"/>
      <c r="Y103" s="153"/>
      <c r="Z103" s="153"/>
      <c r="AA103" s="154"/>
      <c r="AB103" s="155">
        <f>S103*$AB$3</f>
        <v>28625.669159999998</v>
      </c>
      <c r="AC103" s="156">
        <f>S103*$AC$3</f>
        <v>6416.0982599999998</v>
      </c>
      <c r="AD103" s="156">
        <f>S103*$AD$3</f>
        <v>4330.8663254999992</v>
      </c>
      <c r="AE103" s="156">
        <f>S103*$AE$3</f>
        <v>1974.18408</v>
      </c>
      <c r="AF103" s="156">
        <f>S103*$AF$3</f>
        <v>987.09204</v>
      </c>
      <c r="AG103" s="156">
        <f>S103*$AG$3</f>
        <v>987.09204</v>
      </c>
      <c r="AH103" s="156">
        <f>S103*$AH$3</f>
        <v>493.54602</v>
      </c>
      <c r="AI103" s="156">
        <f>S103*$AI$3</f>
        <v>987.09204</v>
      </c>
      <c r="AJ103" s="156">
        <f>S103*$AJ$3</f>
        <v>987.09204</v>
      </c>
      <c r="AK103" s="156">
        <f>S103*$AK$3</f>
        <v>3454.8221400000002</v>
      </c>
      <c r="AL103" s="157">
        <f t="shared" si="47"/>
        <v>15188.878765499996</v>
      </c>
      <c r="AM103" s="158">
        <f t="shared" si="48"/>
        <v>2200</v>
      </c>
      <c r="AN103" s="159">
        <v>0.2</v>
      </c>
      <c r="AO103" s="160">
        <f t="shared" si="49"/>
        <v>403574048.3598634</v>
      </c>
      <c r="AP103" s="161">
        <f t="shared" si="50"/>
        <v>112103.91129049646</v>
      </c>
      <c r="AQ103" s="162">
        <f t="shared" si="51"/>
        <v>22420.782258099294</v>
      </c>
      <c r="AR103" s="580">
        <f t="shared" si="52"/>
        <v>3.199312536829237</v>
      </c>
      <c r="AS103" s="582">
        <f t="shared" si="53"/>
        <v>3.199312536829237</v>
      </c>
      <c r="AT103" s="165"/>
      <c r="AU103" s="166"/>
      <c r="AV103" s="167"/>
      <c r="AW103" s="146"/>
      <c r="AX103" s="168"/>
    </row>
    <row r="104" spans="1:50" ht="11.25" x14ac:dyDescent="0.25">
      <c r="A104" s="140">
        <v>9</v>
      </c>
      <c r="B104" s="63" t="s">
        <v>152</v>
      </c>
      <c r="C104" s="235"/>
      <c r="D104" s="236"/>
      <c r="E104" s="236"/>
      <c r="F104" s="236"/>
      <c r="G104" s="236"/>
      <c r="H104" s="236"/>
      <c r="I104" s="236"/>
      <c r="J104" s="236">
        <v>511000</v>
      </c>
      <c r="K104" s="236">
        <v>551402</v>
      </c>
      <c r="L104" s="236">
        <v>565558</v>
      </c>
      <c r="M104" s="236">
        <v>552433</v>
      </c>
      <c r="N104" s="236"/>
      <c r="O104" s="237"/>
      <c r="P104" s="223">
        <f t="shared" si="45"/>
        <v>565558</v>
      </c>
      <c r="Q104" s="147">
        <f>P104*$Q$7</f>
        <v>82571.467999999993</v>
      </c>
      <c r="R104" s="147">
        <f t="shared" si="46"/>
        <v>226.22319999999999</v>
      </c>
      <c r="S104" s="148">
        <f>R104*$S$3*$S$7</f>
        <v>57800.027599999994</v>
      </c>
      <c r="T104" s="199"/>
      <c r="U104" s="150"/>
      <c r="V104" s="249"/>
      <c r="W104" s="249"/>
      <c r="X104" s="152"/>
      <c r="Y104" s="153"/>
      <c r="Z104" s="153"/>
      <c r="AA104" s="154"/>
      <c r="AB104" s="155">
        <f>S104*$AB$3</f>
        <v>33524.016007999991</v>
      </c>
      <c r="AC104" s="156">
        <f>S104*$AC$3</f>
        <v>7514.0035879999996</v>
      </c>
      <c r="AD104" s="156">
        <f>S104*$AD$3</f>
        <v>5071.9524218999995</v>
      </c>
      <c r="AE104" s="156">
        <f>S104*$AE$3</f>
        <v>2312.0011039999999</v>
      </c>
      <c r="AF104" s="156">
        <f>S104*$AF$3</f>
        <v>1156.000552</v>
      </c>
      <c r="AG104" s="156">
        <f>S104*$AG$3</f>
        <v>1156.000552</v>
      </c>
      <c r="AH104" s="156">
        <f>S104*$AH$3</f>
        <v>578.00027599999999</v>
      </c>
      <c r="AI104" s="156">
        <f>S104*$AI$3</f>
        <v>1156.000552</v>
      </c>
      <c r="AJ104" s="156">
        <f>S104*$AJ$3</f>
        <v>1156.000552</v>
      </c>
      <c r="AK104" s="156">
        <f>S104*$AK$3</f>
        <v>4046.0019320000001</v>
      </c>
      <c r="AL104" s="157">
        <f t="shared" si="47"/>
        <v>17787.958493899998</v>
      </c>
      <c r="AM104" s="158">
        <f t="shared" si="48"/>
        <v>2200</v>
      </c>
      <c r="AN104" s="159">
        <v>0.2</v>
      </c>
      <c r="AO104" s="160">
        <f t="shared" si="49"/>
        <v>472632544.65802068</v>
      </c>
      <c r="AP104" s="161">
        <f t="shared" si="50"/>
        <v>131286.82846350674</v>
      </c>
      <c r="AQ104" s="162">
        <f t="shared" si="51"/>
        <v>26257.365692701351</v>
      </c>
      <c r="AR104" s="580">
        <f t="shared" si="52"/>
        <v>3.7467702187073844</v>
      </c>
      <c r="AS104" s="582">
        <f t="shared" si="53"/>
        <v>3.7467702187073844</v>
      </c>
      <c r="AT104" s="165"/>
      <c r="AU104" s="166"/>
      <c r="AV104" s="167"/>
      <c r="AW104" s="146"/>
      <c r="AX104" s="168"/>
    </row>
    <row r="105" spans="1:50" ht="11.25" x14ac:dyDescent="0.25">
      <c r="A105" s="140">
        <v>10</v>
      </c>
      <c r="B105" s="63" t="s">
        <v>153</v>
      </c>
      <c r="C105" s="235"/>
      <c r="D105" s="236"/>
      <c r="E105" s="236"/>
      <c r="F105" s="236"/>
      <c r="G105" s="236"/>
      <c r="H105" s="236"/>
      <c r="I105" s="236"/>
      <c r="J105" s="236"/>
      <c r="K105" s="236"/>
      <c r="L105" s="236">
        <v>204335</v>
      </c>
      <c r="M105" s="236">
        <v>176371</v>
      </c>
      <c r="N105" s="236"/>
      <c r="O105" s="237"/>
      <c r="P105" s="223">
        <f t="shared" si="45"/>
        <v>204335</v>
      </c>
      <c r="Q105" s="147">
        <f>P105*$Q$8</f>
        <v>22476.85</v>
      </c>
      <c r="R105" s="147">
        <f t="shared" si="46"/>
        <v>61.580410958904103</v>
      </c>
      <c r="S105" s="148">
        <f>R105*$S$3*$S$8</f>
        <v>13486.109999999999</v>
      </c>
      <c r="T105" s="199"/>
      <c r="U105" s="150"/>
      <c r="V105" s="249"/>
      <c r="W105" s="249"/>
      <c r="X105" s="152"/>
      <c r="Y105" s="153"/>
      <c r="Z105" s="153"/>
      <c r="AA105" s="154"/>
      <c r="AB105" s="155">
        <f>S105*$AB$3</f>
        <v>7821.9437999999991</v>
      </c>
      <c r="AC105" s="156">
        <f>S105*$AC$3</f>
        <v>1753.1942999999999</v>
      </c>
      <c r="AD105" s="156">
        <f>S105*$AD$3</f>
        <v>1183.4061524999997</v>
      </c>
      <c r="AE105" s="156">
        <f>S105*$AE$3</f>
        <v>539.44439999999997</v>
      </c>
      <c r="AF105" s="156">
        <f>S105*$AF$3</f>
        <v>269.72219999999999</v>
      </c>
      <c r="AG105" s="156">
        <f>S105*$AG$3</f>
        <v>269.72219999999999</v>
      </c>
      <c r="AH105" s="156">
        <f>S105*$AH$3</f>
        <v>134.86109999999999</v>
      </c>
      <c r="AI105" s="156">
        <f>S105*$AI$3</f>
        <v>269.72219999999999</v>
      </c>
      <c r="AJ105" s="156">
        <f>S105*$AJ$3</f>
        <v>269.72219999999999</v>
      </c>
      <c r="AK105" s="156">
        <f>S105*$AK$3</f>
        <v>944.02769999999998</v>
      </c>
      <c r="AL105" s="157">
        <f t="shared" si="47"/>
        <v>4150.3503524999996</v>
      </c>
      <c r="AM105" s="158">
        <f t="shared" si="48"/>
        <v>2200</v>
      </c>
      <c r="AN105" s="159">
        <v>0.2</v>
      </c>
      <c r="AO105" s="160">
        <f t="shared" si="49"/>
        <v>110276322.54691139</v>
      </c>
      <c r="AP105" s="161">
        <f t="shared" si="50"/>
        <v>30632.314269171442</v>
      </c>
      <c r="AQ105" s="162">
        <f t="shared" si="51"/>
        <v>6126.4628538342886</v>
      </c>
      <c r="AR105" s="580">
        <f t="shared" si="52"/>
        <v>0.87420988211105721</v>
      </c>
      <c r="AS105" s="582">
        <f t="shared" si="53"/>
        <v>0.87420988211105721</v>
      </c>
      <c r="AT105" s="165"/>
      <c r="AU105" s="166"/>
      <c r="AV105" s="167"/>
      <c r="AW105" s="146"/>
      <c r="AX105" s="168"/>
    </row>
    <row r="106" spans="1:50" ht="11.25" x14ac:dyDescent="0.25">
      <c r="A106" s="140">
        <v>11</v>
      </c>
      <c r="B106" s="258" t="s">
        <v>154</v>
      </c>
      <c r="C106" s="235"/>
      <c r="D106" s="236"/>
      <c r="E106" s="236"/>
      <c r="F106" s="236"/>
      <c r="G106" s="236"/>
      <c r="H106" s="236"/>
      <c r="I106" s="236"/>
      <c r="J106" s="236">
        <v>779899</v>
      </c>
      <c r="K106" s="236">
        <v>785380</v>
      </c>
      <c r="L106" s="236">
        <v>802788</v>
      </c>
      <c r="M106" s="236">
        <v>903902</v>
      </c>
      <c r="N106" s="236"/>
      <c r="O106" s="237"/>
      <c r="P106" s="223">
        <f t="shared" si="45"/>
        <v>903902</v>
      </c>
      <c r="Q106" s="147">
        <f>P106*$Q$7</f>
        <v>131969.69199999998</v>
      </c>
      <c r="R106" s="147">
        <f t="shared" si="46"/>
        <v>361.56079999999997</v>
      </c>
      <c r="S106" s="148">
        <f>R106*$S$3*$S$7</f>
        <v>92378.784399999975</v>
      </c>
      <c r="T106" s="199"/>
      <c r="U106" s="150"/>
      <c r="V106" s="249"/>
      <c r="W106" s="249"/>
      <c r="X106" s="152"/>
      <c r="Y106" s="153"/>
      <c r="Z106" s="153"/>
      <c r="AA106" s="154"/>
      <c r="AB106" s="155">
        <f>S106*$AB$3</f>
        <v>53579.694951999983</v>
      </c>
      <c r="AC106" s="156">
        <f>S106*$AC$3</f>
        <v>12009.241971999998</v>
      </c>
      <c r="AD106" s="156">
        <f>S106*$AD$3</f>
        <v>8106.2383310999976</v>
      </c>
      <c r="AE106" s="156">
        <f>S106*$AE$3</f>
        <v>3695.1513759999989</v>
      </c>
      <c r="AF106" s="156">
        <f>S106*$AF$3</f>
        <v>1847.5756879999994</v>
      </c>
      <c r="AG106" s="156">
        <f>S106*$AG$3</f>
        <v>1847.5756879999994</v>
      </c>
      <c r="AH106" s="156">
        <f>S106*$AH$3</f>
        <v>923.78784399999972</v>
      </c>
      <c r="AI106" s="156">
        <f>S106*$AI$3</f>
        <v>1847.5756879999994</v>
      </c>
      <c r="AJ106" s="156">
        <f>S106*$AJ$3</f>
        <v>1847.5756879999994</v>
      </c>
      <c r="AK106" s="156">
        <f>S106*$AK$3</f>
        <v>6466.5149079999992</v>
      </c>
      <c r="AL106" s="157">
        <f t="shared" si="47"/>
        <v>28429.570899099996</v>
      </c>
      <c r="AM106" s="158">
        <f t="shared" si="48"/>
        <v>2200</v>
      </c>
      <c r="AN106" s="159">
        <v>0.2</v>
      </c>
      <c r="AO106" s="160">
        <f t="shared" si="49"/>
        <v>755384067.38384783</v>
      </c>
      <c r="AP106" s="161">
        <f t="shared" si="50"/>
        <v>209828.92439293701</v>
      </c>
      <c r="AQ106" s="162">
        <f t="shared" si="51"/>
        <v>41965.784878587408</v>
      </c>
      <c r="AR106" s="580">
        <f t="shared" si="52"/>
        <v>5.9882683902093907</v>
      </c>
      <c r="AS106" s="435">
        <f t="shared" si="53"/>
        <v>5.9882683902093907</v>
      </c>
      <c r="AT106" s="187"/>
      <c r="AU106" s="166"/>
      <c r="AV106" s="167"/>
      <c r="AW106" s="146"/>
      <c r="AX106" s="168"/>
    </row>
    <row r="107" spans="1:50" ht="11.25" x14ac:dyDescent="0.25">
      <c r="A107" s="140">
        <v>12</v>
      </c>
      <c r="B107" s="63" t="s">
        <v>155</v>
      </c>
      <c r="C107" s="235"/>
      <c r="D107" s="236"/>
      <c r="E107" s="236"/>
      <c r="F107" s="236"/>
      <c r="G107" s="236"/>
      <c r="H107" s="236"/>
      <c r="I107" s="236"/>
      <c r="J107" s="236">
        <v>231121</v>
      </c>
      <c r="K107" s="236">
        <v>236778</v>
      </c>
      <c r="L107" s="236">
        <v>242417</v>
      </c>
      <c r="M107" s="236">
        <v>254337</v>
      </c>
      <c r="N107" s="236"/>
      <c r="O107" s="237"/>
      <c r="P107" s="223">
        <f t="shared" si="45"/>
        <v>254337</v>
      </c>
      <c r="Q107" s="147">
        <f>P107*$Q$8</f>
        <v>27977.07</v>
      </c>
      <c r="R107" s="147">
        <f t="shared" si="46"/>
        <v>76.649506849315074</v>
      </c>
      <c r="S107" s="148">
        <f>R107*$S$3*$S$8</f>
        <v>16786.242000000002</v>
      </c>
      <c r="T107" s="199"/>
      <c r="U107" s="150"/>
      <c r="V107" s="249"/>
      <c r="W107" s="249"/>
      <c r="X107" s="152"/>
      <c r="Y107" s="153"/>
      <c r="Z107" s="153"/>
      <c r="AA107" s="154"/>
      <c r="AB107" s="155">
        <f>S107*$AB$3</f>
        <v>9736.0203600000004</v>
      </c>
      <c r="AC107" s="156">
        <f>S107*$AC$3</f>
        <v>2182.2114600000004</v>
      </c>
      <c r="AD107" s="156">
        <f>S107*$AD$3</f>
        <v>1472.9927355</v>
      </c>
      <c r="AE107" s="156">
        <f>S107*$AE$3</f>
        <v>671.44968000000006</v>
      </c>
      <c r="AF107" s="156">
        <f>S107*$AF$3</f>
        <v>335.72484000000003</v>
      </c>
      <c r="AG107" s="156">
        <f>S107*$AG$3</f>
        <v>335.72484000000003</v>
      </c>
      <c r="AH107" s="156">
        <f>S107*$AH$3</f>
        <v>167.86242000000001</v>
      </c>
      <c r="AI107" s="156">
        <f>S107*$AI$3</f>
        <v>335.72484000000003</v>
      </c>
      <c r="AJ107" s="156">
        <f>S107*$AJ$3</f>
        <v>335.72484000000003</v>
      </c>
      <c r="AK107" s="156">
        <f>S107*$AK$3</f>
        <v>1175.0369400000002</v>
      </c>
      <c r="AL107" s="157">
        <f t="shared" si="47"/>
        <v>5165.9659755000002</v>
      </c>
      <c r="AM107" s="158">
        <f t="shared" si="48"/>
        <v>2200</v>
      </c>
      <c r="AN107" s="159">
        <v>0.2</v>
      </c>
      <c r="AO107" s="160">
        <f t="shared" si="49"/>
        <v>137261600.05683708</v>
      </c>
      <c r="AP107" s="161">
        <f t="shared" si="50"/>
        <v>38128.225288268077</v>
      </c>
      <c r="AQ107" s="162">
        <f t="shared" si="51"/>
        <v>7625.6450576536154</v>
      </c>
      <c r="AR107" s="580">
        <f t="shared" si="52"/>
        <v>1.0881342833409839</v>
      </c>
      <c r="AS107" s="582">
        <f t="shared" si="53"/>
        <v>1.0881342833409839</v>
      </c>
      <c r="AT107" s="165"/>
      <c r="AU107" s="166"/>
      <c r="AV107" s="167"/>
      <c r="AW107" s="146"/>
      <c r="AX107" s="168"/>
    </row>
    <row r="108" spans="1:50" s="263" customFormat="1" ht="11.25" x14ac:dyDescent="0.25">
      <c r="A108" s="225"/>
      <c r="B108" s="258" t="s">
        <v>156</v>
      </c>
      <c r="C108" s="240">
        <f>SUM(C96:C107)</f>
        <v>0</v>
      </c>
      <c r="D108" s="240">
        <f t="shared" ref="D108:AK108" si="54">SUM(D96:D107)</f>
        <v>0</v>
      </c>
      <c r="E108" s="240">
        <f t="shared" si="54"/>
        <v>0</v>
      </c>
      <c r="F108" s="240">
        <f t="shared" si="54"/>
        <v>0</v>
      </c>
      <c r="G108" s="240">
        <f t="shared" si="54"/>
        <v>0</v>
      </c>
      <c r="H108" s="240">
        <f t="shared" si="54"/>
        <v>0</v>
      </c>
      <c r="I108" s="240">
        <f t="shared" si="54"/>
        <v>0</v>
      </c>
      <c r="J108" s="240">
        <f t="shared" si="54"/>
        <v>5070952</v>
      </c>
      <c r="K108" s="240">
        <f t="shared" si="54"/>
        <v>5189154</v>
      </c>
      <c r="L108" s="240">
        <f t="shared" si="54"/>
        <v>5306533</v>
      </c>
      <c r="M108" s="240">
        <f t="shared" si="54"/>
        <v>5543031</v>
      </c>
      <c r="N108" s="240">
        <f t="shared" si="54"/>
        <v>0</v>
      </c>
      <c r="O108" s="240">
        <f t="shared" si="54"/>
        <v>0</v>
      </c>
      <c r="P108" s="240">
        <f t="shared" si="54"/>
        <v>5854582</v>
      </c>
      <c r="Q108" s="240">
        <f t="shared" si="54"/>
        <v>746202.40399999975</v>
      </c>
      <c r="R108" s="240">
        <f t="shared" si="54"/>
        <v>2044.3901479452052</v>
      </c>
      <c r="S108" s="240">
        <f t="shared" si="54"/>
        <v>489168.56479999988</v>
      </c>
      <c r="T108" s="199">
        <f t="shared" si="54"/>
        <v>0</v>
      </c>
      <c r="U108" s="241"/>
      <c r="V108" s="242">
        <f t="shared" si="54"/>
        <v>0</v>
      </c>
      <c r="W108" s="242">
        <f>SUM(W96:W107)</f>
        <v>0</v>
      </c>
      <c r="X108" s="242">
        <f>SUM(X96:X107)</f>
        <v>0</v>
      </c>
      <c r="Y108" s="199"/>
      <c r="Z108" s="199"/>
      <c r="AA108" s="243"/>
      <c r="AB108" s="240">
        <f>SUM(AB96:AB107)</f>
        <v>283717.76758399996</v>
      </c>
      <c r="AC108" s="244">
        <f>SUM(AC96:AC107)</f>
        <v>63591.913423999991</v>
      </c>
      <c r="AD108" s="244">
        <f>SUM(AD96:AD107)</f>
        <v>42924.541561199992</v>
      </c>
      <c r="AE108" s="244">
        <f>SUM(AE96:AE107)</f>
        <v>19566.742591999999</v>
      </c>
      <c r="AF108" s="244">
        <f>SUM(AF96:AF107)</f>
        <v>9783.3712959999993</v>
      </c>
      <c r="AG108" s="244">
        <f t="shared" si="54"/>
        <v>9783.3712959999993</v>
      </c>
      <c r="AH108" s="244">
        <f>SUM(AH96:AH107)</f>
        <v>4891.6856479999997</v>
      </c>
      <c r="AI108" s="244">
        <f t="shared" si="54"/>
        <v>9783.3712959999993</v>
      </c>
      <c r="AJ108" s="244">
        <f t="shared" si="54"/>
        <v>9783.3712959999993</v>
      </c>
      <c r="AK108" s="244">
        <f t="shared" si="54"/>
        <v>34241.799535999999</v>
      </c>
      <c r="AL108" s="245">
        <f>SUM(AL96:AL107)</f>
        <v>150541.62581719997</v>
      </c>
      <c r="AM108" s="158"/>
      <c r="AN108" s="183"/>
      <c r="AO108" s="160">
        <f>SUM(AO96:AO107)</f>
        <v>3999945902.2427158</v>
      </c>
      <c r="AP108" s="160">
        <f t="shared" ref="AP108:AW108" si="55">SUM(AP96:AP107)</f>
        <v>1111096.1728439969</v>
      </c>
      <c r="AQ108" s="160">
        <f t="shared" si="55"/>
        <v>222219.23456879938</v>
      </c>
      <c r="AR108" s="186">
        <f t="shared" si="55"/>
        <v>31.709365663356078</v>
      </c>
      <c r="AS108" s="435">
        <f t="shared" si="55"/>
        <v>31.709365663356078</v>
      </c>
      <c r="AT108" s="187"/>
      <c r="AU108" s="246">
        <f t="shared" si="55"/>
        <v>0</v>
      </c>
      <c r="AV108" s="246"/>
      <c r="AW108" s="185">
        <f t="shared" si="55"/>
        <v>0</v>
      </c>
      <c r="AX108" s="189"/>
    </row>
    <row r="109" spans="1:50" s="139" customFormat="1" ht="11.25" x14ac:dyDescent="0.25">
      <c r="A109" s="247"/>
      <c r="B109" s="152"/>
      <c r="C109" s="247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248"/>
      <c r="P109" s="249"/>
      <c r="Q109" s="250"/>
      <c r="R109" s="250"/>
      <c r="S109" s="251"/>
      <c r="T109" s="199"/>
      <c r="U109" s="179"/>
      <c r="V109" s="249"/>
      <c r="W109" s="249"/>
      <c r="X109" s="152"/>
      <c r="Y109" s="153"/>
      <c r="Z109" s="153"/>
      <c r="AA109" s="154"/>
      <c r="AB109" s="247"/>
      <c r="AC109" s="252"/>
      <c r="AD109" s="252"/>
      <c r="AE109" s="252"/>
      <c r="AF109" s="252"/>
      <c r="AG109" s="252"/>
      <c r="AH109" s="252"/>
      <c r="AI109" s="252"/>
      <c r="AJ109" s="252"/>
      <c r="AK109" s="252"/>
      <c r="AL109" s="214"/>
      <c r="AM109" s="203"/>
      <c r="AN109" s="204"/>
      <c r="AO109" s="203"/>
      <c r="AP109" s="205"/>
      <c r="AQ109" s="206"/>
      <c r="AR109" s="253"/>
      <c r="AS109" s="254"/>
      <c r="AT109" s="255"/>
      <c r="AU109" s="256"/>
      <c r="AV109" s="257"/>
      <c r="AW109" s="214"/>
      <c r="AX109" s="212"/>
    </row>
    <row r="110" spans="1:50" s="139" customFormat="1" ht="11.25" x14ac:dyDescent="0.25">
      <c r="A110" s="120"/>
      <c r="B110" s="258" t="s">
        <v>157</v>
      </c>
      <c r="C110" s="122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213"/>
      <c r="P110" s="76"/>
      <c r="Q110" s="108"/>
      <c r="R110" s="108"/>
      <c r="S110" s="94"/>
      <c r="T110" s="199"/>
      <c r="U110" s="179"/>
      <c r="V110" s="180"/>
      <c r="W110" s="180"/>
      <c r="X110" s="214"/>
      <c r="Y110" s="181"/>
      <c r="Z110" s="181"/>
      <c r="AA110" s="182"/>
      <c r="AB110" s="62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125"/>
      <c r="AM110" s="75"/>
      <c r="AN110" s="216"/>
      <c r="AO110" s="75"/>
      <c r="AP110" s="51"/>
      <c r="AQ110" s="259"/>
      <c r="AR110" s="583"/>
      <c r="AS110" s="584"/>
      <c r="AT110" s="220"/>
      <c r="AU110" s="135"/>
      <c r="AV110" s="136"/>
      <c r="AW110" s="137"/>
      <c r="AX110" s="138"/>
    </row>
    <row r="111" spans="1:50" ht="11.25" x14ac:dyDescent="0.25">
      <c r="A111" s="140">
        <v>1</v>
      </c>
      <c r="B111" s="221" t="s">
        <v>158</v>
      </c>
      <c r="C111" s="235"/>
      <c r="D111" s="236"/>
      <c r="E111" s="236"/>
      <c r="F111" s="236"/>
      <c r="G111" s="236"/>
      <c r="H111" s="236"/>
      <c r="I111" s="236"/>
      <c r="J111" s="236"/>
      <c r="K111" s="236"/>
      <c r="L111" s="264">
        <f>(N111/$N$118)*$L$118</f>
        <v>191728.39674948406</v>
      </c>
      <c r="M111" s="236">
        <v>212561</v>
      </c>
      <c r="N111" s="236">
        <v>223397</v>
      </c>
      <c r="O111" s="237"/>
      <c r="P111" s="223">
        <f t="shared" ref="P111:P117" si="56">MAX(C111:O111)</f>
        <v>223397</v>
      </c>
      <c r="Q111" s="147">
        <f t="shared" ref="Q111:Q116" si="57">P111*$Q$8</f>
        <v>24573.670000000002</v>
      </c>
      <c r="R111" s="147">
        <f t="shared" ref="R111:R116" si="58">Q111/$R$3</f>
        <v>67.325123287671232</v>
      </c>
      <c r="S111" s="148">
        <f t="shared" ref="S111:S116" si="59">R111*$S$3*$S$8</f>
        <v>14744.201999999997</v>
      </c>
      <c r="T111" s="199"/>
      <c r="U111" s="150"/>
      <c r="V111" s="249"/>
      <c r="W111" s="249"/>
      <c r="X111" s="152"/>
      <c r="Y111" s="153"/>
      <c r="Z111" s="153"/>
      <c r="AA111" s="154"/>
      <c r="AB111" s="155">
        <f>S111*$AB$3</f>
        <v>8551.6371599999984</v>
      </c>
      <c r="AC111" s="156">
        <f>S111*$AC$3</f>
        <v>1916.7462599999997</v>
      </c>
      <c r="AD111" s="156">
        <f>S111*$AD$3</f>
        <v>1293.8037254999997</v>
      </c>
      <c r="AE111" s="156">
        <f>S111*$AE$3</f>
        <v>589.76807999999994</v>
      </c>
      <c r="AF111" s="156">
        <f>S111*$AF$3</f>
        <v>294.88403999999997</v>
      </c>
      <c r="AG111" s="156">
        <f>S111*$AG$3</f>
        <v>294.88403999999997</v>
      </c>
      <c r="AH111" s="156">
        <f>S111*$AH$3</f>
        <v>147.44201999999999</v>
      </c>
      <c r="AI111" s="156">
        <f>S111*$AI$3</f>
        <v>294.88403999999997</v>
      </c>
      <c r="AJ111" s="156">
        <f>S111*$AJ$3</f>
        <v>294.88403999999997</v>
      </c>
      <c r="AK111" s="156">
        <f>S111*$AK$3</f>
        <v>1032.0941399999999</v>
      </c>
      <c r="AL111" s="157">
        <f t="shared" ref="AL111:AL117" si="60">SUM(AC111:AH111)</f>
        <v>4537.5281654999999</v>
      </c>
      <c r="AM111" s="158">
        <f t="shared" ref="AM111:AM117" si="61">$AM$3</f>
        <v>2200</v>
      </c>
      <c r="AN111" s="159">
        <v>0.2</v>
      </c>
      <c r="AO111" s="160">
        <f t="shared" ref="AO111:AO117" si="62">(AB111+AL111)*AM111*$AO$3</f>
        <v>120563778.24656746</v>
      </c>
      <c r="AP111" s="161">
        <f t="shared" ref="AP111:AP117" si="63">AO111*$AP$3</f>
        <v>33489.941081019366</v>
      </c>
      <c r="AQ111" s="162">
        <f t="shared" ref="AQ111:AQ117" si="64">AP111*$AQ$3</f>
        <v>6697.9882162038739</v>
      </c>
      <c r="AR111" s="580">
        <f t="shared" ref="AR111:AR117" si="65">AQ111/$AR$3</f>
        <v>0.9557631587048907</v>
      </c>
      <c r="AS111" s="582">
        <f t="shared" ref="AS111:AS117" si="66">AR111</f>
        <v>0.9557631587048907</v>
      </c>
      <c r="AT111" s="165"/>
      <c r="AU111" s="166"/>
      <c r="AV111" s="167"/>
      <c r="AW111" s="146"/>
      <c r="AX111" s="168"/>
    </row>
    <row r="112" spans="1:50" ht="11.25" x14ac:dyDescent="0.25">
      <c r="A112" s="140">
        <v>2</v>
      </c>
      <c r="B112" s="221" t="s">
        <v>159</v>
      </c>
      <c r="C112" s="235"/>
      <c r="D112" s="236"/>
      <c r="E112" s="236"/>
      <c r="F112" s="236"/>
      <c r="G112" s="236"/>
      <c r="H112" s="236"/>
      <c r="I112" s="236"/>
      <c r="J112" s="236"/>
      <c r="K112" s="236"/>
      <c r="L112" s="264">
        <f t="shared" ref="L112:L117" si="67">(N112/$N$118)*$L$118</f>
        <v>128353.32903965737</v>
      </c>
      <c r="M112" s="236">
        <v>142300</v>
      </c>
      <c r="N112" s="236">
        <v>149554</v>
      </c>
      <c r="O112" s="237"/>
      <c r="P112" s="223">
        <f t="shared" si="56"/>
        <v>149554</v>
      </c>
      <c r="Q112" s="147">
        <f t="shared" si="57"/>
        <v>16450.939999999999</v>
      </c>
      <c r="R112" s="147">
        <f t="shared" si="58"/>
        <v>45.071068493150683</v>
      </c>
      <c r="S112" s="148">
        <f t="shared" si="59"/>
        <v>9870.5639999999985</v>
      </c>
      <c r="T112" s="199"/>
      <c r="U112" s="150"/>
      <c r="V112" s="249"/>
      <c r="W112" s="249"/>
      <c r="X112" s="152"/>
      <c r="Y112" s="153"/>
      <c r="Z112" s="153"/>
      <c r="AA112" s="154"/>
      <c r="AB112" s="155">
        <f>S112*$AB$3</f>
        <v>5724.9271199999985</v>
      </c>
      <c r="AC112" s="156">
        <f>S112*$AC$3</f>
        <v>1283.1733199999999</v>
      </c>
      <c r="AD112" s="156">
        <f>S112*$AD$3</f>
        <v>866.14199099999985</v>
      </c>
      <c r="AE112" s="156">
        <f>S112*$AE$3</f>
        <v>394.82255999999995</v>
      </c>
      <c r="AF112" s="156">
        <f>S112*$AF$3</f>
        <v>197.41127999999998</v>
      </c>
      <c r="AG112" s="156">
        <f>S112*$AG$3</f>
        <v>197.41127999999998</v>
      </c>
      <c r="AH112" s="156">
        <f>S112*$AH$3</f>
        <v>98.705639999999988</v>
      </c>
      <c r="AI112" s="156">
        <f>S112*$AI$3</f>
        <v>197.41127999999998</v>
      </c>
      <c r="AJ112" s="156">
        <f>S112*$AJ$3</f>
        <v>197.41127999999998</v>
      </c>
      <c r="AK112" s="156">
        <f>S112*$AK$3</f>
        <v>690.93948</v>
      </c>
      <c r="AL112" s="157">
        <f t="shared" si="60"/>
        <v>3037.6660709999996</v>
      </c>
      <c r="AM112" s="158">
        <f t="shared" si="61"/>
        <v>2200</v>
      </c>
      <c r="AN112" s="159">
        <v>0.2</v>
      </c>
      <c r="AO112" s="160">
        <f t="shared" si="62"/>
        <v>80711895.378573343</v>
      </c>
      <c r="AP112" s="161">
        <f t="shared" si="63"/>
        <v>22419.972732090271</v>
      </c>
      <c r="AQ112" s="162">
        <f t="shared" si="64"/>
        <v>4483.9945464180546</v>
      </c>
      <c r="AR112" s="580">
        <f t="shared" si="65"/>
        <v>0.63983940445463106</v>
      </c>
      <c r="AS112" s="582">
        <f t="shared" si="66"/>
        <v>0.63983940445463106</v>
      </c>
      <c r="AT112" s="165"/>
      <c r="AU112" s="166"/>
      <c r="AV112" s="167"/>
      <c r="AW112" s="146"/>
      <c r="AX112" s="168"/>
    </row>
    <row r="113" spans="1:50" ht="11.25" x14ac:dyDescent="0.25">
      <c r="A113" s="140">
        <v>3</v>
      </c>
      <c r="B113" s="221" t="s">
        <v>160</v>
      </c>
      <c r="C113" s="235"/>
      <c r="D113" s="236"/>
      <c r="E113" s="236"/>
      <c r="F113" s="236"/>
      <c r="G113" s="236"/>
      <c r="H113" s="236"/>
      <c r="I113" s="236"/>
      <c r="J113" s="236"/>
      <c r="K113" s="236"/>
      <c r="L113" s="264">
        <f t="shared" si="67"/>
        <v>62240.473509802439</v>
      </c>
      <c r="M113" s="236">
        <v>69003</v>
      </c>
      <c r="N113" s="236">
        <v>72521</v>
      </c>
      <c r="O113" s="237"/>
      <c r="P113" s="223">
        <f t="shared" si="56"/>
        <v>72521</v>
      </c>
      <c r="Q113" s="147">
        <f t="shared" si="57"/>
        <v>7977.31</v>
      </c>
      <c r="R113" s="147">
        <f t="shared" si="58"/>
        <v>21.855643835616441</v>
      </c>
      <c r="S113" s="148">
        <f t="shared" si="59"/>
        <v>4786.3860000000004</v>
      </c>
      <c r="T113" s="199"/>
      <c r="U113" s="150"/>
      <c r="V113" s="249"/>
      <c r="W113" s="249"/>
      <c r="X113" s="152"/>
      <c r="Y113" s="153"/>
      <c r="Z113" s="153"/>
      <c r="AA113" s="154"/>
      <c r="AB113" s="155">
        <f>S113*$AB$3</f>
        <v>2776.1038800000001</v>
      </c>
      <c r="AC113" s="156">
        <f>S113*$AC$3</f>
        <v>622.23018000000013</v>
      </c>
      <c r="AD113" s="156">
        <f>S113*$AD$3</f>
        <v>420.00537150000002</v>
      </c>
      <c r="AE113" s="156">
        <f>S113*$AE$3</f>
        <v>191.45544000000001</v>
      </c>
      <c r="AF113" s="156">
        <f>S113*$AF$3</f>
        <v>95.727720000000005</v>
      </c>
      <c r="AG113" s="156">
        <f>S113*$AG$3</f>
        <v>95.727720000000005</v>
      </c>
      <c r="AH113" s="156">
        <f>S113*$AH$3</f>
        <v>47.863860000000003</v>
      </c>
      <c r="AI113" s="156">
        <f>S113*$AI$3</f>
        <v>95.727720000000005</v>
      </c>
      <c r="AJ113" s="156">
        <f>S113*$AJ$3</f>
        <v>95.727720000000005</v>
      </c>
      <c r="AK113" s="156">
        <f>S113*$AK$3</f>
        <v>335.04702000000009</v>
      </c>
      <c r="AL113" s="157">
        <f t="shared" si="60"/>
        <v>1473.0102915000002</v>
      </c>
      <c r="AM113" s="158">
        <f t="shared" si="61"/>
        <v>2200</v>
      </c>
      <c r="AN113" s="159">
        <v>0.2</v>
      </c>
      <c r="AO113" s="160">
        <f t="shared" si="62"/>
        <v>39138420.669119641</v>
      </c>
      <c r="AP113" s="161">
        <f t="shared" si="63"/>
        <v>10871.784388942582</v>
      </c>
      <c r="AQ113" s="162">
        <f t="shared" si="64"/>
        <v>2174.3568777885166</v>
      </c>
      <c r="AR113" s="580">
        <f t="shared" si="65"/>
        <v>0.31026781931913766</v>
      </c>
      <c r="AS113" s="582">
        <f t="shared" si="66"/>
        <v>0.31026781931913766</v>
      </c>
      <c r="AT113" s="165"/>
      <c r="AU113" s="166"/>
      <c r="AV113" s="167"/>
      <c r="AW113" s="146"/>
      <c r="AX113" s="168"/>
    </row>
    <row r="114" spans="1:50" ht="11.25" x14ac:dyDescent="0.25">
      <c r="A114" s="140">
        <v>4</v>
      </c>
      <c r="B114" s="221" t="s">
        <v>161</v>
      </c>
      <c r="C114" s="235"/>
      <c r="D114" s="236"/>
      <c r="E114" s="236"/>
      <c r="F114" s="236"/>
      <c r="G114" s="236"/>
      <c r="H114" s="236"/>
      <c r="I114" s="236"/>
      <c r="J114" s="236"/>
      <c r="K114" s="236"/>
      <c r="L114" s="264">
        <f t="shared" si="67"/>
        <v>77791.794920119719</v>
      </c>
      <c r="M114" s="236">
        <v>86244</v>
      </c>
      <c r="N114" s="236">
        <v>90641</v>
      </c>
      <c r="O114" s="237"/>
      <c r="P114" s="223">
        <f t="shared" si="56"/>
        <v>90641</v>
      </c>
      <c r="Q114" s="147">
        <f t="shared" si="57"/>
        <v>9970.51</v>
      </c>
      <c r="R114" s="147">
        <f t="shared" si="58"/>
        <v>27.316465753424659</v>
      </c>
      <c r="S114" s="148">
        <f t="shared" si="59"/>
        <v>5982.3059999999996</v>
      </c>
      <c r="T114" s="199"/>
      <c r="U114" s="150"/>
      <c r="V114" s="249"/>
      <c r="W114" s="249"/>
      <c r="X114" s="152"/>
      <c r="Y114" s="153"/>
      <c r="Z114" s="153"/>
      <c r="AA114" s="154"/>
      <c r="AB114" s="155">
        <f>S114*$AB$3</f>
        <v>3469.7374799999993</v>
      </c>
      <c r="AC114" s="156">
        <f>S114*$AC$3</f>
        <v>777.69977999999992</v>
      </c>
      <c r="AD114" s="156">
        <f>S114*$AD$3</f>
        <v>524.94735149999997</v>
      </c>
      <c r="AE114" s="156">
        <f>S114*$AE$3</f>
        <v>239.29223999999999</v>
      </c>
      <c r="AF114" s="156">
        <f>S114*$AF$3</f>
        <v>119.64612</v>
      </c>
      <c r="AG114" s="156">
        <f>S114*$AG$3</f>
        <v>119.64612</v>
      </c>
      <c r="AH114" s="156">
        <f>S114*$AH$3</f>
        <v>59.823059999999998</v>
      </c>
      <c r="AI114" s="156">
        <f>S114*$AI$3</f>
        <v>119.64612</v>
      </c>
      <c r="AJ114" s="156">
        <f>S114*$AJ$3</f>
        <v>119.64612</v>
      </c>
      <c r="AK114" s="156">
        <f>S114*$AK$3</f>
        <v>418.76141999999999</v>
      </c>
      <c r="AL114" s="157">
        <f t="shared" si="60"/>
        <v>1841.0546714999998</v>
      </c>
      <c r="AM114" s="158">
        <f t="shared" si="61"/>
        <v>2200</v>
      </c>
      <c r="AN114" s="159">
        <v>0.2</v>
      </c>
      <c r="AO114" s="160">
        <f t="shared" si="62"/>
        <v>48917494.075780421</v>
      </c>
      <c r="AP114" s="161">
        <f t="shared" si="63"/>
        <v>13588.193885883318</v>
      </c>
      <c r="AQ114" s="162">
        <f t="shared" si="64"/>
        <v>2717.638777176664</v>
      </c>
      <c r="AR114" s="580">
        <f t="shared" si="65"/>
        <v>0.3877909214007797</v>
      </c>
      <c r="AS114" s="582">
        <f t="shared" si="66"/>
        <v>0.3877909214007797</v>
      </c>
      <c r="AT114" s="165"/>
      <c r="AU114" s="166"/>
      <c r="AV114" s="167"/>
      <c r="AW114" s="146"/>
      <c r="AX114" s="168"/>
    </row>
    <row r="115" spans="1:50" ht="11.25" x14ac:dyDescent="0.25">
      <c r="A115" s="140">
        <v>5</v>
      </c>
      <c r="B115" s="221" t="s">
        <v>162</v>
      </c>
      <c r="C115" s="235"/>
      <c r="D115" s="236"/>
      <c r="E115" s="236"/>
      <c r="F115" s="236"/>
      <c r="G115" s="236"/>
      <c r="H115" s="236"/>
      <c r="I115" s="236"/>
      <c r="J115" s="236"/>
      <c r="K115" s="236"/>
      <c r="L115" s="264">
        <f t="shared" si="67"/>
        <v>33744.307682718274</v>
      </c>
      <c r="M115" s="236">
        <v>37411</v>
      </c>
      <c r="N115" s="236">
        <v>39318</v>
      </c>
      <c r="O115" s="237"/>
      <c r="P115" s="223">
        <f t="shared" si="56"/>
        <v>39318</v>
      </c>
      <c r="Q115" s="147">
        <f t="shared" si="57"/>
        <v>4324.9800000000005</v>
      </c>
      <c r="R115" s="147">
        <f t="shared" si="58"/>
        <v>11.849260273972604</v>
      </c>
      <c r="S115" s="148">
        <f t="shared" si="59"/>
        <v>2594.9880000000003</v>
      </c>
      <c r="T115" s="199"/>
      <c r="U115" s="150"/>
      <c r="V115" s="249"/>
      <c r="W115" s="249"/>
      <c r="X115" s="152"/>
      <c r="Y115" s="153"/>
      <c r="Z115" s="153"/>
      <c r="AA115" s="154"/>
      <c r="AB115" s="155">
        <f>S115*$AB$3</f>
        <v>1505.09304</v>
      </c>
      <c r="AC115" s="156">
        <f>S115*$AC$3</f>
        <v>337.34844000000004</v>
      </c>
      <c r="AD115" s="156">
        <f>S115*$AD$3</f>
        <v>227.71019700000002</v>
      </c>
      <c r="AE115" s="156">
        <f>S115*$AE$3</f>
        <v>103.79952000000002</v>
      </c>
      <c r="AF115" s="156">
        <f>S115*$AF$3</f>
        <v>51.899760000000008</v>
      </c>
      <c r="AG115" s="156">
        <f>S115*$AG$3</f>
        <v>51.899760000000008</v>
      </c>
      <c r="AH115" s="156">
        <f>S115*$AH$3</f>
        <v>25.949880000000004</v>
      </c>
      <c r="AI115" s="156">
        <f>S115*$AI$3</f>
        <v>51.899760000000008</v>
      </c>
      <c r="AJ115" s="156">
        <f>S115*$AJ$3</f>
        <v>51.899760000000008</v>
      </c>
      <c r="AK115" s="156">
        <f>S115*$AK$3</f>
        <v>181.64916000000002</v>
      </c>
      <c r="AL115" s="157">
        <f t="shared" si="60"/>
        <v>798.60755700000016</v>
      </c>
      <c r="AM115" s="158">
        <f t="shared" si="61"/>
        <v>2200</v>
      </c>
      <c r="AN115" s="159">
        <v>0.2</v>
      </c>
      <c r="AO115" s="160">
        <f t="shared" si="62"/>
        <v>21219294.050943121</v>
      </c>
      <c r="AP115" s="161">
        <f t="shared" si="63"/>
        <v>5894.2488190240683</v>
      </c>
      <c r="AQ115" s="162">
        <f t="shared" si="64"/>
        <v>1178.8497638048136</v>
      </c>
      <c r="AR115" s="580">
        <f t="shared" si="65"/>
        <v>0.16821486355662293</v>
      </c>
      <c r="AS115" s="582">
        <f t="shared" si="66"/>
        <v>0.16821486355662293</v>
      </c>
      <c r="AT115" s="165"/>
      <c r="AU115" s="166"/>
      <c r="AV115" s="167"/>
      <c r="AW115" s="146"/>
      <c r="AX115" s="168"/>
    </row>
    <row r="116" spans="1:50" ht="11.25" x14ac:dyDescent="0.25">
      <c r="A116" s="140">
        <v>6</v>
      </c>
      <c r="B116" s="221" t="s">
        <v>163</v>
      </c>
      <c r="C116" s="235"/>
      <c r="D116" s="236"/>
      <c r="E116" s="236"/>
      <c r="F116" s="236"/>
      <c r="G116" s="236"/>
      <c r="H116" s="236"/>
      <c r="I116" s="236"/>
      <c r="J116" s="236"/>
      <c r="K116" s="236"/>
      <c r="L116" s="264">
        <f t="shared" si="67"/>
        <v>168996.17543629013</v>
      </c>
      <c r="M116" s="236">
        <v>187359</v>
      </c>
      <c r="N116" s="236">
        <v>196910</v>
      </c>
      <c r="O116" s="237"/>
      <c r="P116" s="223">
        <f t="shared" si="56"/>
        <v>196910</v>
      </c>
      <c r="Q116" s="147">
        <f t="shared" si="57"/>
        <v>21660.1</v>
      </c>
      <c r="R116" s="147">
        <f t="shared" si="58"/>
        <v>59.342739726027396</v>
      </c>
      <c r="S116" s="148">
        <f t="shared" si="59"/>
        <v>12996.06</v>
      </c>
      <c r="T116" s="199"/>
      <c r="U116" s="150"/>
      <c r="V116" s="249"/>
      <c r="W116" s="249"/>
      <c r="X116" s="152"/>
      <c r="Y116" s="153"/>
      <c r="Z116" s="153"/>
      <c r="AA116" s="154"/>
      <c r="AB116" s="155">
        <f>S116*$AB$3</f>
        <v>7537.7147999999988</v>
      </c>
      <c r="AC116" s="156">
        <f>S116*$AC$3</f>
        <v>1689.4877999999999</v>
      </c>
      <c r="AD116" s="156">
        <f>S116*$AD$3</f>
        <v>1140.4042649999999</v>
      </c>
      <c r="AE116" s="156">
        <f>S116*$AE$3</f>
        <v>519.8424</v>
      </c>
      <c r="AF116" s="156">
        <f>S116*$AF$3</f>
        <v>259.9212</v>
      </c>
      <c r="AG116" s="156">
        <f>S116*$AG$3</f>
        <v>259.9212</v>
      </c>
      <c r="AH116" s="156">
        <f>S116*$AH$3</f>
        <v>129.9606</v>
      </c>
      <c r="AI116" s="156">
        <f>S116*$AI$3</f>
        <v>259.9212</v>
      </c>
      <c r="AJ116" s="156">
        <f>S116*$AJ$3</f>
        <v>259.9212</v>
      </c>
      <c r="AK116" s="156">
        <f>S116*$AK$3</f>
        <v>909.7242</v>
      </c>
      <c r="AL116" s="157">
        <f t="shared" si="60"/>
        <v>3999.5374649999999</v>
      </c>
      <c r="AM116" s="158">
        <f t="shared" si="61"/>
        <v>2200</v>
      </c>
      <c r="AN116" s="159">
        <v>0.2</v>
      </c>
      <c r="AO116" s="160">
        <f t="shared" si="62"/>
        <v>106269169.12282439</v>
      </c>
      <c r="AP116" s="161">
        <f t="shared" si="63"/>
        <v>29519.216006766088</v>
      </c>
      <c r="AQ116" s="162">
        <f t="shared" si="64"/>
        <v>5903.8432013532183</v>
      </c>
      <c r="AR116" s="580">
        <f t="shared" si="65"/>
        <v>0.84244337918852996</v>
      </c>
      <c r="AS116" s="582">
        <f t="shared" si="66"/>
        <v>0.84244337918852996</v>
      </c>
      <c r="AT116" s="165"/>
      <c r="AU116" s="166"/>
      <c r="AV116" s="167"/>
      <c r="AW116" s="146"/>
      <c r="AX116" s="168"/>
    </row>
    <row r="117" spans="1:50" ht="11.25" x14ac:dyDescent="0.25">
      <c r="A117" s="140">
        <v>7</v>
      </c>
      <c r="B117" s="238" t="s">
        <v>164</v>
      </c>
      <c r="C117" s="235"/>
      <c r="D117" s="236"/>
      <c r="E117" s="236"/>
      <c r="F117" s="236"/>
      <c r="G117" s="236"/>
      <c r="H117" s="236"/>
      <c r="I117" s="236"/>
      <c r="J117" s="236"/>
      <c r="K117" s="236"/>
      <c r="L117" s="264">
        <f t="shared" si="67"/>
        <v>851739.52266192797</v>
      </c>
      <c r="M117" s="236">
        <v>944285</v>
      </c>
      <c r="N117" s="236">
        <v>992425</v>
      </c>
      <c r="O117" s="237"/>
      <c r="P117" s="223">
        <f t="shared" si="56"/>
        <v>992425</v>
      </c>
      <c r="Q117" s="167"/>
      <c r="R117" s="147">
        <f>P117*$R$2*0.8</f>
        <v>0</v>
      </c>
      <c r="S117" s="146">
        <f>P117*$S$2*$S$3</f>
        <v>0</v>
      </c>
      <c r="T117" s="199"/>
      <c r="U117" s="150"/>
      <c r="V117" s="249"/>
      <c r="W117" s="249"/>
      <c r="X117" s="152"/>
      <c r="Y117" s="153"/>
      <c r="Z117" s="153"/>
      <c r="AA117" s="154"/>
      <c r="AB117" s="155">
        <f>S117*$AB$3</f>
        <v>0</v>
      </c>
      <c r="AC117" s="156">
        <f>S117*$AC$3</f>
        <v>0</v>
      </c>
      <c r="AD117" s="156">
        <f>S117*$AD$3</f>
        <v>0</v>
      </c>
      <c r="AE117" s="156">
        <f>S117*$AE$3</f>
        <v>0</v>
      </c>
      <c r="AF117" s="156">
        <f>S117*$AF$3</f>
        <v>0</v>
      </c>
      <c r="AG117" s="156">
        <f>S117*$AG$3</f>
        <v>0</v>
      </c>
      <c r="AH117" s="156">
        <f>S117*$AH$3</f>
        <v>0</v>
      </c>
      <c r="AI117" s="156">
        <f>S117*$AI$3</f>
        <v>0</v>
      </c>
      <c r="AJ117" s="156">
        <f>S117*$AJ$3</f>
        <v>0</v>
      </c>
      <c r="AK117" s="156">
        <f>S117*$AK$3</f>
        <v>0</v>
      </c>
      <c r="AL117" s="157">
        <f t="shared" si="60"/>
        <v>0</v>
      </c>
      <c r="AM117" s="158">
        <f t="shared" si="61"/>
        <v>2200</v>
      </c>
      <c r="AN117" s="159">
        <v>0.2</v>
      </c>
      <c r="AO117" s="160">
        <f t="shared" si="62"/>
        <v>0</v>
      </c>
      <c r="AP117" s="161">
        <f t="shared" si="63"/>
        <v>0</v>
      </c>
      <c r="AQ117" s="162">
        <f t="shared" si="64"/>
        <v>0</v>
      </c>
      <c r="AR117" s="580">
        <f t="shared" si="65"/>
        <v>0</v>
      </c>
      <c r="AS117" s="435">
        <f t="shared" si="66"/>
        <v>0</v>
      </c>
      <c r="AT117" s="187"/>
      <c r="AU117" s="166"/>
      <c r="AV117" s="167"/>
      <c r="AW117" s="167"/>
      <c r="AX117" s="168"/>
    </row>
    <row r="118" spans="1:50" s="263" customFormat="1" ht="11.25" x14ac:dyDescent="0.25">
      <c r="A118" s="225"/>
      <c r="B118" s="258" t="s">
        <v>165</v>
      </c>
      <c r="C118" s="240">
        <f>SUM(C111:C117)</f>
        <v>0</v>
      </c>
      <c r="D118" s="240">
        <f t="shared" ref="D118:S118" si="68">SUM(D111:D117)</f>
        <v>0</v>
      </c>
      <c r="E118" s="240">
        <f t="shared" si="68"/>
        <v>0</v>
      </c>
      <c r="F118" s="240">
        <f t="shared" si="68"/>
        <v>0</v>
      </c>
      <c r="G118" s="240">
        <f t="shared" si="68"/>
        <v>0</v>
      </c>
      <c r="H118" s="240">
        <f t="shared" si="68"/>
        <v>0</v>
      </c>
      <c r="I118" s="240">
        <f t="shared" si="68"/>
        <v>0</v>
      </c>
      <c r="J118" s="240">
        <v>1392818</v>
      </c>
      <c r="K118" s="240">
        <v>1453073</v>
      </c>
      <c r="L118" s="240">
        <v>1514594</v>
      </c>
      <c r="M118" s="240">
        <f t="shared" si="68"/>
        <v>1679163</v>
      </c>
      <c r="N118" s="240">
        <f>SUM(N111:N117)</f>
        <v>1764766</v>
      </c>
      <c r="O118" s="240">
        <f t="shared" si="68"/>
        <v>0</v>
      </c>
      <c r="P118" s="240">
        <f t="shared" si="68"/>
        <v>1764766</v>
      </c>
      <c r="Q118" s="240">
        <f t="shared" si="68"/>
        <v>84957.510000000009</v>
      </c>
      <c r="R118" s="240">
        <f t="shared" si="68"/>
        <v>232.76030136986299</v>
      </c>
      <c r="S118" s="240">
        <f t="shared" si="68"/>
        <v>50974.505999999987</v>
      </c>
      <c r="T118" s="199"/>
      <c r="U118" s="179"/>
      <c r="V118" s="180"/>
      <c r="W118" s="180"/>
      <c r="X118" s="227"/>
      <c r="Y118" s="181"/>
      <c r="Z118" s="181"/>
      <c r="AA118" s="182"/>
      <c r="AB118" s="240">
        <f>SUM(AB111:AB117)</f>
        <v>29565.213479999995</v>
      </c>
      <c r="AC118" s="244">
        <f t="shared" ref="AC118:AL118" si="69">SUM(AC111:AC117)</f>
        <v>6626.6857799999989</v>
      </c>
      <c r="AD118" s="244">
        <f t="shared" si="69"/>
        <v>4473.0129014999993</v>
      </c>
      <c r="AE118" s="244">
        <f t="shared" si="69"/>
        <v>2038.9802399999999</v>
      </c>
      <c r="AF118" s="244">
        <f t="shared" si="69"/>
        <v>1019.4901199999999</v>
      </c>
      <c r="AG118" s="244">
        <f t="shared" si="69"/>
        <v>1019.4901199999999</v>
      </c>
      <c r="AH118" s="244">
        <f t="shared" si="69"/>
        <v>509.74505999999997</v>
      </c>
      <c r="AI118" s="244">
        <f t="shared" si="69"/>
        <v>1019.4901199999999</v>
      </c>
      <c r="AJ118" s="244">
        <f t="shared" si="69"/>
        <v>1019.4901199999999</v>
      </c>
      <c r="AK118" s="244">
        <f t="shared" si="69"/>
        <v>3568.21542</v>
      </c>
      <c r="AL118" s="245">
        <f t="shared" si="69"/>
        <v>15687.404221499999</v>
      </c>
      <c r="AM118" s="261"/>
      <c r="AN118" s="262"/>
      <c r="AO118" s="184">
        <f>SUM(AO111:AO117)</f>
        <v>416820051.5438084</v>
      </c>
      <c r="AP118" s="184">
        <f t="shared" ref="AP118:AW118" si="70">SUM(AP111:AP117)</f>
        <v>115783.3569137257</v>
      </c>
      <c r="AQ118" s="184">
        <f t="shared" si="70"/>
        <v>23156.671382745142</v>
      </c>
      <c r="AR118" s="186">
        <f t="shared" si="70"/>
        <v>3.3043195466245923</v>
      </c>
      <c r="AS118" s="435">
        <f t="shared" si="70"/>
        <v>3.3043195466245923</v>
      </c>
      <c r="AT118" s="187"/>
      <c r="AU118" s="246">
        <f t="shared" si="70"/>
        <v>0</v>
      </c>
      <c r="AV118" s="246"/>
      <c r="AW118" s="185">
        <f t="shared" si="70"/>
        <v>0</v>
      </c>
      <c r="AX118" s="189"/>
    </row>
    <row r="119" spans="1:50" s="139" customFormat="1" ht="11.25" x14ac:dyDescent="0.25">
      <c r="A119" s="247"/>
      <c r="B119" s="152"/>
      <c r="C119" s="247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248"/>
      <c r="P119" s="249"/>
      <c r="Q119" s="250"/>
      <c r="R119" s="250"/>
      <c r="S119" s="251"/>
      <c r="T119" s="199"/>
      <c r="U119" s="179"/>
      <c r="V119" s="249"/>
      <c r="W119" s="249"/>
      <c r="X119" s="152"/>
      <c r="Y119" s="153"/>
      <c r="Z119" s="153"/>
      <c r="AA119" s="154"/>
      <c r="AB119" s="247"/>
      <c r="AC119" s="252"/>
      <c r="AD119" s="252"/>
      <c r="AE119" s="252"/>
      <c r="AF119" s="252"/>
      <c r="AG119" s="252"/>
      <c r="AH119" s="252"/>
      <c r="AI119" s="252"/>
      <c r="AJ119" s="252"/>
      <c r="AK119" s="252"/>
      <c r="AL119" s="214"/>
      <c r="AM119" s="203"/>
      <c r="AN119" s="204"/>
      <c r="AO119" s="203"/>
      <c r="AP119" s="205"/>
      <c r="AQ119" s="206"/>
      <c r="AR119" s="253"/>
      <c r="AS119" s="254"/>
      <c r="AT119" s="255"/>
      <c r="AU119" s="256"/>
      <c r="AV119" s="257"/>
      <c r="AW119" s="214"/>
      <c r="AX119" s="212"/>
    </row>
    <row r="120" spans="1:50" s="139" customFormat="1" ht="11.25" x14ac:dyDescent="0.25">
      <c r="A120" s="120"/>
      <c r="B120" s="258" t="s">
        <v>166</v>
      </c>
      <c r="C120" s="122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213"/>
      <c r="P120" s="76"/>
      <c r="Q120" s="108"/>
      <c r="R120" s="108"/>
      <c r="S120" s="94"/>
      <c r="T120" s="199"/>
      <c r="U120" s="179"/>
      <c r="V120" s="180"/>
      <c r="W120" s="180"/>
      <c r="X120" s="214"/>
      <c r="Y120" s="181"/>
      <c r="Z120" s="181"/>
      <c r="AA120" s="182"/>
      <c r="AB120" s="62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125"/>
      <c r="AM120" s="75"/>
      <c r="AN120" s="216"/>
      <c r="AO120" s="75"/>
      <c r="AP120" s="51"/>
      <c r="AQ120" s="259"/>
      <c r="AR120" s="583"/>
      <c r="AS120" s="584"/>
      <c r="AT120" s="220"/>
      <c r="AU120" s="135"/>
      <c r="AV120" s="136"/>
      <c r="AW120" s="137"/>
      <c r="AX120" s="138"/>
    </row>
    <row r="121" spans="1:50" ht="11.25" x14ac:dyDescent="0.25">
      <c r="A121" s="140">
        <v>1</v>
      </c>
      <c r="B121" s="221" t="s">
        <v>167</v>
      </c>
      <c r="C121" s="235"/>
      <c r="D121" s="236"/>
      <c r="E121" s="236"/>
      <c r="F121" s="236"/>
      <c r="G121" s="236"/>
      <c r="H121" s="236"/>
      <c r="I121" s="236">
        <v>306494</v>
      </c>
      <c r="J121" s="236">
        <v>308291</v>
      </c>
      <c r="K121" s="236">
        <v>310093</v>
      </c>
      <c r="L121" s="236">
        <v>233719</v>
      </c>
      <c r="M121" s="236">
        <v>229495</v>
      </c>
      <c r="N121" s="236"/>
      <c r="O121" s="237"/>
      <c r="P121" s="223">
        <f t="shared" ref="P121:P131" si="71">MAX(C121:O121)</f>
        <v>310093</v>
      </c>
      <c r="Q121" s="147">
        <f t="shared" ref="Q121:Q129" si="72">P121*$Q$8</f>
        <v>34110.230000000003</v>
      </c>
      <c r="R121" s="147">
        <f t="shared" ref="R121:R131" si="73">Q121/$R$3</f>
        <v>93.452684931506852</v>
      </c>
      <c r="S121" s="148">
        <f t="shared" ref="S121:S129" si="74">R121*$S$3*$S$8</f>
        <v>20466.138000000003</v>
      </c>
      <c r="T121" s="199"/>
      <c r="U121" s="150"/>
      <c r="V121" s="249"/>
      <c r="W121" s="249"/>
      <c r="X121" s="152"/>
      <c r="Y121" s="153"/>
      <c r="Z121" s="153"/>
      <c r="AA121" s="154"/>
      <c r="AB121" s="155">
        <f>S121*$AB$3</f>
        <v>11870.360040000001</v>
      </c>
      <c r="AC121" s="156">
        <f>S121*$AC$3</f>
        <v>2660.5979400000006</v>
      </c>
      <c r="AD121" s="156">
        <f>S121*$AD$3</f>
        <v>1795.9036095000001</v>
      </c>
      <c r="AE121" s="156">
        <f>S121*$AE$3</f>
        <v>818.64552000000015</v>
      </c>
      <c r="AF121" s="156">
        <f>S121*$AF$3</f>
        <v>409.32276000000007</v>
      </c>
      <c r="AG121" s="156">
        <f>S121*$AG$3</f>
        <v>409.32276000000007</v>
      </c>
      <c r="AH121" s="156">
        <f>S121*$AH$3</f>
        <v>204.66138000000004</v>
      </c>
      <c r="AI121" s="156">
        <f>S121*$AI$3</f>
        <v>409.32276000000007</v>
      </c>
      <c r="AJ121" s="156">
        <f>S121*$AJ$3</f>
        <v>409.32276000000007</v>
      </c>
      <c r="AK121" s="156">
        <f>S121*$AK$3</f>
        <v>1432.6296600000003</v>
      </c>
      <c r="AL121" s="157">
        <f t="shared" ref="AL121:AL131" si="75">SUM(AC121:AH121)</f>
        <v>6298.4539695000012</v>
      </c>
      <c r="AM121" s="158">
        <f t="shared" ref="AM121:AM131" si="76">$AM$3</f>
        <v>2200</v>
      </c>
      <c r="AN121" s="159">
        <v>0.2</v>
      </c>
      <c r="AO121" s="160">
        <f t="shared" ref="AO121:AO131" si="77">(AB121+AL121)*AM121*$AO$3</f>
        <v>167352219.08894411</v>
      </c>
      <c r="AP121" s="161">
        <f t="shared" ref="AP121:AP131" si="78">AO121*$AP$3</f>
        <v>46486.731243644899</v>
      </c>
      <c r="AQ121" s="162">
        <f t="shared" ref="AQ121:AQ131" si="79">AP121*$AQ$3</f>
        <v>9297.3462487289798</v>
      </c>
      <c r="AR121" s="580">
        <f t="shared" ref="AR121:AR131" si="80">AQ121/$AR$3</f>
        <v>1.3266761199670347</v>
      </c>
      <c r="AS121" s="582">
        <f t="shared" ref="AS121:AS131" si="81">AR121</f>
        <v>1.3266761199670347</v>
      </c>
      <c r="AT121" s="165"/>
      <c r="AU121" s="166"/>
      <c r="AV121" s="167"/>
      <c r="AW121" s="146"/>
      <c r="AX121" s="168"/>
    </row>
    <row r="122" spans="1:50" ht="11.25" x14ac:dyDescent="0.25">
      <c r="A122" s="140">
        <v>2</v>
      </c>
      <c r="B122" s="221" t="s">
        <v>168</v>
      </c>
      <c r="C122" s="235"/>
      <c r="D122" s="236"/>
      <c r="E122" s="236"/>
      <c r="F122" s="236"/>
      <c r="G122" s="236"/>
      <c r="H122" s="236"/>
      <c r="I122" s="236">
        <v>277595</v>
      </c>
      <c r="J122" s="236">
        <v>281476</v>
      </c>
      <c r="K122" s="236">
        <v>286578</v>
      </c>
      <c r="L122" s="236">
        <v>292013</v>
      </c>
      <c r="M122" s="236">
        <v>333206</v>
      </c>
      <c r="N122" s="236"/>
      <c r="O122" s="237"/>
      <c r="P122" s="223">
        <f t="shared" si="71"/>
        <v>333206</v>
      </c>
      <c r="Q122" s="147">
        <f t="shared" si="72"/>
        <v>36652.660000000003</v>
      </c>
      <c r="R122" s="147">
        <f t="shared" si="73"/>
        <v>100.41824657534248</v>
      </c>
      <c r="S122" s="148">
        <f t="shared" si="74"/>
        <v>21991.596000000001</v>
      </c>
      <c r="T122" s="199"/>
      <c r="U122" s="150"/>
      <c r="V122" s="249"/>
      <c r="W122" s="249"/>
      <c r="X122" s="152"/>
      <c r="Y122" s="153"/>
      <c r="Z122" s="153"/>
      <c r="AA122" s="154"/>
      <c r="AB122" s="155">
        <f>S122*$AB$3</f>
        <v>12755.125679999999</v>
      </c>
      <c r="AC122" s="156">
        <f>S122*$AC$3</f>
        <v>2858.9074800000003</v>
      </c>
      <c r="AD122" s="156">
        <f>S122*$AD$3</f>
        <v>1929.762549</v>
      </c>
      <c r="AE122" s="156">
        <f>S122*$AE$3</f>
        <v>879.66384000000005</v>
      </c>
      <c r="AF122" s="156">
        <f>S122*$AF$3</f>
        <v>439.83192000000003</v>
      </c>
      <c r="AG122" s="156">
        <f>S122*$AG$3</f>
        <v>439.83192000000003</v>
      </c>
      <c r="AH122" s="156">
        <f>S122*$AH$3</f>
        <v>219.91596000000001</v>
      </c>
      <c r="AI122" s="156">
        <f>S122*$AI$3</f>
        <v>439.83192000000003</v>
      </c>
      <c r="AJ122" s="156">
        <f>S122*$AJ$3</f>
        <v>439.83192000000003</v>
      </c>
      <c r="AK122" s="156">
        <f>S122*$AK$3</f>
        <v>1539.4117200000003</v>
      </c>
      <c r="AL122" s="157">
        <f t="shared" si="75"/>
        <v>6767.9136690000005</v>
      </c>
      <c r="AM122" s="158">
        <f t="shared" si="76"/>
        <v>2200</v>
      </c>
      <c r="AN122" s="159">
        <v>0.2</v>
      </c>
      <c r="AO122" s="160">
        <f t="shared" si="77"/>
        <v>179825934.52206504</v>
      </c>
      <c r="AP122" s="161">
        <f t="shared" si="78"/>
        <v>49951.652474483279</v>
      </c>
      <c r="AQ122" s="162">
        <f t="shared" si="79"/>
        <v>9990.3304948966561</v>
      </c>
      <c r="AR122" s="580">
        <f t="shared" si="80"/>
        <v>1.4255608582900479</v>
      </c>
      <c r="AS122" s="582">
        <f t="shared" si="81"/>
        <v>1.4255608582900479</v>
      </c>
      <c r="AT122" s="165"/>
      <c r="AU122" s="166"/>
      <c r="AV122" s="167"/>
      <c r="AW122" s="146"/>
      <c r="AX122" s="168"/>
    </row>
    <row r="123" spans="1:50" ht="11.25" x14ac:dyDescent="0.25">
      <c r="A123" s="140">
        <v>3</v>
      </c>
      <c r="B123" s="221" t="s">
        <v>169</v>
      </c>
      <c r="C123" s="235"/>
      <c r="D123" s="236"/>
      <c r="E123" s="236"/>
      <c r="F123" s="236"/>
      <c r="G123" s="236"/>
      <c r="H123" s="236"/>
      <c r="I123" s="236">
        <v>205090</v>
      </c>
      <c r="J123" s="236">
        <v>209851</v>
      </c>
      <c r="K123" s="236">
        <v>214036</v>
      </c>
      <c r="L123" s="236">
        <v>218228</v>
      </c>
      <c r="M123" s="236">
        <v>246245</v>
      </c>
      <c r="N123" s="236"/>
      <c r="O123" s="237"/>
      <c r="P123" s="223">
        <f t="shared" si="71"/>
        <v>246245</v>
      </c>
      <c r="Q123" s="147">
        <f t="shared" si="72"/>
        <v>27086.95</v>
      </c>
      <c r="R123" s="147">
        <f t="shared" si="73"/>
        <v>74.210821917808218</v>
      </c>
      <c r="S123" s="148">
        <f t="shared" si="74"/>
        <v>16252.17</v>
      </c>
      <c r="T123" s="199"/>
      <c r="U123" s="150"/>
      <c r="V123" s="249"/>
      <c r="W123" s="249"/>
      <c r="X123" s="152"/>
      <c r="Y123" s="153"/>
      <c r="Z123" s="153"/>
      <c r="AA123" s="154"/>
      <c r="AB123" s="155">
        <f>S123*$AB$3</f>
        <v>9426.2585999999992</v>
      </c>
      <c r="AC123" s="156">
        <f>S123*$AC$3</f>
        <v>2112.7820999999999</v>
      </c>
      <c r="AD123" s="156">
        <f>S123*$AD$3</f>
        <v>1426.1279175</v>
      </c>
      <c r="AE123" s="156">
        <f>S123*$AE$3</f>
        <v>650.08680000000004</v>
      </c>
      <c r="AF123" s="156">
        <f>S123*$AF$3</f>
        <v>325.04340000000002</v>
      </c>
      <c r="AG123" s="156">
        <f>S123*$AG$3</f>
        <v>325.04340000000002</v>
      </c>
      <c r="AH123" s="156">
        <f>S123*$AH$3</f>
        <v>162.52170000000001</v>
      </c>
      <c r="AI123" s="156">
        <f>S123*$AI$3</f>
        <v>325.04340000000002</v>
      </c>
      <c r="AJ123" s="156">
        <f>S123*$AJ$3</f>
        <v>325.04340000000002</v>
      </c>
      <c r="AK123" s="156">
        <f>S123*$AK$3</f>
        <v>1137.6519000000001</v>
      </c>
      <c r="AL123" s="157">
        <f t="shared" si="75"/>
        <v>5001.6053175000006</v>
      </c>
      <c r="AM123" s="158">
        <f t="shared" si="76"/>
        <v>2200</v>
      </c>
      <c r="AN123" s="159">
        <v>0.2</v>
      </c>
      <c r="AO123" s="160">
        <f t="shared" si="77"/>
        <v>132894477.42953579</v>
      </c>
      <c r="AP123" s="161">
        <f t="shared" si="78"/>
        <v>36915.135572526109</v>
      </c>
      <c r="AQ123" s="162">
        <f t="shared" si="79"/>
        <v>7383.027114505222</v>
      </c>
      <c r="AR123" s="580">
        <f t="shared" si="80"/>
        <v>1.0535141430515442</v>
      </c>
      <c r="AS123" s="582">
        <f t="shared" si="81"/>
        <v>1.0535141430515442</v>
      </c>
      <c r="AT123" s="165"/>
      <c r="AU123" s="166"/>
      <c r="AV123" s="167"/>
      <c r="AW123" s="146"/>
      <c r="AX123" s="168"/>
    </row>
    <row r="124" spans="1:50" ht="11.25" x14ac:dyDescent="0.25">
      <c r="A124" s="140">
        <v>4</v>
      </c>
      <c r="B124" s="221" t="s">
        <v>170</v>
      </c>
      <c r="C124" s="235"/>
      <c r="D124" s="236"/>
      <c r="E124" s="236"/>
      <c r="F124" s="236"/>
      <c r="G124" s="236"/>
      <c r="H124" s="236"/>
      <c r="I124" s="236">
        <v>211897</v>
      </c>
      <c r="J124" s="236">
        <v>215336</v>
      </c>
      <c r="K124" s="236">
        <v>219181</v>
      </c>
      <c r="L124" s="236">
        <v>222841</v>
      </c>
      <c r="M124" s="236">
        <v>241334</v>
      </c>
      <c r="N124" s="236"/>
      <c r="O124" s="237"/>
      <c r="P124" s="223">
        <f t="shared" si="71"/>
        <v>241334</v>
      </c>
      <c r="Q124" s="147">
        <f t="shared" si="72"/>
        <v>26546.74</v>
      </c>
      <c r="R124" s="147">
        <f t="shared" si="73"/>
        <v>72.730794520547946</v>
      </c>
      <c r="S124" s="148">
        <f t="shared" si="74"/>
        <v>15928.044</v>
      </c>
      <c r="T124" s="199"/>
      <c r="U124" s="150"/>
      <c r="V124" s="249"/>
      <c r="W124" s="249"/>
      <c r="X124" s="152"/>
      <c r="Y124" s="153"/>
      <c r="Z124" s="153"/>
      <c r="AA124" s="154"/>
      <c r="AB124" s="155">
        <f>S124*$AB$3</f>
        <v>9238.265519999999</v>
      </c>
      <c r="AC124" s="156">
        <f>S124*$AC$3</f>
        <v>2070.64572</v>
      </c>
      <c r="AD124" s="156">
        <f>S124*$AD$3</f>
        <v>1397.6858609999999</v>
      </c>
      <c r="AE124" s="156">
        <f>S124*$AE$3</f>
        <v>637.12175999999999</v>
      </c>
      <c r="AF124" s="156">
        <f>S124*$AF$3</f>
        <v>318.56088</v>
      </c>
      <c r="AG124" s="156">
        <f>S124*$AG$3</f>
        <v>318.56088</v>
      </c>
      <c r="AH124" s="156">
        <f>S124*$AH$3</f>
        <v>159.28044</v>
      </c>
      <c r="AI124" s="156">
        <f>S124*$AI$3</f>
        <v>318.56088</v>
      </c>
      <c r="AJ124" s="156">
        <f>S124*$AJ$3</f>
        <v>318.56088</v>
      </c>
      <c r="AK124" s="156">
        <f>S124*$AK$3</f>
        <v>1114.96308</v>
      </c>
      <c r="AL124" s="157">
        <f t="shared" si="75"/>
        <v>4901.8555410000008</v>
      </c>
      <c r="AM124" s="158">
        <f t="shared" si="76"/>
        <v>2200</v>
      </c>
      <c r="AN124" s="159">
        <v>0.2</v>
      </c>
      <c r="AO124" s="160">
        <f t="shared" si="77"/>
        <v>130244089.48802856</v>
      </c>
      <c r="AP124" s="161">
        <f t="shared" si="78"/>
        <v>36178.9166409877</v>
      </c>
      <c r="AQ124" s="162">
        <f t="shared" si="79"/>
        <v>7235.78332819754</v>
      </c>
      <c r="AR124" s="580">
        <f t="shared" si="80"/>
        <v>1.0325033287953111</v>
      </c>
      <c r="AS124" s="582">
        <f t="shared" si="81"/>
        <v>1.0325033287953111</v>
      </c>
      <c r="AT124" s="165"/>
      <c r="AU124" s="166"/>
      <c r="AV124" s="167"/>
      <c r="AW124" s="146"/>
      <c r="AX124" s="168"/>
    </row>
    <row r="125" spans="1:50" ht="11.25" x14ac:dyDescent="0.25">
      <c r="A125" s="140">
        <v>5</v>
      </c>
      <c r="B125" s="221" t="s">
        <v>171</v>
      </c>
      <c r="C125" s="235"/>
      <c r="D125" s="236"/>
      <c r="E125" s="236"/>
      <c r="F125" s="236"/>
      <c r="G125" s="236"/>
      <c r="H125" s="236"/>
      <c r="I125" s="236">
        <v>295319</v>
      </c>
      <c r="J125" s="236">
        <v>306574</v>
      </c>
      <c r="K125" s="236">
        <v>310676</v>
      </c>
      <c r="L125" s="236">
        <v>314598</v>
      </c>
      <c r="M125" s="236">
        <v>342952</v>
      </c>
      <c r="N125" s="236"/>
      <c r="O125" s="237"/>
      <c r="P125" s="223">
        <f t="shared" si="71"/>
        <v>342952</v>
      </c>
      <c r="Q125" s="147">
        <f t="shared" si="72"/>
        <v>37724.720000000001</v>
      </c>
      <c r="R125" s="147">
        <f t="shared" si="73"/>
        <v>103.35539726027397</v>
      </c>
      <c r="S125" s="148">
        <f t="shared" si="74"/>
        <v>22634.831999999999</v>
      </c>
      <c r="T125" s="199"/>
      <c r="U125" s="150"/>
      <c r="V125" s="249"/>
      <c r="W125" s="249"/>
      <c r="X125" s="152"/>
      <c r="Y125" s="153"/>
      <c r="Z125" s="153"/>
      <c r="AA125" s="154"/>
      <c r="AB125" s="155">
        <f>S125*$AB$3</f>
        <v>13128.202559999998</v>
      </c>
      <c r="AC125" s="156">
        <f>S125*$AC$3</f>
        <v>2942.5281599999998</v>
      </c>
      <c r="AD125" s="156">
        <f>S125*$AD$3</f>
        <v>1986.2065079999998</v>
      </c>
      <c r="AE125" s="156">
        <f>S125*$AE$3</f>
        <v>905.39328</v>
      </c>
      <c r="AF125" s="156">
        <f>S125*$AF$3</f>
        <v>452.69664</v>
      </c>
      <c r="AG125" s="156">
        <f>S125*$AG$3</f>
        <v>452.69664</v>
      </c>
      <c r="AH125" s="156">
        <f>S125*$AH$3</f>
        <v>226.34832</v>
      </c>
      <c r="AI125" s="156">
        <f>S125*$AI$3</f>
        <v>452.69664</v>
      </c>
      <c r="AJ125" s="156">
        <f>S125*$AJ$3</f>
        <v>452.69664</v>
      </c>
      <c r="AK125" s="156">
        <f>S125*$AK$3</f>
        <v>1584.43824</v>
      </c>
      <c r="AL125" s="157">
        <f t="shared" si="75"/>
        <v>6965.8695479999997</v>
      </c>
      <c r="AM125" s="158">
        <f t="shared" si="76"/>
        <v>2200</v>
      </c>
      <c r="AN125" s="159">
        <v>0.2</v>
      </c>
      <c r="AO125" s="160">
        <f t="shared" si="77"/>
        <v>185085694.42390364</v>
      </c>
      <c r="AP125" s="161">
        <f t="shared" si="78"/>
        <v>51412.697008544223</v>
      </c>
      <c r="AQ125" s="162">
        <f t="shared" si="79"/>
        <v>10282.539401708846</v>
      </c>
      <c r="AR125" s="580">
        <f t="shared" si="80"/>
        <v>1.4672573347187279</v>
      </c>
      <c r="AS125" s="582">
        <f t="shared" si="81"/>
        <v>1.4672573347187279</v>
      </c>
      <c r="AT125" s="165"/>
      <c r="AU125" s="166"/>
      <c r="AV125" s="167"/>
      <c r="AW125" s="146"/>
      <c r="AX125" s="168"/>
    </row>
    <row r="126" spans="1:50" ht="11.25" x14ac:dyDescent="0.25">
      <c r="A126" s="140">
        <v>6</v>
      </c>
      <c r="B126" s="221" t="s">
        <v>172</v>
      </c>
      <c r="C126" s="235"/>
      <c r="D126" s="236"/>
      <c r="E126" s="236"/>
      <c r="F126" s="236"/>
      <c r="G126" s="236"/>
      <c r="H126" s="236"/>
      <c r="I126" s="236">
        <v>207340</v>
      </c>
      <c r="J126" s="236">
        <v>209477</v>
      </c>
      <c r="K126" s="236">
        <v>211789</v>
      </c>
      <c r="L126" s="236">
        <v>213781</v>
      </c>
      <c r="M126" s="236">
        <v>205272</v>
      </c>
      <c r="N126" s="236"/>
      <c r="O126" s="237"/>
      <c r="P126" s="223">
        <f t="shared" si="71"/>
        <v>213781</v>
      </c>
      <c r="Q126" s="147">
        <f t="shared" si="72"/>
        <v>23515.91</v>
      </c>
      <c r="R126" s="147">
        <f t="shared" si="73"/>
        <v>64.427150684931505</v>
      </c>
      <c r="S126" s="148">
        <f t="shared" si="74"/>
        <v>14109.546</v>
      </c>
      <c r="T126" s="199"/>
      <c r="U126" s="150"/>
      <c r="V126" s="249"/>
      <c r="W126" s="249"/>
      <c r="X126" s="152"/>
      <c r="Y126" s="153"/>
      <c r="Z126" s="153"/>
      <c r="AA126" s="154"/>
      <c r="AB126" s="155">
        <f>S126*$AB$3</f>
        <v>8183.5366799999993</v>
      </c>
      <c r="AC126" s="156">
        <f>S126*$AC$3</f>
        <v>1834.24098</v>
      </c>
      <c r="AD126" s="156">
        <f>S126*$AD$3</f>
        <v>1238.1126615000001</v>
      </c>
      <c r="AE126" s="156">
        <f>S126*$AE$3</f>
        <v>564.38184000000001</v>
      </c>
      <c r="AF126" s="156">
        <f>S126*$AF$3</f>
        <v>282.19092000000001</v>
      </c>
      <c r="AG126" s="156">
        <f>S126*$AG$3</f>
        <v>282.19092000000001</v>
      </c>
      <c r="AH126" s="156">
        <f>S126*$AH$3</f>
        <v>141.09546</v>
      </c>
      <c r="AI126" s="156">
        <f>S126*$AI$3</f>
        <v>282.19092000000001</v>
      </c>
      <c r="AJ126" s="156">
        <f>S126*$AJ$3</f>
        <v>282.19092000000001</v>
      </c>
      <c r="AK126" s="156">
        <f>S126*$AK$3</f>
        <v>987.66822000000013</v>
      </c>
      <c r="AL126" s="157">
        <f t="shared" si="75"/>
        <v>4342.2127815000003</v>
      </c>
      <c r="AM126" s="158">
        <f t="shared" si="76"/>
        <v>2200</v>
      </c>
      <c r="AN126" s="159">
        <v>0.2</v>
      </c>
      <c r="AO126" s="160">
        <f t="shared" si="77"/>
        <v>115374177.25989804</v>
      </c>
      <c r="AP126" s="161">
        <f t="shared" si="78"/>
        <v>32048.385136064506</v>
      </c>
      <c r="AQ126" s="162">
        <f t="shared" si="79"/>
        <v>6409.6770272129015</v>
      </c>
      <c r="AR126" s="580">
        <f t="shared" si="80"/>
        <v>0.9146228634721606</v>
      </c>
      <c r="AS126" s="582">
        <f t="shared" si="81"/>
        <v>0.9146228634721606</v>
      </c>
      <c r="AT126" s="165"/>
      <c r="AU126" s="166"/>
      <c r="AV126" s="167"/>
      <c r="AW126" s="146"/>
      <c r="AX126" s="168"/>
    </row>
    <row r="127" spans="1:50" ht="11.25" x14ac:dyDescent="0.25">
      <c r="A127" s="140">
        <v>7</v>
      </c>
      <c r="B127" s="221" t="s">
        <v>173</v>
      </c>
      <c r="C127" s="235"/>
      <c r="D127" s="236"/>
      <c r="E127" s="236"/>
      <c r="F127" s="236"/>
      <c r="G127" s="236"/>
      <c r="H127" s="236"/>
      <c r="I127" s="236">
        <v>239016</v>
      </c>
      <c r="J127" s="236">
        <v>245559</v>
      </c>
      <c r="K127" s="236">
        <v>250746</v>
      </c>
      <c r="L127" s="236">
        <v>255952</v>
      </c>
      <c r="M127" s="236">
        <v>278741</v>
      </c>
      <c r="N127" s="236"/>
      <c r="O127" s="237"/>
      <c r="P127" s="223">
        <f t="shared" si="71"/>
        <v>278741</v>
      </c>
      <c r="Q127" s="147">
        <f t="shared" si="72"/>
        <v>30661.51</v>
      </c>
      <c r="R127" s="147">
        <f t="shared" si="73"/>
        <v>84.004136986301361</v>
      </c>
      <c r="S127" s="148">
        <f t="shared" si="74"/>
        <v>18396.905999999999</v>
      </c>
      <c r="T127" s="199"/>
      <c r="U127" s="150"/>
      <c r="V127" s="249"/>
      <c r="W127" s="249"/>
      <c r="X127" s="152"/>
      <c r="Y127" s="153"/>
      <c r="Z127" s="153"/>
      <c r="AA127" s="154"/>
      <c r="AB127" s="155">
        <f>S127*$AB$3</f>
        <v>10670.205479999999</v>
      </c>
      <c r="AC127" s="156">
        <f>S127*$AC$3</f>
        <v>2391.5977800000001</v>
      </c>
      <c r="AD127" s="156">
        <f>S127*$AD$3</f>
        <v>1614.3285014999999</v>
      </c>
      <c r="AE127" s="156">
        <f>S127*$AE$3</f>
        <v>735.87623999999994</v>
      </c>
      <c r="AF127" s="156">
        <f>S127*$AF$3</f>
        <v>367.93811999999997</v>
      </c>
      <c r="AG127" s="156">
        <f>S127*$AG$3</f>
        <v>367.93811999999997</v>
      </c>
      <c r="AH127" s="156">
        <f>S127*$AH$3</f>
        <v>183.96905999999998</v>
      </c>
      <c r="AI127" s="156">
        <f>S127*$AI$3</f>
        <v>367.93811999999997</v>
      </c>
      <c r="AJ127" s="156">
        <f>S127*$AJ$3</f>
        <v>367.93811999999997</v>
      </c>
      <c r="AK127" s="156">
        <f>S127*$AK$3</f>
        <v>1287.78342</v>
      </c>
      <c r="AL127" s="157">
        <f t="shared" si="75"/>
        <v>5661.6478214999997</v>
      </c>
      <c r="AM127" s="158">
        <f t="shared" si="76"/>
        <v>2200</v>
      </c>
      <c r="AN127" s="159">
        <v>0.2</v>
      </c>
      <c r="AO127" s="160">
        <f t="shared" si="77"/>
        <v>150432047.48598444</v>
      </c>
      <c r="AP127" s="161">
        <f t="shared" si="78"/>
        <v>41786.683200152293</v>
      </c>
      <c r="AQ127" s="162">
        <f t="shared" si="79"/>
        <v>8357.3366400304585</v>
      </c>
      <c r="AR127" s="580">
        <f t="shared" si="80"/>
        <v>1.1925423287714696</v>
      </c>
      <c r="AS127" s="582">
        <f t="shared" si="81"/>
        <v>1.1925423287714696</v>
      </c>
      <c r="AT127" s="165"/>
      <c r="AU127" s="166"/>
      <c r="AV127" s="167"/>
      <c r="AW127" s="146"/>
      <c r="AX127" s="168"/>
    </row>
    <row r="128" spans="1:50" ht="11.25" x14ac:dyDescent="0.25">
      <c r="A128" s="140">
        <v>8</v>
      </c>
      <c r="B128" s="221" t="s">
        <v>174</v>
      </c>
      <c r="C128" s="235"/>
      <c r="D128" s="236"/>
      <c r="E128" s="236"/>
      <c r="F128" s="236"/>
      <c r="G128" s="236"/>
      <c r="H128" s="236"/>
      <c r="I128" s="236">
        <v>246044</v>
      </c>
      <c r="J128" s="236">
        <v>250057</v>
      </c>
      <c r="K128" s="236">
        <v>253373</v>
      </c>
      <c r="L128" s="236">
        <v>257267</v>
      </c>
      <c r="M128" s="236">
        <v>297735</v>
      </c>
      <c r="N128" s="236"/>
      <c r="O128" s="237"/>
      <c r="P128" s="223">
        <f t="shared" si="71"/>
        <v>297735</v>
      </c>
      <c r="Q128" s="147">
        <f t="shared" si="72"/>
        <v>32750.85</v>
      </c>
      <c r="R128" s="147">
        <f t="shared" si="73"/>
        <v>89.728356164383555</v>
      </c>
      <c r="S128" s="148">
        <f t="shared" si="74"/>
        <v>19650.509999999998</v>
      </c>
      <c r="T128" s="199"/>
      <c r="U128" s="150"/>
      <c r="V128" s="249"/>
      <c r="W128" s="249"/>
      <c r="X128" s="152"/>
      <c r="Y128" s="153"/>
      <c r="Z128" s="153"/>
      <c r="AA128" s="154"/>
      <c r="AB128" s="155">
        <f>S128*$AB$3</f>
        <v>11397.295799999998</v>
      </c>
      <c r="AC128" s="156">
        <f>S128*$AC$3</f>
        <v>2554.5663</v>
      </c>
      <c r="AD128" s="156">
        <f>S128*$AD$3</f>
        <v>1724.3322524999999</v>
      </c>
      <c r="AE128" s="156">
        <f>S128*$AE$3</f>
        <v>786.0204</v>
      </c>
      <c r="AF128" s="156">
        <f>S128*$AF$3</f>
        <v>393.0102</v>
      </c>
      <c r="AG128" s="156">
        <f>S128*$AG$3</f>
        <v>393.0102</v>
      </c>
      <c r="AH128" s="156">
        <f>S128*$AH$3</f>
        <v>196.5051</v>
      </c>
      <c r="AI128" s="156">
        <f>S128*$AI$3</f>
        <v>393.0102</v>
      </c>
      <c r="AJ128" s="156">
        <f>S128*$AJ$3</f>
        <v>393.0102</v>
      </c>
      <c r="AK128" s="156">
        <f>S128*$AK$3</f>
        <v>1375.5356999999999</v>
      </c>
      <c r="AL128" s="157">
        <f t="shared" si="75"/>
        <v>6047.4444524999999</v>
      </c>
      <c r="AM128" s="158">
        <f t="shared" si="76"/>
        <v>2200</v>
      </c>
      <c r="AN128" s="159">
        <v>0.2</v>
      </c>
      <c r="AO128" s="160">
        <f t="shared" si="77"/>
        <v>160682804.6761674</v>
      </c>
      <c r="AP128" s="161">
        <f t="shared" si="78"/>
        <v>44634.115980775488</v>
      </c>
      <c r="AQ128" s="162">
        <f t="shared" si="79"/>
        <v>8926.8231961550973</v>
      </c>
      <c r="AR128" s="580">
        <f t="shared" si="80"/>
        <v>1.273804679816652</v>
      </c>
      <c r="AS128" s="582">
        <f t="shared" si="81"/>
        <v>1.273804679816652</v>
      </c>
      <c r="AT128" s="165"/>
      <c r="AU128" s="166"/>
      <c r="AV128" s="167"/>
      <c r="AW128" s="146"/>
      <c r="AX128" s="168"/>
    </row>
    <row r="129" spans="1:50" ht="11.25" x14ac:dyDescent="0.25">
      <c r="A129" s="140">
        <v>9</v>
      </c>
      <c r="B129" s="221" t="s">
        <v>175</v>
      </c>
      <c r="C129" s="235"/>
      <c r="D129" s="236"/>
      <c r="E129" s="236"/>
      <c r="F129" s="236"/>
      <c r="G129" s="236"/>
      <c r="H129" s="236"/>
      <c r="I129" s="236">
        <v>250934</v>
      </c>
      <c r="J129" s="236">
        <v>257087</v>
      </c>
      <c r="K129" s="236">
        <v>264389</v>
      </c>
      <c r="L129" s="236">
        <v>271625</v>
      </c>
      <c r="M129" s="236">
        <v>303135</v>
      </c>
      <c r="N129" s="236"/>
      <c r="O129" s="237"/>
      <c r="P129" s="223">
        <f t="shared" si="71"/>
        <v>303135</v>
      </c>
      <c r="Q129" s="147">
        <f t="shared" si="72"/>
        <v>33344.85</v>
      </c>
      <c r="R129" s="147">
        <f t="shared" si="73"/>
        <v>91.355753424657536</v>
      </c>
      <c r="S129" s="148">
        <f t="shared" si="74"/>
        <v>20006.91</v>
      </c>
      <c r="T129" s="199"/>
      <c r="U129" s="150"/>
      <c r="V129" s="249"/>
      <c r="W129" s="249"/>
      <c r="X129" s="152"/>
      <c r="Y129" s="153"/>
      <c r="Z129" s="153"/>
      <c r="AA129" s="154"/>
      <c r="AB129" s="155">
        <f>S129*$AB$3</f>
        <v>11604.007799999999</v>
      </c>
      <c r="AC129" s="156">
        <f>S129*$AC$3</f>
        <v>2600.8983000000003</v>
      </c>
      <c r="AD129" s="156">
        <f>S129*$AD$3</f>
        <v>1755.6063525</v>
      </c>
      <c r="AE129" s="156">
        <f>S129*$AE$3</f>
        <v>800.27639999999997</v>
      </c>
      <c r="AF129" s="156">
        <f>S129*$AF$3</f>
        <v>400.13819999999998</v>
      </c>
      <c r="AG129" s="156">
        <f>S129*$AG$3</f>
        <v>400.13819999999998</v>
      </c>
      <c r="AH129" s="156">
        <f>S129*$AH$3</f>
        <v>200.06909999999999</v>
      </c>
      <c r="AI129" s="156">
        <f>S129*$AI$3</f>
        <v>400.13819999999998</v>
      </c>
      <c r="AJ129" s="156">
        <f>S129*$AJ$3</f>
        <v>400.13819999999998</v>
      </c>
      <c r="AK129" s="156">
        <f>S129*$AK$3</f>
        <v>1400.4837000000002</v>
      </c>
      <c r="AL129" s="157">
        <f t="shared" si="75"/>
        <v>6157.1265524999999</v>
      </c>
      <c r="AM129" s="158">
        <f t="shared" si="76"/>
        <v>2200</v>
      </c>
      <c r="AN129" s="159">
        <v>0.2</v>
      </c>
      <c r="AO129" s="160">
        <f t="shared" si="77"/>
        <v>163597098.07550338</v>
      </c>
      <c r="AP129" s="161">
        <f t="shared" si="78"/>
        <v>45443.641989797565</v>
      </c>
      <c r="AQ129" s="162">
        <f t="shared" si="79"/>
        <v>9088.728397959514</v>
      </c>
      <c r="AR129" s="580">
        <f t="shared" si="80"/>
        <v>1.2969075910330357</v>
      </c>
      <c r="AS129" s="582">
        <f t="shared" si="81"/>
        <v>1.2969075910330357</v>
      </c>
      <c r="AT129" s="165"/>
      <c r="AU129" s="166"/>
      <c r="AV129" s="167"/>
      <c r="AW129" s="146"/>
      <c r="AX129" s="168"/>
    </row>
    <row r="130" spans="1:50" ht="11.25" x14ac:dyDescent="0.25">
      <c r="A130" s="140">
        <v>10</v>
      </c>
      <c r="B130" s="221" t="s">
        <v>176</v>
      </c>
      <c r="C130" s="235"/>
      <c r="D130" s="236"/>
      <c r="E130" s="236"/>
      <c r="F130" s="236"/>
      <c r="G130" s="236"/>
      <c r="H130" s="236"/>
      <c r="I130" s="236">
        <v>443370</v>
      </c>
      <c r="J130" s="236">
        <v>458308</v>
      </c>
      <c r="K130" s="236">
        <v>467408</v>
      </c>
      <c r="L130" s="236">
        <v>476038</v>
      </c>
      <c r="M130" s="236">
        <v>531857</v>
      </c>
      <c r="N130" s="236"/>
      <c r="O130" s="237"/>
      <c r="P130" s="223">
        <f t="shared" si="71"/>
        <v>531857</v>
      </c>
      <c r="Q130" s="147">
        <f>P130*$Q$7</f>
        <v>77651.121999999988</v>
      </c>
      <c r="R130" s="147">
        <f t="shared" si="73"/>
        <v>212.74279999999996</v>
      </c>
      <c r="S130" s="148">
        <f>R130*$S$3*$S$7</f>
        <v>54355.785399999986</v>
      </c>
      <c r="T130" s="199"/>
      <c r="U130" s="150"/>
      <c r="V130" s="249"/>
      <c r="W130" s="249"/>
      <c r="X130" s="152"/>
      <c r="Y130" s="153"/>
      <c r="Z130" s="153"/>
      <c r="AA130" s="154"/>
      <c r="AB130" s="155">
        <f>S130*$AB$3</f>
        <v>31526.35553199999</v>
      </c>
      <c r="AC130" s="156">
        <f>S130*$AC$3</f>
        <v>7066.2521019999986</v>
      </c>
      <c r="AD130" s="156">
        <f>S130*$AD$3</f>
        <v>4769.7201688499981</v>
      </c>
      <c r="AE130" s="156">
        <f>S130*$AE$3</f>
        <v>2174.2314159999996</v>
      </c>
      <c r="AF130" s="156">
        <f>S130*$AF$3</f>
        <v>1087.1157079999998</v>
      </c>
      <c r="AG130" s="156">
        <f>S130*$AG$3</f>
        <v>1087.1157079999998</v>
      </c>
      <c r="AH130" s="156">
        <f>S130*$AH$3</f>
        <v>543.55785399999991</v>
      </c>
      <c r="AI130" s="156">
        <f>S130*$AI$3</f>
        <v>1087.1157079999998</v>
      </c>
      <c r="AJ130" s="156">
        <f>S130*$AJ$3</f>
        <v>1087.1157079999998</v>
      </c>
      <c r="AK130" s="156">
        <f>S130*$AK$3</f>
        <v>3804.9049779999996</v>
      </c>
      <c r="AL130" s="157">
        <f t="shared" si="75"/>
        <v>16727.992956849994</v>
      </c>
      <c r="AM130" s="158">
        <f t="shared" si="76"/>
        <v>2200</v>
      </c>
      <c r="AN130" s="159">
        <v>0.2</v>
      </c>
      <c r="AO130" s="160">
        <f t="shared" si="77"/>
        <v>444468873.75685763</v>
      </c>
      <c r="AP130" s="161">
        <f t="shared" si="78"/>
        <v>123463.58592065764</v>
      </c>
      <c r="AQ130" s="162">
        <f t="shared" si="79"/>
        <v>24692.717184131528</v>
      </c>
      <c r="AR130" s="580">
        <f t="shared" si="80"/>
        <v>3.5235041644023299</v>
      </c>
      <c r="AS130" s="582">
        <f t="shared" si="81"/>
        <v>3.5235041644023299</v>
      </c>
      <c r="AT130" s="165"/>
      <c r="AU130" s="166"/>
      <c r="AV130" s="167"/>
      <c r="AW130" s="146"/>
      <c r="AX130" s="168"/>
    </row>
    <row r="131" spans="1:50" ht="11.25" x14ac:dyDescent="0.25">
      <c r="A131" s="140">
        <v>11</v>
      </c>
      <c r="B131" s="221" t="s">
        <v>177</v>
      </c>
      <c r="C131" s="235"/>
      <c r="D131" s="236"/>
      <c r="E131" s="236"/>
      <c r="F131" s="236"/>
      <c r="G131" s="236"/>
      <c r="H131" s="236"/>
      <c r="I131" s="236"/>
      <c r="J131" s="236"/>
      <c r="K131" s="236"/>
      <c r="L131" s="236">
        <v>78102</v>
      </c>
      <c r="M131" s="236">
        <v>82293</v>
      </c>
      <c r="N131" s="236"/>
      <c r="O131" s="237"/>
      <c r="P131" s="223">
        <f t="shared" si="71"/>
        <v>82293</v>
      </c>
      <c r="Q131" s="147">
        <f>P131*$Q$8</f>
        <v>9052.23</v>
      </c>
      <c r="R131" s="147">
        <f t="shared" si="73"/>
        <v>24.8006301369863</v>
      </c>
      <c r="S131" s="148">
        <f>R131*$S$3*$S$8</f>
        <v>5431.3379999999997</v>
      </c>
      <c r="T131" s="199"/>
      <c r="U131" s="150"/>
      <c r="V131" s="249"/>
      <c r="W131" s="249"/>
      <c r="X131" s="152"/>
      <c r="Y131" s="153"/>
      <c r="Z131" s="153"/>
      <c r="AA131" s="154"/>
      <c r="AB131" s="155">
        <f>S131*$AB$3</f>
        <v>3150.1760399999998</v>
      </c>
      <c r="AC131" s="156">
        <f>S131*$AC$3</f>
        <v>706.07393999999999</v>
      </c>
      <c r="AD131" s="156">
        <f>S131*$AD$3</f>
        <v>476.59990949999997</v>
      </c>
      <c r="AE131" s="156">
        <f>S131*$AE$3</f>
        <v>217.25351999999998</v>
      </c>
      <c r="AF131" s="156">
        <f>S131*$AF$3</f>
        <v>108.62675999999999</v>
      </c>
      <c r="AG131" s="156">
        <f>S131*$AG$3</f>
        <v>108.62675999999999</v>
      </c>
      <c r="AH131" s="156">
        <f>S131*$AH$3</f>
        <v>54.313379999999995</v>
      </c>
      <c r="AI131" s="156">
        <f>S131*$AI$3</f>
        <v>108.62675999999999</v>
      </c>
      <c r="AJ131" s="156">
        <f>S131*$AJ$3</f>
        <v>108.62675999999999</v>
      </c>
      <c r="AK131" s="156">
        <f>S131*$AK$3</f>
        <v>380.19366000000002</v>
      </c>
      <c r="AL131" s="157">
        <f t="shared" si="75"/>
        <v>1671.4942695</v>
      </c>
      <c r="AM131" s="158">
        <f t="shared" si="76"/>
        <v>2200</v>
      </c>
      <c r="AN131" s="159">
        <v>0.2</v>
      </c>
      <c r="AO131" s="160">
        <f t="shared" si="77"/>
        <v>44412212.353992112</v>
      </c>
      <c r="AP131" s="161">
        <f t="shared" si="78"/>
        <v>12336.726640824751</v>
      </c>
      <c r="AQ131" s="162">
        <f t="shared" si="79"/>
        <v>2467.3453281649504</v>
      </c>
      <c r="AR131" s="580">
        <f t="shared" si="80"/>
        <v>0.35207553198700775</v>
      </c>
      <c r="AS131" s="582">
        <f t="shared" si="81"/>
        <v>0.35207553198700775</v>
      </c>
      <c r="AT131" s="165"/>
      <c r="AU131" s="166"/>
      <c r="AV131" s="167"/>
      <c r="AW131" s="167"/>
      <c r="AX131" s="168"/>
    </row>
    <row r="132" spans="1:50" s="263" customFormat="1" ht="11.25" x14ac:dyDescent="0.25">
      <c r="A132" s="225"/>
      <c r="B132" s="258" t="s">
        <v>178</v>
      </c>
      <c r="C132" s="240">
        <f>SUM(C121:C131)</f>
        <v>0</v>
      </c>
      <c r="D132" s="240">
        <f t="shared" ref="D132:AL132" si="82">SUM(D121:D131)</f>
        <v>0</v>
      </c>
      <c r="E132" s="240">
        <f t="shared" si="82"/>
        <v>0</v>
      </c>
      <c r="F132" s="240">
        <f t="shared" si="82"/>
        <v>0</v>
      </c>
      <c r="G132" s="240">
        <f t="shared" si="82"/>
        <v>0</v>
      </c>
      <c r="H132" s="240">
        <f t="shared" si="82"/>
        <v>0</v>
      </c>
      <c r="I132" s="240">
        <f t="shared" si="82"/>
        <v>2683099</v>
      </c>
      <c r="J132" s="240">
        <f t="shared" si="82"/>
        <v>2742016</v>
      </c>
      <c r="K132" s="240">
        <f t="shared" si="82"/>
        <v>2788269</v>
      </c>
      <c r="L132" s="240">
        <f t="shared" si="82"/>
        <v>2834164</v>
      </c>
      <c r="M132" s="240">
        <f t="shared" si="82"/>
        <v>3092265</v>
      </c>
      <c r="N132" s="240">
        <f t="shared" si="82"/>
        <v>0</v>
      </c>
      <c r="O132" s="240">
        <f t="shared" si="82"/>
        <v>0</v>
      </c>
      <c r="P132" s="240">
        <f t="shared" si="82"/>
        <v>3181372</v>
      </c>
      <c r="Q132" s="240">
        <f t="shared" si="82"/>
        <v>369097.772</v>
      </c>
      <c r="R132" s="240">
        <f t="shared" si="82"/>
        <v>1011.2267726027397</v>
      </c>
      <c r="S132" s="240">
        <f t="shared" si="82"/>
        <v>229223.77539999998</v>
      </c>
      <c r="T132" s="199">
        <f t="shared" si="82"/>
        <v>0</v>
      </c>
      <c r="U132" s="241"/>
      <c r="V132" s="242">
        <f t="shared" si="82"/>
        <v>0</v>
      </c>
      <c r="W132" s="242">
        <f>SUM(W121:W131)</f>
        <v>0</v>
      </c>
      <c r="X132" s="242">
        <f>SUM(X121:X131)</f>
        <v>0</v>
      </c>
      <c r="Y132" s="199"/>
      <c r="Z132" s="199"/>
      <c r="AA132" s="243"/>
      <c r="AB132" s="240">
        <f>SUM(AB121:AB131)</f>
        <v>132949.78973199998</v>
      </c>
      <c r="AC132" s="244">
        <f>SUM(AC121:AC131)</f>
        <v>29799.090801999999</v>
      </c>
      <c r="AD132" s="244">
        <f>SUM(AD121:AD131)</f>
        <v>20114.386291349998</v>
      </c>
      <c r="AE132" s="244">
        <f>SUM(AE121:AE131)</f>
        <v>9168.9510160000009</v>
      </c>
      <c r="AF132" s="244">
        <f>SUM(AF121:AF131)</f>
        <v>4584.4755080000004</v>
      </c>
      <c r="AG132" s="244">
        <f t="shared" si="82"/>
        <v>4584.4755080000004</v>
      </c>
      <c r="AH132" s="244">
        <f>SUM(AH121:AH131)</f>
        <v>2292.2377540000002</v>
      </c>
      <c r="AI132" s="244">
        <f t="shared" si="82"/>
        <v>4584.4755080000004</v>
      </c>
      <c r="AJ132" s="244">
        <f t="shared" si="82"/>
        <v>4584.4755080000004</v>
      </c>
      <c r="AK132" s="244">
        <f t="shared" si="82"/>
        <v>16045.664278000004</v>
      </c>
      <c r="AL132" s="245">
        <f t="shared" si="82"/>
        <v>70543.616879349996</v>
      </c>
      <c r="AM132" s="158"/>
      <c r="AN132" s="183"/>
      <c r="AO132" s="160">
        <f>SUM(AO121:AO131)</f>
        <v>1874369628.5608804</v>
      </c>
      <c r="AP132" s="160">
        <f t="shared" ref="AP132:AW132" si="83">SUM(AP121:AP131)</f>
        <v>520658.27180845855</v>
      </c>
      <c r="AQ132" s="160">
        <f t="shared" si="83"/>
        <v>104131.65436169169</v>
      </c>
      <c r="AR132" s="186">
        <f t="shared" si="83"/>
        <v>14.858968944305321</v>
      </c>
      <c r="AS132" s="435">
        <f t="shared" si="83"/>
        <v>14.858968944305321</v>
      </c>
      <c r="AT132" s="187"/>
      <c r="AU132" s="246">
        <f t="shared" si="83"/>
        <v>0</v>
      </c>
      <c r="AV132" s="246"/>
      <c r="AW132" s="185">
        <f t="shared" si="83"/>
        <v>0</v>
      </c>
      <c r="AX132" s="189"/>
    </row>
    <row r="133" spans="1:50" s="139" customFormat="1" ht="11.25" x14ac:dyDescent="0.25">
      <c r="A133" s="247"/>
      <c r="B133" s="152"/>
      <c r="C133" s="247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248"/>
      <c r="P133" s="249"/>
      <c r="Q133" s="250"/>
      <c r="R133" s="250"/>
      <c r="S133" s="251"/>
      <c r="T133" s="199"/>
      <c r="U133" s="179"/>
      <c r="V133" s="249"/>
      <c r="W133" s="249"/>
      <c r="X133" s="152"/>
      <c r="Y133" s="153"/>
      <c r="Z133" s="153"/>
      <c r="AA133" s="154"/>
      <c r="AB133" s="247"/>
      <c r="AC133" s="252"/>
      <c r="AD133" s="252"/>
      <c r="AE133" s="252"/>
      <c r="AF133" s="252"/>
      <c r="AG133" s="252"/>
      <c r="AH133" s="252"/>
      <c r="AI133" s="252"/>
      <c r="AJ133" s="252"/>
      <c r="AK133" s="252"/>
      <c r="AL133" s="214"/>
      <c r="AM133" s="203"/>
      <c r="AN133" s="204"/>
      <c r="AO133" s="203"/>
      <c r="AP133" s="205"/>
      <c r="AQ133" s="206"/>
      <c r="AR133" s="253"/>
      <c r="AS133" s="254"/>
      <c r="AT133" s="255"/>
      <c r="AU133" s="256"/>
      <c r="AV133" s="257"/>
      <c r="AW133" s="214"/>
      <c r="AX133" s="212"/>
    </row>
    <row r="134" spans="1:50" s="139" customFormat="1" ht="11.25" x14ac:dyDescent="0.25">
      <c r="A134" s="120"/>
      <c r="B134" s="258" t="s">
        <v>179</v>
      </c>
      <c r="C134" s="122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213"/>
      <c r="P134" s="76"/>
      <c r="Q134" s="108"/>
      <c r="R134" s="108"/>
      <c r="S134" s="94"/>
      <c r="T134" s="199"/>
      <c r="U134" s="179"/>
      <c r="V134" s="180"/>
      <c r="W134" s="180"/>
      <c r="X134" s="214"/>
      <c r="Y134" s="181"/>
      <c r="Z134" s="181"/>
      <c r="AA134" s="182"/>
      <c r="AB134" s="62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125"/>
      <c r="AM134" s="75"/>
      <c r="AN134" s="216"/>
      <c r="AO134" s="75"/>
      <c r="AP134" s="51"/>
      <c r="AQ134" s="259"/>
      <c r="AR134" s="218"/>
      <c r="AS134" s="219"/>
      <c r="AT134" s="220"/>
      <c r="AU134" s="135"/>
      <c r="AV134" s="136"/>
      <c r="AW134" s="137"/>
      <c r="AX134" s="138"/>
    </row>
    <row r="135" spans="1:50" ht="11.25" x14ac:dyDescent="0.25">
      <c r="A135" s="140">
        <v>1</v>
      </c>
      <c r="B135" s="221" t="s">
        <v>180</v>
      </c>
      <c r="C135" s="235"/>
      <c r="D135" s="236"/>
      <c r="E135" s="236"/>
      <c r="F135" s="236"/>
      <c r="G135" s="236"/>
      <c r="H135" s="236"/>
      <c r="I135" s="236"/>
      <c r="J135" s="236">
        <v>137203</v>
      </c>
      <c r="K135" s="236">
        <v>140083</v>
      </c>
      <c r="L135" s="236">
        <v>142964</v>
      </c>
      <c r="M135" s="236">
        <v>142940</v>
      </c>
      <c r="N135" s="236"/>
      <c r="O135" s="237"/>
      <c r="P135" s="223">
        <f t="shared" ref="P135:P144" si="84">MAX(C135:O135)</f>
        <v>142964</v>
      </c>
      <c r="Q135" s="147">
        <f t="shared" ref="Q135:Q144" si="85">P135*$Q$8</f>
        <v>15726.04</v>
      </c>
      <c r="R135" s="147">
        <f t="shared" ref="R135:R144" si="86">Q135/$R$3</f>
        <v>43.085041095890411</v>
      </c>
      <c r="S135" s="148">
        <f t="shared" ref="S135:S144" si="87">R135*$S$3*$S$8</f>
        <v>9435.6239999999998</v>
      </c>
      <c r="T135" s="199"/>
      <c r="U135" s="150"/>
      <c r="V135" s="249"/>
      <c r="W135" s="249"/>
      <c r="X135" s="152"/>
      <c r="Y135" s="153"/>
      <c r="Z135" s="153"/>
      <c r="AA135" s="154"/>
      <c r="AB135" s="155">
        <f>S135*$AB$3</f>
        <v>5472.6619199999996</v>
      </c>
      <c r="AC135" s="156">
        <f>S135*$AC$3</f>
        <v>1226.63112</v>
      </c>
      <c r="AD135" s="156">
        <f>S135*$AD$3</f>
        <v>827.97600599999998</v>
      </c>
      <c r="AE135" s="156">
        <f>S135*$AE$3</f>
        <v>377.42496</v>
      </c>
      <c r="AF135" s="156">
        <f>S135*$AF$3</f>
        <v>188.71248</v>
      </c>
      <c r="AG135" s="156">
        <f>S135*$AG$3</f>
        <v>188.71248</v>
      </c>
      <c r="AH135" s="156">
        <f>S135*$AH$3</f>
        <v>94.35624</v>
      </c>
      <c r="AI135" s="156">
        <f>S135*$AI$3</f>
        <v>188.71248</v>
      </c>
      <c r="AJ135" s="156">
        <f>S135*$AJ$3</f>
        <v>188.71248</v>
      </c>
      <c r="AK135" s="156">
        <f>S135*$AK$3</f>
        <v>660.49368000000004</v>
      </c>
      <c r="AL135" s="157">
        <f t="shared" ref="AL135:AL144" si="88">SUM(AC135:AH135)</f>
        <v>2903.8132860000001</v>
      </c>
      <c r="AM135" s="158">
        <f t="shared" ref="AM135:AM144" si="89">$AM$3</f>
        <v>2200</v>
      </c>
      <c r="AN135" s="159">
        <v>0.2</v>
      </c>
      <c r="AO135" s="160">
        <f t="shared" ref="AO135:AO144" si="90">(AB135+AL135)*AM135*$AO$3</f>
        <v>77155378.063457742</v>
      </c>
      <c r="AP135" s="161">
        <f t="shared" ref="AP135:AP144" si="91">AO135*$AP$3</f>
        <v>21432.051176635552</v>
      </c>
      <c r="AQ135" s="162">
        <f t="shared" ref="AQ135:AQ144" si="92">AP135*$AQ$3</f>
        <v>4286.410235327111</v>
      </c>
      <c r="AR135" s="580">
        <f t="shared" ref="AR135:AR144" si="93">AQ135/$AR$3</f>
        <v>0.61164529613685947</v>
      </c>
      <c r="AS135" s="582">
        <f t="shared" ref="AS135:AS144" si="94">AR135</f>
        <v>0.61164529613685947</v>
      </c>
      <c r="AT135" s="165"/>
      <c r="AU135" s="166"/>
      <c r="AV135" s="167"/>
      <c r="AW135" s="146"/>
      <c r="AX135" s="168"/>
    </row>
    <row r="136" spans="1:50" ht="11.25" x14ac:dyDescent="0.25">
      <c r="A136" s="140">
        <v>2</v>
      </c>
      <c r="B136" s="221" t="s">
        <v>181</v>
      </c>
      <c r="C136" s="235"/>
      <c r="D136" s="236"/>
      <c r="E136" s="236"/>
      <c r="F136" s="236"/>
      <c r="G136" s="236"/>
      <c r="H136" s="236"/>
      <c r="I136" s="236"/>
      <c r="J136" s="236">
        <v>149714</v>
      </c>
      <c r="K136" s="236">
        <v>253661</v>
      </c>
      <c r="L136" s="236">
        <v>257563</v>
      </c>
      <c r="M136" s="236">
        <v>246787</v>
      </c>
      <c r="N136" s="236"/>
      <c r="O136" s="237"/>
      <c r="P136" s="223">
        <f t="shared" si="84"/>
        <v>257563</v>
      </c>
      <c r="Q136" s="147">
        <f t="shared" si="85"/>
        <v>28331.93</v>
      </c>
      <c r="R136" s="147">
        <f t="shared" si="86"/>
        <v>77.621726027397258</v>
      </c>
      <c r="S136" s="148">
        <f t="shared" si="87"/>
        <v>16999.157999999999</v>
      </c>
      <c r="T136" s="199"/>
      <c r="U136" s="150"/>
      <c r="V136" s="249"/>
      <c r="W136" s="249"/>
      <c r="X136" s="152"/>
      <c r="Y136" s="153"/>
      <c r="Z136" s="153"/>
      <c r="AA136" s="154"/>
      <c r="AB136" s="155">
        <f>S136*$AB$3</f>
        <v>9859.5116399999988</v>
      </c>
      <c r="AC136" s="156">
        <f>S136*$AC$3</f>
        <v>2209.8905399999999</v>
      </c>
      <c r="AD136" s="156">
        <f>S136*$AD$3</f>
        <v>1491.6761144999998</v>
      </c>
      <c r="AE136" s="156">
        <f>S136*$AE$3</f>
        <v>679.96632</v>
      </c>
      <c r="AF136" s="156">
        <f>S136*$AF$3</f>
        <v>339.98316</v>
      </c>
      <c r="AG136" s="156">
        <f>S136*$AG$3</f>
        <v>339.98316</v>
      </c>
      <c r="AH136" s="156">
        <f>S136*$AH$3</f>
        <v>169.99158</v>
      </c>
      <c r="AI136" s="156">
        <f>S136*$AI$3</f>
        <v>339.98316</v>
      </c>
      <c r="AJ136" s="156">
        <f>S136*$AJ$3</f>
        <v>339.98316</v>
      </c>
      <c r="AK136" s="156">
        <f>S136*$AK$3</f>
        <v>1189.9410600000001</v>
      </c>
      <c r="AL136" s="157">
        <f t="shared" si="88"/>
        <v>5231.4908744999993</v>
      </c>
      <c r="AM136" s="158">
        <f t="shared" si="89"/>
        <v>2200</v>
      </c>
      <c r="AN136" s="159">
        <v>0.2</v>
      </c>
      <c r="AO136" s="160">
        <f t="shared" si="90"/>
        <v>139002620.5209589</v>
      </c>
      <c r="AP136" s="161">
        <f t="shared" si="91"/>
        <v>38611.842122546819</v>
      </c>
      <c r="AQ136" s="162">
        <f t="shared" si="92"/>
        <v>7722.3684245093646</v>
      </c>
      <c r="AR136" s="580">
        <f t="shared" si="93"/>
        <v>1.1019361336343272</v>
      </c>
      <c r="AS136" s="582">
        <f t="shared" si="94"/>
        <v>1.1019361336343272</v>
      </c>
      <c r="AT136" s="165"/>
      <c r="AU136" s="166"/>
      <c r="AV136" s="167"/>
      <c r="AW136" s="146"/>
      <c r="AX136" s="168"/>
    </row>
    <row r="137" spans="1:50" ht="11.25" x14ac:dyDescent="0.25">
      <c r="A137" s="140">
        <v>3</v>
      </c>
      <c r="B137" s="221" t="s">
        <v>182</v>
      </c>
      <c r="C137" s="235"/>
      <c r="D137" s="236"/>
      <c r="E137" s="236"/>
      <c r="F137" s="236"/>
      <c r="G137" s="236"/>
      <c r="H137" s="236"/>
      <c r="I137" s="236"/>
      <c r="J137" s="236">
        <v>339873</v>
      </c>
      <c r="K137" s="236">
        <v>343568</v>
      </c>
      <c r="L137" s="236">
        <v>253052</v>
      </c>
      <c r="M137" s="236">
        <v>257675</v>
      </c>
      <c r="N137" s="236"/>
      <c r="O137" s="237"/>
      <c r="P137" s="223">
        <f t="shared" si="84"/>
        <v>343568</v>
      </c>
      <c r="Q137" s="147">
        <f t="shared" si="85"/>
        <v>37792.480000000003</v>
      </c>
      <c r="R137" s="147">
        <f t="shared" si="86"/>
        <v>103.54104109589042</v>
      </c>
      <c r="S137" s="148">
        <f t="shared" si="87"/>
        <v>22675.488000000001</v>
      </c>
      <c r="T137" s="199"/>
      <c r="U137" s="150"/>
      <c r="V137" s="249"/>
      <c r="W137" s="249"/>
      <c r="X137" s="152"/>
      <c r="Y137" s="153"/>
      <c r="Z137" s="153"/>
      <c r="AA137" s="154"/>
      <c r="AB137" s="155">
        <f>S137*$AB$3</f>
        <v>13151.78304</v>
      </c>
      <c r="AC137" s="156">
        <f>S137*$AC$3</f>
        <v>2947.8134400000004</v>
      </c>
      <c r="AD137" s="156">
        <f>S137*$AD$3</f>
        <v>1989.7740719999999</v>
      </c>
      <c r="AE137" s="156">
        <f>S137*$AE$3</f>
        <v>907.01952000000006</v>
      </c>
      <c r="AF137" s="156">
        <f>S137*$AF$3</f>
        <v>453.50976000000003</v>
      </c>
      <c r="AG137" s="156">
        <f>S137*$AG$3</f>
        <v>453.50976000000003</v>
      </c>
      <c r="AH137" s="156">
        <f>S137*$AH$3</f>
        <v>226.75488000000001</v>
      </c>
      <c r="AI137" s="156">
        <f>S137*$AI$3</f>
        <v>453.50976000000003</v>
      </c>
      <c r="AJ137" s="156">
        <f>S137*$AJ$3</f>
        <v>453.50976000000003</v>
      </c>
      <c r="AK137" s="156">
        <f>S137*$AK$3</f>
        <v>1587.2841600000002</v>
      </c>
      <c r="AL137" s="157">
        <f t="shared" si="88"/>
        <v>6978.3814320000001</v>
      </c>
      <c r="AM137" s="158">
        <f t="shared" si="89"/>
        <v>2200</v>
      </c>
      <c r="AN137" s="159">
        <v>0.2</v>
      </c>
      <c r="AO137" s="160">
        <f t="shared" si="90"/>
        <v>185418139.74501312</v>
      </c>
      <c r="AP137" s="161">
        <f t="shared" si="91"/>
        <v>51505.042938462306</v>
      </c>
      <c r="AQ137" s="162">
        <f t="shared" si="92"/>
        <v>10301.008587692462</v>
      </c>
      <c r="AR137" s="580">
        <f t="shared" si="93"/>
        <v>1.4698927779241526</v>
      </c>
      <c r="AS137" s="582">
        <f t="shared" si="94"/>
        <v>1.4698927779241526</v>
      </c>
      <c r="AT137" s="165"/>
      <c r="AU137" s="166"/>
      <c r="AV137" s="167"/>
      <c r="AW137" s="146"/>
      <c r="AX137" s="168"/>
    </row>
    <row r="138" spans="1:50" ht="11.25" x14ac:dyDescent="0.25">
      <c r="A138" s="140">
        <v>4</v>
      </c>
      <c r="B138" s="221" t="s">
        <v>183</v>
      </c>
      <c r="C138" s="235"/>
      <c r="D138" s="236"/>
      <c r="E138" s="236"/>
      <c r="F138" s="236"/>
      <c r="G138" s="236"/>
      <c r="H138" s="236"/>
      <c r="I138" s="236"/>
      <c r="J138" s="236">
        <v>112528</v>
      </c>
      <c r="K138" s="236">
        <v>115168</v>
      </c>
      <c r="L138" s="236">
        <v>117821</v>
      </c>
      <c r="M138" s="236">
        <v>107899</v>
      </c>
      <c r="N138" s="236"/>
      <c r="O138" s="237"/>
      <c r="P138" s="223">
        <f t="shared" si="84"/>
        <v>117821</v>
      </c>
      <c r="Q138" s="147">
        <f t="shared" si="85"/>
        <v>12960.31</v>
      </c>
      <c r="R138" s="147">
        <f t="shared" si="86"/>
        <v>35.507698630136986</v>
      </c>
      <c r="S138" s="148">
        <f t="shared" si="87"/>
        <v>7776.1859999999997</v>
      </c>
      <c r="T138" s="199"/>
      <c r="U138" s="150"/>
      <c r="V138" s="249"/>
      <c r="W138" s="249"/>
      <c r="X138" s="152"/>
      <c r="Y138" s="153"/>
      <c r="Z138" s="153"/>
      <c r="AA138" s="154"/>
      <c r="AB138" s="155">
        <f>S138*$AB$3</f>
        <v>4510.1878799999995</v>
      </c>
      <c r="AC138" s="156">
        <f>S138*$AC$3</f>
        <v>1010.90418</v>
      </c>
      <c r="AD138" s="156">
        <f>S138*$AD$3</f>
        <v>682.36032149999994</v>
      </c>
      <c r="AE138" s="156">
        <f>S138*$AE$3</f>
        <v>311.04743999999999</v>
      </c>
      <c r="AF138" s="156">
        <f>S138*$AF$3</f>
        <v>155.52372</v>
      </c>
      <c r="AG138" s="156">
        <f>S138*$AG$3</f>
        <v>155.52372</v>
      </c>
      <c r="AH138" s="156">
        <f>S138*$AH$3</f>
        <v>77.761859999999999</v>
      </c>
      <c r="AI138" s="156">
        <f>S138*$AI$3</f>
        <v>155.52372</v>
      </c>
      <c r="AJ138" s="156">
        <f>S138*$AJ$3</f>
        <v>155.52372</v>
      </c>
      <c r="AK138" s="156">
        <f>S138*$AK$3</f>
        <v>544.33302000000003</v>
      </c>
      <c r="AL138" s="157">
        <f t="shared" si="88"/>
        <v>2393.1212415</v>
      </c>
      <c r="AM138" s="158">
        <f t="shared" si="89"/>
        <v>2200</v>
      </c>
      <c r="AN138" s="159">
        <v>0.2</v>
      </c>
      <c r="AO138" s="160">
        <f t="shared" si="90"/>
        <v>63586104.185771637</v>
      </c>
      <c r="AP138" s="161">
        <f t="shared" si="91"/>
        <v>17662.808131294438</v>
      </c>
      <c r="AQ138" s="162">
        <f t="shared" si="92"/>
        <v>3532.5616262588878</v>
      </c>
      <c r="AR138" s="580">
        <f t="shared" si="93"/>
        <v>0.50407557452324314</v>
      </c>
      <c r="AS138" s="582">
        <f t="shared" si="94"/>
        <v>0.50407557452324314</v>
      </c>
      <c r="AT138" s="165"/>
      <c r="AU138" s="166"/>
      <c r="AV138" s="167"/>
      <c r="AW138" s="146"/>
      <c r="AX138" s="168"/>
    </row>
    <row r="139" spans="1:50" ht="11.25" x14ac:dyDescent="0.25">
      <c r="A139" s="140">
        <v>5</v>
      </c>
      <c r="B139" s="221" t="s">
        <v>184</v>
      </c>
      <c r="C139" s="235"/>
      <c r="D139" s="236"/>
      <c r="E139" s="236"/>
      <c r="F139" s="236"/>
      <c r="G139" s="236"/>
      <c r="H139" s="236"/>
      <c r="I139" s="236"/>
      <c r="J139" s="236">
        <v>162104</v>
      </c>
      <c r="K139" s="236">
        <v>163859</v>
      </c>
      <c r="L139" s="236">
        <v>165564</v>
      </c>
      <c r="M139" s="236">
        <v>173507</v>
      </c>
      <c r="N139" s="236"/>
      <c r="O139" s="237"/>
      <c r="P139" s="223">
        <f t="shared" si="84"/>
        <v>173507</v>
      </c>
      <c r="Q139" s="147">
        <f t="shared" si="85"/>
        <v>19085.77</v>
      </c>
      <c r="R139" s="147">
        <f t="shared" si="86"/>
        <v>52.289780821917809</v>
      </c>
      <c r="S139" s="148">
        <f t="shared" si="87"/>
        <v>11451.462</v>
      </c>
      <c r="T139" s="199"/>
      <c r="U139" s="150"/>
      <c r="V139" s="249"/>
      <c r="W139" s="249"/>
      <c r="X139" s="152"/>
      <c r="Y139" s="153"/>
      <c r="Z139" s="153"/>
      <c r="AA139" s="154"/>
      <c r="AB139" s="155">
        <f>S139*$AB$3</f>
        <v>6641.8479599999991</v>
      </c>
      <c r="AC139" s="156">
        <f>S139*$AC$3</f>
        <v>1488.6900599999999</v>
      </c>
      <c r="AD139" s="156">
        <f>S139*$AD$3</f>
        <v>1004.8657904999999</v>
      </c>
      <c r="AE139" s="156">
        <f>S139*$AE$3</f>
        <v>458.05847999999997</v>
      </c>
      <c r="AF139" s="156">
        <f>S139*$AF$3</f>
        <v>229.02923999999999</v>
      </c>
      <c r="AG139" s="156">
        <f>S139*$AG$3</f>
        <v>229.02923999999999</v>
      </c>
      <c r="AH139" s="156">
        <f>S139*$AH$3</f>
        <v>114.51461999999999</v>
      </c>
      <c r="AI139" s="156">
        <f>S139*$AI$3</f>
        <v>229.02923999999999</v>
      </c>
      <c r="AJ139" s="156">
        <f>S139*$AJ$3</f>
        <v>229.02923999999999</v>
      </c>
      <c r="AK139" s="156">
        <f>S139*$AK$3</f>
        <v>801.60234000000003</v>
      </c>
      <c r="AL139" s="157">
        <f t="shared" si="88"/>
        <v>3524.1874304999997</v>
      </c>
      <c r="AM139" s="158">
        <f t="shared" si="89"/>
        <v>2200</v>
      </c>
      <c r="AN139" s="159">
        <v>0.2</v>
      </c>
      <c r="AO139" s="160">
        <f t="shared" si="90"/>
        <v>93638945.340479866</v>
      </c>
      <c r="AP139" s="161">
        <f t="shared" si="91"/>
        <v>26010.820230998746</v>
      </c>
      <c r="AQ139" s="162">
        <f t="shared" si="92"/>
        <v>5202.1640461997495</v>
      </c>
      <c r="AR139" s="580">
        <f t="shared" si="93"/>
        <v>0.74231792896685922</v>
      </c>
      <c r="AS139" s="582">
        <f t="shared" si="94"/>
        <v>0.74231792896685922</v>
      </c>
      <c r="AT139" s="165"/>
      <c r="AU139" s="166"/>
      <c r="AV139" s="167"/>
      <c r="AW139" s="146"/>
      <c r="AX139" s="168"/>
    </row>
    <row r="140" spans="1:50" ht="11.25" x14ac:dyDescent="0.25">
      <c r="A140" s="140">
        <v>6</v>
      </c>
      <c r="B140" s="221" t="s">
        <v>185</v>
      </c>
      <c r="C140" s="235"/>
      <c r="D140" s="236"/>
      <c r="E140" s="236"/>
      <c r="F140" s="236"/>
      <c r="G140" s="236"/>
      <c r="H140" s="236"/>
      <c r="I140" s="236"/>
      <c r="J140" s="236">
        <v>138590</v>
      </c>
      <c r="K140" s="236">
        <v>142047</v>
      </c>
      <c r="L140" s="236">
        <v>145530</v>
      </c>
      <c r="M140" s="236">
        <v>155753</v>
      </c>
      <c r="N140" s="236"/>
      <c r="O140" s="237"/>
      <c r="P140" s="223">
        <f t="shared" si="84"/>
        <v>155753</v>
      </c>
      <c r="Q140" s="147">
        <f t="shared" si="85"/>
        <v>17132.830000000002</v>
      </c>
      <c r="R140" s="147">
        <f t="shared" si="86"/>
        <v>46.939260273972607</v>
      </c>
      <c r="S140" s="148">
        <f t="shared" si="87"/>
        <v>10279.698</v>
      </c>
      <c r="T140" s="199"/>
      <c r="U140" s="150"/>
      <c r="V140" s="249"/>
      <c r="W140" s="249"/>
      <c r="X140" s="152"/>
      <c r="Y140" s="153"/>
      <c r="Z140" s="153"/>
      <c r="AA140" s="154"/>
      <c r="AB140" s="155">
        <f>S140*$AB$3</f>
        <v>5962.2248399999999</v>
      </c>
      <c r="AC140" s="156">
        <f>S140*$AC$3</f>
        <v>1336.3607400000001</v>
      </c>
      <c r="AD140" s="156">
        <f>S140*$AD$3</f>
        <v>902.04349949999994</v>
      </c>
      <c r="AE140" s="156">
        <f>S140*$AE$3</f>
        <v>411.18792000000002</v>
      </c>
      <c r="AF140" s="156">
        <f>S140*$AF$3</f>
        <v>205.59396000000001</v>
      </c>
      <c r="AG140" s="156">
        <f>S140*$AG$3</f>
        <v>205.59396000000001</v>
      </c>
      <c r="AH140" s="156">
        <f>S140*$AH$3</f>
        <v>102.79698</v>
      </c>
      <c r="AI140" s="156">
        <f>S140*$AI$3</f>
        <v>205.59396000000001</v>
      </c>
      <c r="AJ140" s="156">
        <f>S140*$AJ$3</f>
        <v>205.59396000000001</v>
      </c>
      <c r="AK140" s="156">
        <f>S140*$AK$3</f>
        <v>719.57886000000008</v>
      </c>
      <c r="AL140" s="157">
        <f t="shared" si="88"/>
        <v>3163.5770595000004</v>
      </c>
      <c r="AM140" s="158">
        <f t="shared" si="89"/>
        <v>2200</v>
      </c>
      <c r="AN140" s="159">
        <v>0.2</v>
      </c>
      <c r="AO140" s="160">
        <f t="shared" si="90"/>
        <v>84057396.264218509</v>
      </c>
      <c r="AP140" s="161">
        <f t="shared" si="91"/>
        <v>23349.278608002835</v>
      </c>
      <c r="AQ140" s="162">
        <f t="shared" si="92"/>
        <v>4669.8557216005674</v>
      </c>
      <c r="AR140" s="580">
        <f t="shared" si="93"/>
        <v>0.66636069086766092</v>
      </c>
      <c r="AS140" s="582">
        <f t="shared" si="94"/>
        <v>0.66636069086766092</v>
      </c>
      <c r="AT140" s="165"/>
      <c r="AU140" s="166"/>
      <c r="AV140" s="167"/>
      <c r="AW140" s="146"/>
      <c r="AX140" s="168"/>
    </row>
    <row r="141" spans="1:50" ht="11.25" x14ac:dyDescent="0.25">
      <c r="A141" s="140">
        <v>7</v>
      </c>
      <c r="B141" s="221" t="s">
        <v>186</v>
      </c>
      <c r="C141" s="235"/>
      <c r="D141" s="236"/>
      <c r="E141" s="236"/>
      <c r="F141" s="236"/>
      <c r="G141" s="236"/>
      <c r="H141" s="236"/>
      <c r="I141" s="236"/>
      <c r="J141" s="236">
        <v>89690</v>
      </c>
      <c r="K141" s="236">
        <v>91142</v>
      </c>
      <c r="L141" s="236">
        <v>92579</v>
      </c>
      <c r="M141" s="236">
        <v>99215</v>
      </c>
      <c r="N141" s="236"/>
      <c r="O141" s="237"/>
      <c r="P141" s="223">
        <f t="shared" si="84"/>
        <v>99215</v>
      </c>
      <c r="Q141" s="147">
        <f t="shared" si="85"/>
        <v>10913.65</v>
      </c>
      <c r="R141" s="147">
        <f t="shared" si="86"/>
        <v>29.900410958904107</v>
      </c>
      <c r="S141" s="148">
        <f t="shared" si="87"/>
        <v>6548.19</v>
      </c>
      <c r="T141" s="199"/>
      <c r="U141" s="150"/>
      <c r="V141" s="249"/>
      <c r="W141" s="249"/>
      <c r="X141" s="152"/>
      <c r="Y141" s="153"/>
      <c r="Z141" s="153"/>
      <c r="AA141" s="154"/>
      <c r="AB141" s="155">
        <f>S141*$AB$3</f>
        <v>3797.9501999999993</v>
      </c>
      <c r="AC141" s="156">
        <f>S141*$AC$3</f>
        <v>851.26469999999995</v>
      </c>
      <c r="AD141" s="156">
        <f>S141*$AD$3</f>
        <v>574.6036724999999</v>
      </c>
      <c r="AE141" s="156">
        <f>S141*$AE$3</f>
        <v>261.92759999999998</v>
      </c>
      <c r="AF141" s="156">
        <f>S141*$AF$3</f>
        <v>130.96379999999999</v>
      </c>
      <c r="AG141" s="156">
        <f>S141*$AG$3</f>
        <v>130.96379999999999</v>
      </c>
      <c r="AH141" s="156">
        <f>S141*$AH$3</f>
        <v>65.481899999999996</v>
      </c>
      <c r="AI141" s="156">
        <f>S141*$AI$3</f>
        <v>130.96379999999999</v>
      </c>
      <c r="AJ141" s="156">
        <f>S141*$AJ$3</f>
        <v>130.96379999999999</v>
      </c>
      <c r="AK141" s="156">
        <f>S141*$AK$3</f>
        <v>458.37330000000003</v>
      </c>
      <c r="AL141" s="157">
        <f t="shared" si="88"/>
        <v>2015.2054724999998</v>
      </c>
      <c r="AM141" s="158">
        <f t="shared" si="89"/>
        <v>2200</v>
      </c>
      <c r="AN141" s="159">
        <v>0.2</v>
      </c>
      <c r="AO141" s="160">
        <f t="shared" si="90"/>
        <v>53544744.373170584</v>
      </c>
      <c r="AP141" s="161">
        <f t="shared" si="91"/>
        <v>14873.541293541704</v>
      </c>
      <c r="AQ141" s="162">
        <f t="shared" si="92"/>
        <v>2974.708258708341</v>
      </c>
      <c r="AR141" s="580">
        <f t="shared" si="93"/>
        <v>0.42447321043212627</v>
      </c>
      <c r="AS141" s="582">
        <f t="shared" si="94"/>
        <v>0.42447321043212627</v>
      </c>
      <c r="AT141" s="165"/>
      <c r="AU141" s="166"/>
      <c r="AV141" s="167"/>
      <c r="AW141" s="146"/>
      <c r="AX141" s="168"/>
    </row>
    <row r="142" spans="1:50" ht="11.25" x14ac:dyDescent="0.25">
      <c r="A142" s="140">
        <v>8</v>
      </c>
      <c r="B142" s="221" t="s">
        <v>187</v>
      </c>
      <c r="C142" s="235"/>
      <c r="D142" s="236"/>
      <c r="E142" s="236"/>
      <c r="F142" s="236"/>
      <c r="G142" s="236"/>
      <c r="H142" s="236"/>
      <c r="I142" s="236"/>
      <c r="J142" s="236">
        <v>116882</v>
      </c>
      <c r="K142" s="236">
        <v>117916</v>
      </c>
      <c r="L142" s="236">
        <v>118910</v>
      </c>
      <c r="M142" s="236">
        <v>124865</v>
      </c>
      <c r="N142" s="236"/>
      <c r="O142" s="237"/>
      <c r="P142" s="223">
        <f t="shared" si="84"/>
        <v>124865</v>
      </c>
      <c r="Q142" s="147">
        <f t="shared" si="85"/>
        <v>13735.15</v>
      </c>
      <c r="R142" s="147">
        <f t="shared" si="86"/>
        <v>37.630547945205478</v>
      </c>
      <c r="S142" s="148">
        <f t="shared" si="87"/>
        <v>8241.09</v>
      </c>
      <c r="T142" s="199"/>
      <c r="U142" s="150"/>
      <c r="V142" s="249"/>
      <c r="W142" s="249"/>
      <c r="X142" s="152"/>
      <c r="Y142" s="153"/>
      <c r="Z142" s="153"/>
      <c r="AA142" s="154"/>
      <c r="AB142" s="155">
        <f>S142*$AB$3</f>
        <v>4779.8321999999998</v>
      </c>
      <c r="AC142" s="156">
        <f>S142*$AC$3</f>
        <v>1071.3416999999999</v>
      </c>
      <c r="AD142" s="156">
        <f>S142*$AD$3</f>
        <v>723.15564749999999</v>
      </c>
      <c r="AE142" s="156">
        <f>S142*$AE$3</f>
        <v>329.64359999999999</v>
      </c>
      <c r="AF142" s="156">
        <f>S142*$AF$3</f>
        <v>164.8218</v>
      </c>
      <c r="AG142" s="156">
        <f>S142*$AG$3</f>
        <v>164.8218</v>
      </c>
      <c r="AH142" s="156">
        <f>S142*$AH$3</f>
        <v>82.410899999999998</v>
      </c>
      <c r="AI142" s="156">
        <f>S142*$AI$3</f>
        <v>164.8218</v>
      </c>
      <c r="AJ142" s="156">
        <f>S142*$AJ$3</f>
        <v>164.8218</v>
      </c>
      <c r="AK142" s="156">
        <f>S142*$AK$3</f>
        <v>576.87630000000001</v>
      </c>
      <c r="AL142" s="157">
        <f t="shared" si="88"/>
        <v>2536.1954475000002</v>
      </c>
      <c r="AM142" s="158">
        <f t="shared" si="89"/>
        <v>2200</v>
      </c>
      <c r="AN142" s="159">
        <v>0.2</v>
      </c>
      <c r="AO142" s="160">
        <f t="shared" si="90"/>
        <v>67387638.020016596</v>
      </c>
      <c r="AP142" s="161">
        <f t="shared" si="91"/>
        <v>18718.789836396565</v>
      </c>
      <c r="AQ142" s="162">
        <f t="shared" si="92"/>
        <v>3743.7579672793131</v>
      </c>
      <c r="AR142" s="580">
        <f t="shared" si="93"/>
        <v>0.5342120387099476</v>
      </c>
      <c r="AS142" s="582">
        <f t="shared" si="94"/>
        <v>0.5342120387099476</v>
      </c>
      <c r="AT142" s="165"/>
      <c r="AU142" s="166"/>
      <c r="AV142" s="167"/>
      <c r="AW142" s="146"/>
      <c r="AX142" s="168"/>
    </row>
    <row r="143" spans="1:50" ht="11.25" x14ac:dyDescent="0.25">
      <c r="A143" s="140">
        <v>9</v>
      </c>
      <c r="B143" s="221" t="s">
        <v>188</v>
      </c>
      <c r="C143" s="235"/>
      <c r="D143" s="236"/>
      <c r="E143" s="236"/>
      <c r="F143" s="236"/>
      <c r="G143" s="236"/>
      <c r="H143" s="236"/>
      <c r="I143" s="236"/>
      <c r="J143" s="236"/>
      <c r="K143" s="236"/>
      <c r="L143" s="236">
        <v>94106</v>
      </c>
      <c r="M143" s="236">
        <v>98333</v>
      </c>
      <c r="N143" s="236"/>
      <c r="O143" s="237"/>
      <c r="P143" s="223">
        <f t="shared" si="84"/>
        <v>98333</v>
      </c>
      <c r="Q143" s="147">
        <f t="shared" si="85"/>
        <v>10816.63</v>
      </c>
      <c r="R143" s="147">
        <f t="shared" si="86"/>
        <v>29.634602739726024</v>
      </c>
      <c r="S143" s="148">
        <f t="shared" si="87"/>
        <v>6489.9779999999992</v>
      </c>
      <c r="T143" s="199"/>
      <c r="U143" s="150"/>
      <c r="V143" s="249"/>
      <c r="W143" s="249"/>
      <c r="X143" s="152"/>
      <c r="Y143" s="153"/>
      <c r="Z143" s="153"/>
      <c r="AA143" s="154"/>
      <c r="AB143" s="155">
        <f>S143*$AB$3</f>
        <v>3764.1872399999993</v>
      </c>
      <c r="AC143" s="156">
        <f>S143*$AC$3</f>
        <v>843.69713999999988</v>
      </c>
      <c r="AD143" s="156">
        <f>S143*$AD$3</f>
        <v>569.49556949999987</v>
      </c>
      <c r="AE143" s="156">
        <f>S143*$AE$3</f>
        <v>259.59911999999997</v>
      </c>
      <c r="AF143" s="156">
        <f>S143*$AF$3</f>
        <v>129.79955999999999</v>
      </c>
      <c r="AG143" s="156">
        <f>S143*$AG$3</f>
        <v>129.79955999999999</v>
      </c>
      <c r="AH143" s="156">
        <f>S143*$AH$3</f>
        <v>64.899779999999993</v>
      </c>
      <c r="AI143" s="156">
        <f>S143*$AI$3</f>
        <v>129.79955999999999</v>
      </c>
      <c r="AJ143" s="156">
        <f>S143*$AJ$3</f>
        <v>129.79955999999999</v>
      </c>
      <c r="AK143" s="156">
        <f>S143*$AK$3</f>
        <v>454.29845999999998</v>
      </c>
      <c r="AL143" s="157">
        <f t="shared" si="88"/>
        <v>1997.2907294999993</v>
      </c>
      <c r="AM143" s="158">
        <f t="shared" si="89"/>
        <v>2200</v>
      </c>
      <c r="AN143" s="159">
        <v>0.2</v>
      </c>
      <c r="AO143" s="160">
        <f t="shared" si="90"/>
        <v>53068743.117945708</v>
      </c>
      <c r="AP143" s="161">
        <f t="shared" si="91"/>
        <v>14741.3187120681</v>
      </c>
      <c r="AQ143" s="162">
        <f t="shared" si="92"/>
        <v>2948.2637424136201</v>
      </c>
      <c r="AR143" s="580">
        <f t="shared" si="93"/>
        <v>0.42069973493345036</v>
      </c>
      <c r="AS143" s="582">
        <f t="shared" si="94"/>
        <v>0.42069973493345036</v>
      </c>
      <c r="AT143" s="165"/>
      <c r="AU143" s="166"/>
      <c r="AV143" s="167"/>
      <c r="AW143" s="146"/>
      <c r="AX143" s="168"/>
    </row>
    <row r="144" spans="1:50" ht="11.25" x14ac:dyDescent="0.25">
      <c r="A144" s="140">
        <v>10</v>
      </c>
      <c r="B144" s="221" t="s">
        <v>189</v>
      </c>
      <c r="C144" s="235"/>
      <c r="D144" s="236"/>
      <c r="E144" s="236"/>
      <c r="F144" s="236"/>
      <c r="G144" s="236"/>
      <c r="H144" s="236"/>
      <c r="I144" s="236"/>
      <c r="J144" s="236">
        <v>270079</v>
      </c>
      <c r="K144" s="236">
        <v>274477</v>
      </c>
      <c r="L144" s="236">
        <v>278831</v>
      </c>
      <c r="M144" s="236">
        <v>308544</v>
      </c>
      <c r="N144" s="236"/>
      <c r="O144" s="237"/>
      <c r="P144" s="223">
        <f t="shared" si="84"/>
        <v>308544</v>
      </c>
      <c r="Q144" s="147">
        <f t="shared" si="85"/>
        <v>33939.840000000004</v>
      </c>
      <c r="R144" s="147">
        <f t="shared" si="86"/>
        <v>92.985863013698633</v>
      </c>
      <c r="S144" s="148">
        <f t="shared" si="87"/>
        <v>20363.904000000002</v>
      </c>
      <c r="T144" s="199"/>
      <c r="U144" s="150"/>
      <c r="V144" s="249"/>
      <c r="W144" s="249"/>
      <c r="X144" s="152"/>
      <c r="Y144" s="153"/>
      <c r="Z144" s="153"/>
      <c r="AA144" s="154"/>
      <c r="AB144" s="155">
        <f>S144*$AB$3</f>
        <v>11811.064320000001</v>
      </c>
      <c r="AC144" s="156">
        <f>S144*$AC$3</f>
        <v>2647.3075200000003</v>
      </c>
      <c r="AD144" s="156">
        <f>S144*$AD$3</f>
        <v>1786.9325760000002</v>
      </c>
      <c r="AE144" s="156">
        <f>S144*$AE$3</f>
        <v>814.55616000000009</v>
      </c>
      <c r="AF144" s="156">
        <f>S144*$AF$3</f>
        <v>407.27808000000005</v>
      </c>
      <c r="AG144" s="156">
        <f>S144*$AG$3</f>
        <v>407.27808000000005</v>
      </c>
      <c r="AH144" s="156">
        <f>S144*$AH$3</f>
        <v>203.63904000000002</v>
      </c>
      <c r="AI144" s="156">
        <f>S144*$AI$3</f>
        <v>407.27808000000005</v>
      </c>
      <c r="AJ144" s="156">
        <f>S144*$AJ$3</f>
        <v>407.27808000000005</v>
      </c>
      <c r="AK144" s="156">
        <f>S144*$AK$3</f>
        <v>1425.4732800000004</v>
      </c>
      <c r="AL144" s="157">
        <f t="shared" si="88"/>
        <v>6266.9914560000007</v>
      </c>
      <c r="AM144" s="158">
        <f t="shared" si="89"/>
        <v>2200</v>
      </c>
      <c r="AN144" s="159">
        <v>0.2</v>
      </c>
      <c r="AO144" s="160">
        <f t="shared" si="90"/>
        <v>166516248.63050497</v>
      </c>
      <c r="AP144" s="161">
        <f t="shared" si="91"/>
        <v>46254.517208834681</v>
      </c>
      <c r="AQ144" s="162">
        <f t="shared" si="92"/>
        <v>9250.9034417669372</v>
      </c>
      <c r="AR144" s="580">
        <f t="shared" si="93"/>
        <v>1.3200490071014466</v>
      </c>
      <c r="AS144" s="582">
        <f t="shared" si="94"/>
        <v>1.3200490071014466</v>
      </c>
      <c r="AT144" s="165"/>
      <c r="AU144" s="166"/>
      <c r="AV144" s="167"/>
      <c r="AW144" s="146"/>
      <c r="AX144" s="168"/>
    </row>
    <row r="145" spans="1:50" s="263" customFormat="1" ht="11.25" x14ac:dyDescent="0.25">
      <c r="A145" s="225"/>
      <c r="B145" s="258" t="s">
        <v>190</v>
      </c>
      <c r="C145" s="240">
        <f>SUM(C135:C144)</f>
        <v>0</v>
      </c>
      <c r="D145" s="240">
        <f t="shared" ref="D145:AL145" si="95">SUM(D135:D144)</f>
        <v>0</v>
      </c>
      <c r="E145" s="240">
        <f t="shared" si="95"/>
        <v>0</v>
      </c>
      <c r="F145" s="240">
        <f t="shared" si="95"/>
        <v>0</v>
      </c>
      <c r="G145" s="240">
        <f t="shared" si="95"/>
        <v>0</v>
      </c>
      <c r="H145" s="240">
        <f t="shared" si="95"/>
        <v>0</v>
      </c>
      <c r="I145" s="240">
        <f t="shared" si="95"/>
        <v>0</v>
      </c>
      <c r="J145" s="240">
        <f t="shared" si="95"/>
        <v>1516663</v>
      </c>
      <c r="K145" s="240">
        <f t="shared" si="95"/>
        <v>1641921</v>
      </c>
      <c r="L145" s="240">
        <f t="shared" si="95"/>
        <v>1666920</v>
      </c>
      <c r="M145" s="240">
        <f>SUM(M135:M144)</f>
        <v>1715518</v>
      </c>
      <c r="N145" s="240">
        <f t="shared" si="95"/>
        <v>0</v>
      </c>
      <c r="O145" s="240">
        <f t="shared" si="95"/>
        <v>0</v>
      </c>
      <c r="P145" s="240">
        <f t="shared" si="95"/>
        <v>1822133</v>
      </c>
      <c r="Q145" s="240">
        <f t="shared" si="95"/>
        <v>200434.63</v>
      </c>
      <c r="R145" s="240">
        <f t="shared" si="95"/>
        <v>549.13597260273968</v>
      </c>
      <c r="S145" s="240">
        <f t="shared" si="95"/>
        <v>120260.77800000002</v>
      </c>
      <c r="T145" s="199">
        <f t="shared" si="95"/>
        <v>0</v>
      </c>
      <c r="U145" s="241"/>
      <c r="V145" s="242">
        <f t="shared" si="95"/>
        <v>0</v>
      </c>
      <c r="W145" s="242">
        <f>SUM(W135:W144)</f>
        <v>0</v>
      </c>
      <c r="X145" s="242">
        <f>SUM(X135:X144)</f>
        <v>0</v>
      </c>
      <c r="Y145" s="199"/>
      <c r="Z145" s="199"/>
      <c r="AA145" s="243"/>
      <c r="AB145" s="240">
        <f>SUM(AB135:AB144)</f>
        <v>69751.251239999998</v>
      </c>
      <c r="AC145" s="244">
        <f>SUM(AC135:AC144)</f>
        <v>15633.90114</v>
      </c>
      <c r="AD145" s="244">
        <f>SUM(AD135:AD144)</f>
        <v>10552.883269499998</v>
      </c>
      <c r="AE145" s="244">
        <f>SUM(AE135:AE144)</f>
        <v>4810.4311199999993</v>
      </c>
      <c r="AF145" s="244">
        <f>SUM(AF135:AF144)</f>
        <v>2405.2155599999996</v>
      </c>
      <c r="AG145" s="244">
        <f t="shared" si="95"/>
        <v>2405.2155599999996</v>
      </c>
      <c r="AH145" s="244">
        <f>SUM(AH135:AH144)</f>
        <v>1202.6077799999998</v>
      </c>
      <c r="AI145" s="244">
        <f t="shared" si="95"/>
        <v>2405.2155599999996</v>
      </c>
      <c r="AJ145" s="244">
        <f t="shared" si="95"/>
        <v>2405.2155599999996</v>
      </c>
      <c r="AK145" s="244">
        <f t="shared" si="95"/>
        <v>8418.2544600000019</v>
      </c>
      <c r="AL145" s="245">
        <f t="shared" si="95"/>
        <v>37010.254429499997</v>
      </c>
      <c r="AM145" s="158"/>
      <c r="AN145" s="183"/>
      <c r="AO145" s="160">
        <f>SUM(AO135:AO144)</f>
        <v>983375958.26153755</v>
      </c>
      <c r="AP145" s="160">
        <f t="shared" ref="AP145:AW145" si="96">SUM(AP135:AP144)</f>
        <v>273160.01025878172</v>
      </c>
      <c r="AQ145" s="160">
        <f t="shared" si="96"/>
        <v>54632.002051756361</v>
      </c>
      <c r="AR145" s="186">
        <f t="shared" si="96"/>
        <v>7.7956623932300735</v>
      </c>
      <c r="AS145" s="435">
        <f t="shared" si="96"/>
        <v>7.7956623932300735</v>
      </c>
      <c r="AT145" s="187"/>
      <c r="AU145" s="246">
        <f t="shared" si="96"/>
        <v>0</v>
      </c>
      <c r="AV145" s="246"/>
      <c r="AW145" s="185">
        <f t="shared" si="96"/>
        <v>0</v>
      </c>
      <c r="AX145" s="189"/>
    </row>
    <row r="146" spans="1:50" s="139" customFormat="1" ht="11.25" x14ac:dyDescent="0.25">
      <c r="A146" s="247"/>
      <c r="B146" s="152"/>
      <c r="C146" s="247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248"/>
      <c r="P146" s="249"/>
      <c r="Q146" s="250"/>
      <c r="R146" s="250"/>
      <c r="S146" s="251"/>
      <c r="T146" s="199"/>
      <c r="U146" s="179"/>
      <c r="V146" s="249"/>
      <c r="W146" s="249"/>
      <c r="X146" s="152"/>
      <c r="Y146" s="153"/>
      <c r="Z146" s="153"/>
      <c r="AA146" s="154"/>
      <c r="AB146" s="247"/>
      <c r="AC146" s="252"/>
      <c r="AD146" s="252"/>
      <c r="AE146" s="252"/>
      <c r="AF146" s="252"/>
      <c r="AG146" s="252"/>
      <c r="AH146" s="252"/>
      <c r="AI146" s="252"/>
      <c r="AJ146" s="252"/>
      <c r="AK146" s="252"/>
      <c r="AL146" s="214"/>
      <c r="AM146" s="203"/>
      <c r="AN146" s="204"/>
      <c r="AO146" s="203"/>
      <c r="AP146" s="205"/>
      <c r="AQ146" s="206"/>
      <c r="AR146" s="253"/>
      <c r="AS146" s="254"/>
      <c r="AT146" s="255"/>
      <c r="AU146" s="256"/>
      <c r="AV146" s="257"/>
      <c r="AW146" s="214"/>
      <c r="AX146" s="212"/>
    </row>
    <row r="147" spans="1:50" s="139" customFormat="1" ht="11.25" x14ac:dyDescent="0.25">
      <c r="A147" s="120"/>
      <c r="B147" s="258" t="s">
        <v>191</v>
      </c>
      <c r="C147" s="122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213"/>
      <c r="P147" s="76"/>
      <c r="Q147" s="108"/>
      <c r="R147" s="108"/>
      <c r="S147" s="94"/>
      <c r="T147" s="199"/>
      <c r="U147" s="179"/>
      <c r="V147" s="180"/>
      <c r="W147" s="180"/>
      <c r="X147" s="214"/>
      <c r="Y147" s="181"/>
      <c r="Z147" s="181"/>
      <c r="AA147" s="182"/>
      <c r="AB147" s="62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125"/>
      <c r="AM147" s="75"/>
      <c r="AN147" s="216"/>
      <c r="AO147" s="75"/>
      <c r="AP147" s="51"/>
      <c r="AQ147" s="259"/>
      <c r="AR147" s="583"/>
      <c r="AS147" s="584"/>
      <c r="AT147" s="220"/>
      <c r="AU147" s="135"/>
      <c r="AV147" s="136"/>
      <c r="AW147" s="137"/>
      <c r="AX147" s="138"/>
    </row>
    <row r="148" spans="1:50" ht="11.25" x14ac:dyDescent="0.25">
      <c r="A148" s="140">
        <v>1</v>
      </c>
      <c r="B148" s="258" t="s">
        <v>192</v>
      </c>
      <c r="C148" s="235"/>
      <c r="D148" s="236"/>
      <c r="E148" s="236"/>
      <c r="F148" s="236"/>
      <c r="G148" s="236">
        <v>1112854</v>
      </c>
      <c r="H148" s="236">
        <v>255246</v>
      </c>
      <c r="I148" s="236">
        <v>259292</v>
      </c>
      <c r="J148" s="236">
        <v>262383</v>
      </c>
      <c r="K148" s="236">
        <v>254743</v>
      </c>
      <c r="L148" s="236">
        <v>267022</v>
      </c>
      <c r="M148" s="236">
        <v>324045</v>
      </c>
      <c r="N148" s="236">
        <v>334295</v>
      </c>
      <c r="O148" s="237"/>
      <c r="P148" s="223">
        <f t="shared" ref="P148:P162" si="97">MAX(C148:O148)</f>
        <v>1112854</v>
      </c>
      <c r="Q148" s="147">
        <f>P148*$Q$6</f>
        <v>182508.05600000001</v>
      </c>
      <c r="R148" s="147">
        <f t="shared" ref="R148:R162" si="98">Q148/$R$3</f>
        <v>500.02207123287673</v>
      </c>
      <c r="S148" s="148">
        <f>R148*$S$3*$S$6</f>
        <v>146006.44480000003</v>
      </c>
      <c r="T148" s="199"/>
      <c r="U148" s="150"/>
      <c r="V148" s="249"/>
      <c r="W148" s="249"/>
      <c r="X148" s="152"/>
      <c r="Y148" s="153"/>
      <c r="Z148" s="153"/>
      <c r="AA148" s="154"/>
      <c r="AB148" s="155">
        <f>S148*$AB$3</f>
        <v>84683.737984000007</v>
      </c>
      <c r="AC148" s="156">
        <f>S148*$AC$3</f>
        <v>18980.837824000006</v>
      </c>
      <c r="AD148" s="156">
        <f>S148*$AD$3</f>
        <v>12812.065531200002</v>
      </c>
      <c r="AE148" s="156">
        <f>S148*$AE$3</f>
        <v>5840.2577920000012</v>
      </c>
      <c r="AF148" s="156">
        <f>S148*$AF$3</f>
        <v>2920.1288960000006</v>
      </c>
      <c r="AG148" s="156">
        <f>S148*$AG$3</f>
        <v>2920.1288960000006</v>
      </c>
      <c r="AH148" s="156">
        <f>S148*$AH$3</f>
        <v>1460.0644480000003</v>
      </c>
      <c r="AI148" s="156">
        <f>S148*$AI$3</f>
        <v>2920.1288960000006</v>
      </c>
      <c r="AJ148" s="156">
        <f>S148*$AJ$3</f>
        <v>2920.1288960000006</v>
      </c>
      <c r="AK148" s="156">
        <f>S148*$AK$3</f>
        <v>10220.451136000003</v>
      </c>
      <c r="AL148" s="157">
        <f t="shared" ref="AL148:AL162" si="99">SUM(AC148:AH148)</f>
        <v>44933.483387200009</v>
      </c>
      <c r="AM148" s="158">
        <f t="shared" ref="AM148:AM162" si="100">$AM$3</f>
        <v>2200</v>
      </c>
      <c r="AN148" s="159">
        <v>0.2</v>
      </c>
      <c r="AO148" s="160">
        <f t="shared" ref="AO148:AO162" si="101">(AB148+AL148)*AM148*$AO$3</f>
        <v>1193899041.3612685</v>
      </c>
      <c r="AP148" s="161">
        <f t="shared" ref="AP148:AP162" si="102">AO148*$AP$3</f>
        <v>331638.64913144219</v>
      </c>
      <c r="AQ148" s="162">
        <f t="shared" ref="AQ148:AQ162" si="103">AP148*$AQ$3</f>
        <v>66327.729826288443</v>
      </c>
      <c r="AR148" s="580">
        <f t="shared" ref="AR148:AR162" si="104">AQ148/$AR$3</f>
        <v>9.4645733199612501</v>
      </c>
      <c r="AS148" s="435">
        <f t="shared" ref="AS148:AS162" si="105">AR148</f>
        <v>9.4645733199612501</v>
      </c>
      <c r="AT148" s="187"/>
      <c r="AU148" s="166"/>
      <c r="AV148" s="167"/>
      <c r="AW148" s="146"/>
      <c r="AX148" s="168"/>
    </row>
    <row r="149" spans="1:50" ht="11.25" x14ac:dyDescent="0.25">
      <c r="A149" s="140">
        <v>2</v>
      </c>
      <c r="B149" s="258" t="s">
        <v>193</v>
      </c>
      <c r="C149" s="235"/>
      <c r="D149" s="236"/>
      <c r="E149" s="236"/>
      <c r="F149" s="236"/>
      <c r="G149" s="236">
        <v>1000152</v>
      </c>
      <c r="H149" s="236">
        <v>556828</v>
      </c>
      <c r="I149" s="236">
        <v>572192</v>
      </c>
      <c r="J149" s="236">
        <v>685296</v>
      </c>
      <c r="K149" s="236">
        <v>696505</v>
      </c>
      <c r="L149" s="236">
        <v>707627</v>
      </c>
      <c r="M149" s="236">
        <v>727376</v>
      </c>
      <c r="N149" s="236">
        <v>742374</v>
      </c>
      <c r="O149" s="237"/>
      <c r="P149" s="223">
        <f t="shared" si="97"/>
        <v>1000152</v>
      </c>
      <c r="Q149" s="147">
        <f>P149*$Q$6</f>
        <v>164024.92800000001</v>
      </c>
      <c r="R149" s="147">
        <f t="shared" si="98"/>
        <v>449.38336438356168</v>
      </c>
      <c r="S149" s="148">
        <f>R149*$S$3*$S$6</f>
        <v>131219.94240000003</v>
      </c>
      <c r="T149" s="199"/>
      <c r="U149" s="150"/>
      <c r="V149" s="249"/>
      <c r="W149" s="249"/>
      <c r="X149" s="152"/>
      <c r="Y149" s="153"/>
      <c r="Z149" s="153"/>
      <c r="AA149" s="154"/>
      <c r="AB149" s="155">
        <f>S149*$AB$3</f>
        <v>76107.566592000017</v>
      </c>
      <c r="AC149" s="156">
        <f>S149*$AC$3</f>
        <v>17058.592512000003</v>
      </c>
      <c r="AD149" s="156">
        <f>S149*$AD$3</f>
        <v>11514.549945600002</v>
      </c>
      <c r="AE149" s="156">
        <f>S149*$AE$3</f>
        <v>5248.7976960000015</v>
      </c>
      <c r="AF149" s="156">
        <f>S149*$AF$3</f>
        <v>2624.3988480000007</v>
      </c>
      <c r="AG149" s="156">
        <f>S149*$AG$3</f>
        <v>2624.3988480000007</v>
      </c>
      <c r="AH149" s="156">
        <f>S149*$AH$3</f>
        <v>1312.1994240000004</v>
      </c>
      <c r="AI149" s="156">
        <f>S149*$AI$3</f>
        <v>2624.3988480000007</v>
      </c>
      <c r="AJ149" s="156">
        <f>S149*$AJ$3</f>
        <v>2624.3988480000007</v>
      </c>
      <c r="AK149" s="156">
        <f>S149*$AK$3</f>
        <v>9185.3959680000025</v>
      </c>
      <c r="AL149" s="157">
        <f t="shared" si="99"/>
        <v>40382.9372736</v>
      </c>
      <c r="AM149" s="158">
        <f t="shared" si="100"/>
        <v>2200</v>
      </c>
      <c r="AN149" s="159">
        <v>0.2</v>
      </c>
      <c r="AO149" s="160">
        <f t="shared" si="101"/>
        <v>1072989371.4858871</v>
      </c>
      <c r="AP149" s="161">
        <f t="shared" si="102"/>
        <v>298052.62703473243</v>
      </c>
      <c r="AQ149" s="162">
        <f t="shared" si="103"/>
        <v>59610.525406946486</v>
      </c>
      <c r="AR149" s="580">
        <f t="shared" si="104"/>
        <v>8.5060681231373412</v>
      </c>
      <c r="AS149" s="435">
        <f t="shared" si="105"/>
        <v>8.5060681231373412</v>
      </c>
      <c r="AT149" s="187"/>
      <c r="AU149" s="166"/>
      <c r="AV149" s="167"/>
      <c r="AW149" s="146"/>
      <c r="AX149" s="168"/>
    </row>
    <row r="150" spans="1:50" ht="11.25" x14ac:dyDescent="0.25">
      <c r="A150" s="140">
        <v>3</v>
      </c>
      <c r="B150" s="63" t="s">
        <v>194</v>
      </c>
      <c r="C150" s="235"/>
      <c r="D150" s="236"/>
      <c r="E150" s="236"/>
      <c r="F150" s="236"/>
      <c r="G150" s="236">
        <v>621876</v>
      </c>
      <c r="H150" s="236">
        <v>532222</v>
      </c>
      <c r="I150" s="236">
        <v>643924</v>
      </c>
      <c r="J150" s="236">
        <v>653304</v>
      </c>
      <c r="K150" s="236">
        <v>650906</v>
      </c>
      <c r="L150" s="236">
        <v>668342</v>
      </c>
      <c r="M150" s="236">
        <v>716576</v>
      </c>
      <c r="N150" s="236">
        <v>731410</v>
      </c>
      <c r="O150" s="237"/>
      <c r="P150" s="223">
        <f t="shared" si="97"/>
        <v>731410</v>
      </c>
      <c r="Q150" s="147">
        <f>P150*$Q$7</f>
        <v>106785.86</v>
      </c>
      <c r="R150" s="147">
        <f t="shared" si="98"/>
        <v>292.56400000000002</v>
      </c>
      <c r="S150" s="148">
        <f>R150*$S$3*$S$7</f>
        <v>74750.101999999999</v>
      </c>
      <c r="T150" s="199"/>
      <c r="U150" s="150"/>
      <c r="V150" s="249"/>
      <c r="W150" s="249"/>
      <c r="X150" s="152"/>
      <c r="Y150" s="153"/>
      <c r="Z150" s="153"/>
      <c r="AA150" s="154"/>
      <c r="AB150" s="155">
        <f>S150*$AB$3</f>
        <v>43355.059159999997</v>
      </c>
      <c r="AC150" s="156">
        <f>S150*$AC$3</f>
        <v>9717.5132599999997</v>
      </c>
      <c r="AD150" s="156">
        <f>S150*$AD$3</f>
        <v>6559.3214504999996</v>
      </c>
      <c r="AE150" s="156">
        <f>S150*$AE$3</f>
        <v>2990.0040800000002</v>
      </c>
      <c r="AF150" s="156">
        <f>S150*$AF$3</f>
        <v>1495.0020400000001</v>
      </c>
      <c r="AG150" s="156">
        <f>S150*$AG$3</f>
        <v>1495.0020400000001</v>
      </c>
      <c r="AH150" s="156">
        <f>S150*$AH$3</f>
        <v>747.50102000000004</v>
      </c>
      <c r="AI150" s="156">
        <f>S150*$AI$3</f>
        <v>1495.0020400000001</v>
      </c>
      <c r="AJ150" s="156">
        <f>S150*$AJ$3</f>
        <v>1495.0020400000001</v>
      </c>
      <c r="AK150" s="156">
        <f>S150*$AK$3</f>
        <v>5232.5071400000006</v>
      </c>
      <c r="AL150" s="157">
        <f t="shared" si="99"/>
        <v>23004.343890499997</v>
      </c>
      <c r="AM150" s="158">
        <f t="shared" si="100"/>
        <v>2200</v>
      </c>
      <c r="AN150" s="159">
        <v>0.2</v>
      </c>
      <c r="AO150" s="160">
        <f t="shared" si="101"/>
        <v>611233807.12203336</v>
      </c>
      <c r="AP150" s="161">
        <f t="shared" si="102"/>
        <v>169787.18222798276</v>
      </c>
      <c r="AQ150" s="162">
        <f t="shared" si="103"/>
        <v>33957.436445596555</v>
      </c>
      <c r="AR150" s="580">
        <f t="shared" si="104"/>
        <v>4.8455246069629787</v>
      </c>
      <c r="AS150" s="582">
        <f t="shared" si="105"/>
        <v>4.8455246069629787</v>
      </c>
      <c r="AT150" s="165"/>
      <c r="AU150" s="166"/>
      <c r="AV150" s="167"/>
      <c r="AW150" s="146"/>
      <c r="AX150" s="168"/>
    </row>
    <row r="151" spans="1:50" ht="11.25" x14ac:dyDescent="0.25">
      <c r="A151" s="140">
        <v>4</v>
      </c>
      <c r="B151" s="63" t="s">
        <v>195</v>
      </c>
      <c r="C151" s="235"/>
      <c r="D151" s="236"/>
      <c r="E151" s="236"/>
      <c r="F151" s="236"/>
      <c r="G151" s="236">
        <v>541895</v>
      </c>
      <c r="H151" s="236">
        <v>545754</v>
      </c>
      <c r="I151" s="236">
        <v>550478</v>
      </c>
      <c r="J151" s="236">
        <v>553093</v>
      </c>
      <c r="K151" s="236">
        <v>340556</v>
      </c>
      <c r="L151" s="236">
        <v>341055</v>
      </c>
      <c r="M151" s="236">
        <v>369974</v>
      </c>
      <c r="N151" s="236">
        <v>374505</v>
      </c>
      <c r="O151" s="237"/>
      <c r="P151" s="223">
        <f t="shared" si="97"/>
        <v>553093</v>
      </c>
      <c r="Q151" s="147">
        <f>P151*$Q$7</f>
        <v>80751.577999999994</v>
      </c>
      <c r="R151" s="147">
        <f t="shared" si="98"/>
        <v>221.23719999999997</v>
      </c>
      <c r="S151" s="148">
        <f>R151*$S$3*$S$7</f>
        <v>56526.104599999991</v>
      </c>
      <c r="T151" s="199"/>
      <c r="U151" s="150"/>
      <c r="V151" s="249"/>
      <c r="W151" s="249"/>
      <c r="X151" s="152"/>
      <c r="Y151" s="153"/>
      <c r="Z151" s="153"/>
      <c r="AA151" s="154"/>
      <c r="AB151" s="155">
        <f>S151*$AB$3</f>
        <v>32785.140667999993</v>
      </c>
      <c r="AC151" s="156">
        <f>S151*$AC$3</f>
        <v>7348.3935979999987</v>
      </c>
      <c r="AD151" s="156">
        <f>S151*$AD$3</f>
        <v>4960.1656786499989</v>
      </c>
      <c r="AE151" s="156">
        <f>S151*$AE$3</f>
        <v>2261.0441839999999</v>
      </c>
      <c r="AF151" s="156">
        <f>S151*$AF$3</f>
        <v>1130.5220919999999</v>
      </c>
      <c r="AG151" s="156">
        <f>S151*$AG$3</f>
        <v>1130.5220919999999</v>
      </c>
      <c r="AH151" s="156">
        <f>S151*$AH$3</f>
        <v>565.26104599999996</v>
      </c>
      <c r="AI151" s="156">
        <f>S151*$AI$3</f>
        <v>1130.5220919999999</v>
      </c>
      <c r="AJ151" s="156">
        <f>S151*$AJ$3</f>
        <v>1130.5220919999999</v>
      </c>
      <c r="AK151" s="156">
        <f>S151*$AK$3</f>
        <v>3956.8273219999996</v>
      </c>
      <c r="AL151" s="157">
        <f t="shared" si="99"/>
        <v>17395.908690649998</v>
      </c>
      <c r="AM151" s="158">
        <f t="shared" si="100"/>
        <v>2200</v>
      </c>
      <c r="AN151" s="159">
        <v>0.2</v>
      </c>
      <c r="AO151" s="160">
        <f t="shared" si="101"/>
        <v>462215638.40055072</v>
      </c>
      <c r="AP151" s="161">
        <f t="shared" si="102"/>
        <v>128393.2431605005</v>
      </c>
      <c r="AQ151" s="162">
        <f t="shared" si="103"/>
        <v>25678.648632100099</v>
      </c>
      <c r="AR151" s="580">
        <f t="shared" si="104"/>
        <v>3.6641907294663385</v>
      </c>
      <c r="AS151" s="582">
        <f t="shared" si="105"/>
        <v>3.6641907294663385</v>
      </c>
      <c r="AT151" s="165"/>
      <c r="AU151" s="166"/>
      <c r="AV151" s="167"/>
      <c r="AW151" s="146"/>
      <c r="AX151" s="168"/>
    </row>
    <row r="152" spans="1:50" ht="11.25" x14ac:dyDescent="0.25">
      <c r="A152" s="140">
        <v>5</v>
      </c>
      <c r="B152" s="63" t="s">
        <v>196</v>
      </c>
      <c r="C152" s="235"/>
      <c r="D152" s="236"/>
      <c r="E152" s="236"/>
      <c r="F152" s="236"/>
      <c r="G152" s="236">
        <v>465682</v>
      </c>
      <c r="H152" s="236">
        <v>474430</v>
      </c>
      <c r="I152" s="236">
        <v>484281</v>
      </c>
      <c r="J152" s="236">
        <v>492437</v>
      </c>
      <c r="K152" s="236">
        <v>499238</v>
      </c>
      <c r="L152" s="236">
        <v>505940</v>
      </c>
      <c r="M152" s="236">
        <v>525508</v>
      </c>
      <c r="N152" s="236">
        <v>535614</v>
      </c>
      <c r="O152" s="237"/>
      <c r="P152" s="223">
        <f t="shared" si="97"/>
        <v>535614</v>
      </c>
      <c r="Q152" s="147">
        <f>P152*$Q$7</f>
        <v>78199.644</v>
      </c>
      <c r="R152" s="147">
        <f t="shared" si="98"/>
        <v>214.2456</v>
      </c>
      <c r="S152" s="148">
        <f>R152*$S$3*$S$7</f>
        <v>54739.750799999994</v>
      </c>
      <c r="T152" s="199"/>
      <c r="U152" s="150"/>
      <c r="V152" s="249"/>
      <c r="W152" s="249"/>
      <c r="X152" s="152"/>
      <c r="Y152" s="153"/>
      <c r="Z152" s="153"/>
      <c r="AA152" s="154"/>
      <c r="AB152" s="155">
        <f>S152*$AB$3</f>
        <v>31749.055463999994</v>
      </c>
      <c r="AC152" s="156">
        <f>S152*$AC$3</f>
        <v>7116.1676039999993</v>
      </c>
      <c r="AD152" s="156">
        <f>S152*$AD$3</f>
        <v>4803.4131326999996</v>
      </c>
      <c r="AE152" s="156">
        <f>S152*$AE$3</f>
        <v>2189.5900319999996</v>
      </c>
      <c r="AF152" s="156">
        <f>S152*$AF$3</f>
        <v>1094.7950159999998</v>
      </c>
      <c r="AG152" s="156">
        <f>S152*$AG$3</f>
        <v>1094.7950159999998</v>
      </c>
      <c r="AH152" s="156">
        <f>S152*$AH$3</f>
        <v>547.3975079999999</v>
      </c>
      <c r="AI152" s="156">
        <f>S152*$AI$3</f>
        <v>1094.7950159999998</v>
      </c>
      <c r="AJ152" s="156">
        <f>S152*$AJ$3</f>
        <v>1094.7950159999998</v>
      </c>
      <c r="AK152" s="156">
        <f>S152*$AK$3</f>
        <v>3831.7825560000001</v>
      </c>
      <c r="AL152" s="157">
        <f t="shared" si="99"/>
        <v>16846.158308699996</v>
      </c>
      <c r="AM152" s="158">
        <f t="shared" si="100"/>
        <v>2200</v>
      </c>
      <c r="AN152" s="159">
        <v>0.2</v>
      </c>
      <c r="AO152" s="160">
        <f t="shared" si="101"/>
        <v>447608570.25178874</v>
      </c>
      <c r="AP152" s="161">
        <f t="shared" si="102"/>
        <v>124335.72390568732</v>
      </c>
      <c r="AQ152" s="162">
        <f t="shared" si="103"/>
        <v>24867.144781137467</v>
      </c>
      <c r="AR152" s="580">
        <f t="shared" si="104"/>
        <v>3.5483939470801182</v>
      </c>
      <c r="AS152" s="582">
        <f t="shared" si="105"/>
        <v>3.5483939470801182</v>
      </c>
      <c r="AT152" s="165"/>
      <c r="AU152" s="166"/>
      <c r="AV152" s="167"/>
      <c r="AW152" s="146"/>
      <c r="AX152" s="168"/>
    </row>
    <row r="153" spans="1:50" ht="11.25" x14ac:dyDescent="0.25">
      <c r="A153" s="140">
        <v>6</v>
      </c>
      <c r="B153" s="63" t="s">
        <v>197</v>
      </c>
      <c r="C153" s="235"/>
      <c r="D153" s="236"/>
      <c r="E153" s="236"/>
      <c r="F153" s="236"/>
      <c r="G153" s="236">
        <v>455739</v>
      </c>
      <c r="H153" s="236">
        <v>469175</v>
      </c>
      <c r="I153" s="236">
        <v>484245</v>
      </c>
      <c r="J153" s="236">
        <v>497964</v>
      </c>
      <c r="K153" s="236">
        <v>510387</v>
      </c>
      <c r="L153" s="236">
        <v>523025</v>
      </c>
      <c r="M153" s="236">
        <v>561458</v>
      </c>
      <c r="N153" s="236">
        <v>580489</v>
      </c>
      <c r="O153" s="237"/>
      <c r="P153" s="223">
        <f t="shared" si="97"/>
        <v>580489</v>
      </c>
      <c r="Q153" s="147">
        <f>P153*$Q$7</f>
        <v>84751.394</v>
      </c>
      <c r="R153" s="147">
        <f t="shared" si="98"/>
        <v>232.19560000000001</v>
      </c>
      <c r="S153" s="148">
        <f>R153*$S$3*$S$7</f>
        <v>59325.975799999993</v>
      </c>
      <c r="T153" s="199"/>
      <c r="U153" s="150"/>
      <c r="V153" s="249"/>
      <c r="W153" s="249"/>
      <c r="X153" s="152"/>
      <c r="Y153" s="153"/>
      <c r="Z153" s="153"/>
      <c r="AA153" s="154"/>
      <c r="AB153" s="155">
        <f>S153*$AB$3</f>
        <v>34409.065963999994</v>
      </c>
      <c r="AC153" s="156">
        <f>S153*$AC$3</f>
        <v>7712.3768539999992</v>
      </c>
      <c r="AD153" s="156">
        <f>S153*$AD$3</f>
        <v>5205.8543764499991</v>
      </c>
      <c r="AE153" s="156">
        <f>S153*$AE$3</f>
        <v>2373.0390319999997</v>
      </c>
      <c r="AF153" s="156">
        <f>S153*$AF$3</f>
        <v>1186.5195159999998</v>
      </c>
      <c r="AG153" s="156">
        <f>S153*$AG$3</f>
        <v>1186.5195159999998</v>
      </c>
      <c r="AH153" s="156">
        <f>S153*$AH$3</f>
        <v>593.25975799999992</v>
      </c>
      <c r="AI153" s="156">
        <f>S153*$AI$3</f>
        <v>1186.5195159999998</v>
      </c>
      <c r="AJ153" s="156">
        <f>S153*$AJ$3</f>
        <v>1186.5195159999998</v>
      </c>
      <c r="AK153" s="156">
        <f>S153*$AK$3</f>
        <v>4152.8183060000001</v>
      </c>
      <c r="AL153" s="157">
        <f t="shared" si="99"/>
        <v>18257.569052449999</v>
      </c>
      <c r="AM153" s="158">
        <f t="shared" si="100"/>
        <v>2200</v>
      </c>
      <c r="AN153" s="159">
        <v>0.2</v>
      </c>
      <c r="AO153" s="160">
        <f t="shared" si="101"/>
        <v>485110268.47112018</v>
      </c>
      <c r="AP153" s="161">
        <f t="shared" si="102"/>
        <v>134752.86313331712</v>
      </c>
      <c r="AQ153" s="162">
        <f t="shared" si="103"/>
        <v>26950.572626663426</v>
      </c>
      <c r="AR153" s="580">
        <f t="shared" si="104"/>
        <v>3.8456867332567675</v>
      </c>
      <c r="AS153" s="582">
        <f t="shared" si="105"/>
        <v>3.8456867332567675</v>
      </c>
      <c r="AT153" s="165"/>
      <c r="AU153" s="166"/>
      <c r="AV153" s="167"/>
      <c r="AW153" s="146"/>
      <c r="AX153" s="168"/>
    </row>
    <row r="154" spans="1:50" ht="11.25" x14ac:dyDescent="0.25">
      <c r="A154" s="140">
        <v>7</v>
      </c>
      <c r="B154" s="258" t="s">
        <v>198</v>
      </c>
      <c r="C154" s="235"/>
      <c r="D154" s="236"/>
      <c r="E154" s="236"/>
      <c r="F154" s="236"/>
      <c r="G154" s="236">
        <v>712813</v>
      </c>
      <c r="H154" s="236">
        <v>733828</v>
      </c>
      <c r="I154" s="236">
        <v>757398</v>
      </c>
      <c r="J154" s="236">
        <v>778627</v>
      </c>
      <c r="K154" s="236">
        <v>798360</v>
      </c>
      <c r="L154" s="236">
        <v>818280</v>
      </c>
      <c r="M154" s="236">
        <v>750110</v>
      </c>
      <c r="N154" s="236">
        <v>762482</v>
      </c>
      <c r="O154" s="237"/>
      <c r="P154" s="223">
        <f t="shared" si="97"/>
        <v>818280</v>
      </c>
      <c r="Q154" s="147">
        <f>P154*$Q$7</f>
        <v>119468.87999999999</v>
      </c>
      <c r="R154" s="147">
        <f t="shared" si="98"/>
        <v>327.31199999999995</v>
      </c>
      <c r="S154" s="148">
        <f>R154*$S$3*$S$7</f>
        <v>83628.215999999986</v>
      </c>
      <c r="T154" s="199"/>
      <c r="U154" s="150"/>
      <c r="V154" s="249"/>
      <c r="W154" s="249"/>
      <c r="X154" s="152"/>
      <c r="Y154" s="153"/>
      <c r="Z154" s="153"/>
      <c r="AA154" s="154"/>
      <c r="AB154" s="155">
        <f>S154*$AB$3</f>
        <v>48504.365279999991</v>
      </c>
      <c r="AC154" s="156">
        <f>S154*$AC$3</f>
        <v>10871.668079999998</v>
      </c>
      <c r="AD154" s="156">
        <f>S154*$AD$3</f>
        <v>7338.3759539999983</v>
      </c>
      <c r="AE154" s="156">
        <f>S154*$AE$3</f>
        <v>3345.1286399999995</v>
      </c>
      <c r="AF154" s="156">
        <f>S154*$AF$3</f>
        <v>1672.5643199999997</v>
      </c>
      <c r="AG154" s="156">
        <f>S154*$AG$3</f>
        <v>1672.5643199999997</v>
      </c>
      <c r="AH154" s="156">
        <f>S154*$AH$3</f>
        <v>836.28215999999986</v>
      </c>
      <c r="AI154" s="156">
        <f>S154*$AI$3</f>
        <v>1672.5643199999997</v>
      </c>
      <c r="AJ154" s="156">
        <f>S154*$AJ$3</f>
        <v>1672.5643199999997</v>
      </c>
      <c r="AK154" s="156">
        <f>S154*$AK$3</f>
        <v>5853.9751199999992</v>
      </c>
      <c r="AL154" s="157">
        <f t="shared" si="99"/>
        <v>25736.583473999995</v>
      </c>
      <c r="AM154" s="158">
        <f t="shared" si="100"/>
        <v>2200</v>
      </c>
      <c r="AN154" s="159">
        <v>0.2</v>
      </c>
      <c r="AO154" s="160">
        <f t="shared" si="101"/>
        <v>683830409.33514369</v>
      </c>
      <c r="AP154" s="161">
        <f t="shared" si="102"/>
        <v>189952.90667821566</v>
      </c>
      <c r="AQ154" s="162">
        <f t="shared" si="103"/>
        <v>37990.581335643132</v>
      </c>
      <c r="AR154" s="580">
        <f t="shared" si="104"/>
        <v>5.4210304417298989</v>
      </c>
      <c r="AS154" s="582">
        <f t="shared" si="105"/>
        <v>5.4210304417298989</v>
      </c>
      <c r="AT154" s="165"/>
      <c r="AU154" s="166"/>
      <c r="AV154" s="167"/>
      <c r="AW154" s="146"/>
      <c r="AX154" s="168"/>
    </row>
    <row r="155" spans="1:50" ht="11.25" x14ac:dyDescent="0.25">
      <c r="A155" s="140">
        <v>8</v>
      </c>
      <c r="B155" s="63" t="s">
        <v>199</v>
      </c>
      <c r="C155" s="235"/>
      <c r="D155" s="236"/>
      <c r="E155" s="236"/>
      <c r="F155" s="236"/>
      <c r="G155" s="236"/>
      <c r="H155" s="236">
        <v>317277</v>
      </c>
      <c r="I155" s="236">
        <v>322307</v>
      </c>
      <c r="J155" s="236">
        <v>326162</v>
      </c>
      <c r="K155" s="236">
        <v>329071</v>
      </c>
      <c r="L155" s="236">
        <v>331879</v>
      </c>
      <c r="M155" s="236">
        <v>318428</v>
      </c>
      <c r="N155" s="236">
        <v>320290</v>
      </c>
      <c r="O155" s="237"/>
      <c r="P155" s="223">
        <f t="shared" si="97"/>
        <v>331879</v>
      </c>
      <c r="Q155" s="147">
        <f>P155*$Q$8</f>
        <v>36506.69</v>
      </c>
      <c r="R155" s="147">
        <f t="shared" si="98"/>
        <v>100.01832876712329</v>
      </c>
      <c r="S155" s="148">
        <f>R155*$S$3*$S$8</f>
        <v>21904.013999999999</v>
      </c>
      <c r="T155" s="199"/>
      <c r="U155" s="150"/>
      <c r="V155" s="249"/>
      <c r="W155" s="249"/>
      <c r="X155" s="152"/>
      <c r="Y155" s="153"/>
      <c r="Z155" s="153"/>
      <c r="AA155" s="154"/>
      <c r="AB155" s="155">
        <f>S155*$AB$3</f>
        <v>12704.328119999998</v>
      </c>
      <c r="AC155" s="156">
        <f>S155*$AC$3</f>
        <v>2847.5218199999999</v>
      </c>
      <c r="AD155" s="156">
        <f>S155*$AD$3</f>
        <v>1922.0772284999998</v>
      </c>
      <c r="AE155" s="156">
        <f>S155*$AE$3</f>
        <v>876.16056000000003</v>
      </c>
      <c r="AF155" s="156">
        <f>S155*$AF$3</f>
        <v>438.08028000000002</v>
      </c>
      <c r="AG155" s="156">
        <f>S155*$AG$3</f>
        <v>438.08028000000002</v>
      </c>
      <c r="AH155" s="156">
        <f>S155*$AH$3</f>
        <v>219.04014000000001</v>
      </c>
      <c r="AI155" s="156">
        <f>S155*$AI$3</f>
        <v>438.08028000000002</v>
      </c>
      <c r="AJ155" s="156">
        <f>S155*$AJ$3</f>
        <v>438.08028000000002</v>
      </c>
      <c r="AK155" s="156">
        <f>S155*$AK$3</f>
        <v>1533.28098</v>
      </c>
      <c r="AL155" s="157">
        <f t="shared" si="99"/>
        <v>6740.9603085000008</v>
      </c>
      <c r="AM155" s="158">
        <f t="shared" si="100"/>
        <v>2200</v>
      </c>
      <c r="AN155" s="159">
        <v>0.2</v>
      </c>
      <c r="AO155" s="160">
        <f t="shared" si="101"/>
        <v>179109773.90337634</v>
      </c>
      <c r="AP155" s="161">
        <f t="shared" si="102"/>
        <v>49752.718953377291</v>
      </c>
      <c r="AQ155" s="162">
        <f t="shared" si="103"/>
        <v>9950.5437906754596</v>
      </c>
      <c r="AR155" s="580">
        <f t="shared" si="104"/>
        <v>1.4198835317744662</v>
      </c>
      <c r="AS155" s="582">
        <f t="shared" si="105"/>
        <v>1.4198835317744662</v>
      </c>
      <c r="AT155" s="165"/>
      <c r="AU155" s="166"/>
      <c r="AV155" s="167"/>
      <c r="AW155" s="146"/>
      <c r="AX155" s="168"/>
    </row>
    <row r="156" spans="1:50" ht="11.25" x14ac:dyDescent="0.25">
      <c r="A156" s="140">
        <v>9</v>
      </c>
      <c r="B156" s="63" t="s">
        <v>200</v>
      </c>
      <c r="C156" s="235"/>
      <c r="D156" s="236"/>
      <c r="E156" s="236"/>
      <c r="F156" s="236"/>
      <c r="G156" s="236"/>
      <c r="H156" s="236">
        <v>556010</v>
      </c>
      <c r="I156" s="236">
        <v>564824</v>
      </c>
      <c r="J156" s="236">
        <v>571557</v>
      </c>
      <c r="K156" s="236">
        <v>576699</v>
      </c>
      <c r="L156" s="236">
        <v>581665</v>
      </c>
      <c r="M156" s="236">
        <v>609982</v>
      </c>
      <c r="N156" s="236">
        <v>619460</v>
      </c>
      <c r="O156" s="237"/>
      <c r="P156" s="223">
        <f t="shared" si="97"/>
        <v>619460</v>
      </c>
      <c r="Q156" s="147">
        <f>P156*$Q$7</f>
        <v>90441.159999999989</v>
      </c>
      <c r="R156" s="147">
        <f t="shared" si="98"/>
        <v>247.78399999999996</v>
      </c>
      <c r="S156" s="148">
        <f>R156*$S$3*$S$7</f>
        <v>63308.811999999991</v>
      </c>
      <c r="T156" s="199"/>
      <c r="U156" s="150"/>
      <c r="V156" s="249"/>
      <c r="W156" s="249"/>
      <c r="X156" s="152"/>
      <c r="Y156" s="153"/>
      <c r="Z156" s="153"/>
      <c r="AA156" s="154"/>
      <c r="AB156" s="155">
        <f>S156*$AB$3</f>
        <v>36719.110959999991</v>
      </c>
      <c r="AC156" s="156">
        <f>S156*$AC$3</f>
        <v>8230.145559999999</v>
      </c>
      <c r="AD156" s="156">
        <f>S156*$AD$3</f>
        <v>5555.3482529999992</v>
      </c>
      <c r="AE156" s="156">
        <f>S156*$AE$3</f>
        <v>2532.3524799999996</v>
      </c>
      <c r="AF156" s="156">
        <f>S156*$AF$3</f>
        <v>1266.1762399999998</v>
      </c>
      <c r="AG156" s="156">
        <f>S156*$AG$3</f>
        <v>1266.1762399999998</v>
      </c>
      <c r="AH156" s="156">
        <f>S156*$AH$3</f>
        <v>633.08811999999989</v>
      </c>
      <c r="AI156" s="156">
        <f>S156*$AI$3</f>
        <v>1266.1762399999998</v>
      </c>
      <c r="AJ156" s="156">
        <f>S156*$AJ$3</f>
        <v>1266.1762399999998</v>
      </c>
      <c r="AK156" s="156">
        <f>S156*$AK$3</f>
        <v>4431.6168399999997</v>
      </c>
      <c r="AL156" s="157">
        <f t="shared" si="99"/>
        <v>19483.286892999997</v>
      </c>
      <c r="AM156" s="158">
        <f t="shared" si="100"/>
        <v>2200</v>
      </c>
      <c r="AN156" s="159">
        <v>0.2</v>
      </c>
      <c r="AO156" s="160">
        <f t="shared" si="101"/>
        <v>517678038.52806872</v>
      </c>
      <c r="AP156" s="161">
        <f t="shared" si="102"/>
        <v>143799.46665064216</v>
      </c>
      <c r="AQ156" s="162">
        <f t="shared" si="103"/>
        <v>28759.893330128434</v>
      </c>
      <c r="AR156" s="580">
        <f t="shared" si="104"/>
        <v>4.1038660573813406</v>
      </c>
      <c r="AS156" s="582">
        <f t="shared" si="105"/>
        <v>4.1038660573813406</v>
      </c>
      <c r="AT156" s="165"/>
      <c r="AU156" s="166"/>
      <c r="AV156" s="167"/>
      <c r="AW156" s="146"/>
      <c r="AX156" s="168"/>
    </row>
    <row r="157" spans="1:50" ht="11.25" x14ac:dyDescent="0.25">
      <c r="A157" s="140">
        <v>10</v>
      </c>
      <c r="B157" s="63" t="s">
        <v>201</v>
      </c>
      <c r="C157" s="235"/>
      <c r="D157" s="236"/>
      <c r="E157" s="236"/>
      <c r="F157" s="236"/>
      <c r="G157" s="236"/>
      <c r="H157" s="236">
        <v>356983</v>
      </c>
      <c r="I157" s="236">
        <v>365333</v>
      </c>
      <c r="J157" s="236">
        <v>372431</v>
      </c>
      <c r="K157" s="236">
        <v>378570</v>
      </c>
      <c r="L157" s="236">
        <v>384663</v>
      </c>
      <c r="M157" s="236">
        <v>380904</v>
      </c>
      <c r="N157" s="236">
        <v>387205</v>
      </c>
      <c r="O157" s="237"/>
      <c r="P157" s="223">
        <f t="shared" si="97"/>
        <v>387205</v>
      </c>
      <c r="Q157" s="147">
        <f>P157*$Q$8</f>
        <v>42592.55</v>
      </c>
      <c r="R157" s="147">
        <f t="shared" si="98"/>
        <v>116.69191780821919</v>
      </c>
      <c r="S157" s="148">
        <f>R157*$S$3*$S$8</f>
        <v>25555.530000000002</v>
      </c>
      <c r="T157" s="199"/>
      <c r="U157" s="150"/>
      <c r="V157" s="249"/>
      <c r="W157" s="249"/>
      <c r="X157" s="152"/>
      <c r="Y157" s="153"/>
      <c r="Z157" s="153"/>
      <c r="AA157" s="154"/>
      <c r="AB157" s="155">
        <f>S157*$AB$3</f>
        <v>14822.207400000001</v>
      </c>
      <c r="AC157" s="156">
        <f>S157*$AC$3</f>
        <v>3322.2189000000003</v>
      </c>
      <c r="AD157" s="156">
        <f>S157*$AD$3</f>
        <v>2242.4977575000003</v>
      </c>
      <c r="AE157" s="156">
        <f>S157*$AE$3</f>
        <v>1022.2212000000001</v>
      </c>
      <c r="AF157" s="156">
        <f>S157*$AF$3</f>
        <v>511.11060000000003</v>
      </c>
      <c r="AG157" s="156">
        <f>S157*$AG$3</f>
        <v>511.11060000000003</v>
      </c>
      <c r="AH157" s="156">
        <f>S157*$AH$3</f>
        <v>255.55530000000002</v>
      </c>
      <c r="AI157" s="156">
        <f>S157*$AI$3</f>
        <v>511.11060000000003</v>
      </c>
      <c r="AJ157" s="156">
        <f>S157*$AJ$3</f>
        <v>511.11060000000003</v>
      </c>
      <c r="AK157" s="156">
        <f>S157*$AK$3</f>
        <v>1788.8871000000004</v>
      </c>
      <c r="AL157" s="157">
        <f t="shared" si="99"/>
        <v>7864.7143575000009</v>
      </c>
      <c r="AM157" s="158">
        <f t="shared" si="100"/>
        <v>2200</v>
      </c>
      <c r="AN157" s="159">
        <v>0.2</v>
      </c>
      <c r="AO157" s="160">
        <f t="shared" si="101"/>
        <v>208968328.83146217</v>
      </c>
      <c r="AP157" s="161">
        <f t="shared" si="102"/>
        <v>58046.762652480131</v>
      </c>
      <c r="AQ157" s="162">
        <f t="shared" si="103"/>
        <v>11609.352530496028</v>
      </c>
      <c r="AR157" s="580">
        <f t="shared" si="104"/>
        <v>1.6565856921369901</v>
      </c>
      <c r="AS157" s="582">
        <f t="shared" si="105"/>
        <v>1.6565856921369901</v>
      </c>
      <c r="AT157" s="165"/>
      <c r="AU157" s="166"/>
      <c r="AV157" s="167"/>
      <c r="AW157" s="146"/>
      <c r="AX157" s="168"/>
    </row>
    <row r="158" spans="1:50" ht="11.25" x14ac:dyDescent="0.25">
      <c r="A158" s="140">
        <v>11</v>
      </c>
      <c r="B158" s="63" t="s">
        <v>202</v>
      </c>
      <c r="C158" s="235"/>
      <c r="D158" s="236"/>
      <c r="E158" s="236"/>
      <c r="F158" s="236"/>
      <c r="G158" s="236"/>
      <c r="H158" s="236"/>
      <c r="I158" s="236"/>
      <c r="J158" s="236"/>
      <c r="K158" s="236">
        <v>213559</v>
      </c>
      <c r="L158" s="236">
        <v>213873</v>
      </c>
      <c r="M158" s="236">
        <v>221176</v>
      </c>
      <c r="N158" s="236">
        <v>222735</v>
      </c>
      <c r="O158" s="237"/>
      <c r="P158" s="223">
        <f t="shared" si="97"/>
        <v>222735</v>
      </c>
      <c r="Q158" s="147">
        <f>P158*$Q$8</f>
        <v>24500.85</v>
      </c>
      <c r="R158" s="147">
        <f t="shared" si="98"/>
        <v>67.125616438356161</v>
      </c>
      <c r="S158" s="148">
        <f>R158*$S$3*$S$8</f>
        <v>14700.509999999998</v>
      </c>
      <c r="T158" s="199"/>
      <c r="U158" s="150"/>
      <c r="V158" s="249"/>
      <c r="W158" s="249"/>
      <c r="X158" s="152"/>
      <c r="Y158" s="153"/>
      <c r="Z158" s="153"/>
      <c r="AA158" s="154"/>
      <c r="AB158" s="155">
        <f>S158*$AB$3</f>
        <v>8526.2957999999981</v>
      </c>
      <c r="AC158" s="156">
        <f>S158*$AC$3</f>
        <v>1911.0663</v>
      </c>
      <c r="AD158" s="156">
        <f>S158*$AD$3</f>
        <v>1289.9697524999997</v>
      </c>
      <c r="AE158" s="156">
        <f>S158*$AE$3</f>
        <v>588.0204</v>
      </c>
      <c r="AF158" s="156">
        <f>S158*$AF$3</f>
        <v>294.0102</v>
      </c>
      <c r="AG158" s="156">
        <f>S158*$AG$3</f>
        <v>294.0102</v>
      </c>
      <c r="AH158" s="156">
        <f>S158*$AH$3</f>
        <v>147.0051</v>
      </c>
      <c r="AI158" s="156">
        <f>S158*$AI$3</f>
        <v>294.0102</v>
      </c>
      <c r="AJ158" s="156">
        <f>S158*$AJ$3</f>
        <v>294.0102</v>
      </c>
      <c r="AK158" s="156">
        <f>S158*$AK$3</f>
        <v>1029.0356999999999</v>
      </c>
      <c r="AL158" s="157">
        <f t="shared" si="99"/>
        <v>4524.0819524999997</v>
      </c>
      <c r="AM158" s="158">
        <f t="shared" si="100"/>
        <v>2200</v>
      </c>
      <c r="AN158" s="159">
        <v>0.2</v>
      </c>
      <c r="AO158" s="160">
        <f t="shared" si="101"/>
        <v>120206507.46316737</v>
      </c>
      <c r="AP158" s="161">
        <f t="shared" si="102"/>
        <v>33390.699188802209</v>
      </c>
      <c r="AQ158" s="162">
        <f t="shared" si="103"/>
        <v>6678.1398377604419</v>
      </c>
      <c r="AR158" s="580">
        <f t="shared" si="104"/>
        <v>0.95293091292243748</v>
      </c>
      <c r="AS158" s="582">
        <f t="shared" si="105"/>
        <v>0.95293091292243748</v>
      </c>
      <c r="AT158" s="165"/>
      <c r="AU158" s="166"/>
      <c r="AV158" s="167"/>
      <c r="AW158" s="146"/>
      <c r="AX158" s="168"/>
    </row>
    <row r="159" spans="1:50" ht="11.25" x14ac:dyDescent="0.25">
      <c r="A159" s="140">
        <v>12</v>
      </c>
      <c r="B159" s="258" t="s">
        <v>203</v>
      </c>
      <c r="C159" s="235"/>
      <c r="D159" s="236"/>
      <c r="E159" s="236"/>
      <c r="F159" s="236"/>
      <c r="G159" s="236">
        <v>1304211</v>
      </c>
      <c r="H159" s="236">
        <v>1338793</v>
      </c>
      <c r="I159" s="236">
        <v>1369239</v>
      </c>
      <c r="J159" s="236">
        <v>1394954</v>
      </c>
      <c r="K159" s="236">
        <v>1417047</v>
      </c>
      <c r="L159" s="236">
        <v>1438938</v>
      </c>
      <c r="M159" s="236">
        <v>1455284</v>
      </c>
      <c r="N159" s="236">
        <v>1481814</v>
      </c>
      <c r="O159" s="237"/>
      <c r="P159" s="223">
        <f t="shared" si="97"/>
        <v>1481814</v>
      </c>
      <c r="Q159" s="147">
        <f>P159*$Q$6</f>
        <v>243017.49600000001</v>
      </c>
      <c r="R159" s="147">
        <f t="shared" si="98"/>
        <v>665.80135890410963</v>
      </c>
      <c r="S159" s="148">
        <f>R159*$S$3*$S$6</f>
        <v>194413.99680000002</v>
      </c>
      <c r="T159" s="199"/>
      <c r="U159" s="150"/>
      <c r="V159" s="249"/>
      <c r="W159" s="249"/>
      <c r="X159" s="152"/>
      <c r="Y159" s="153"/>
      <c r="Z159" s="153"/>
      <c r="AA159" s="154"/>
      <c r="AB159" s="155">
        <f>S159*$AB$3</f>
        <v>112760.11814400001</v>
      </c>
      <c r="AC159" s="156">
        <f>S159*$AC$3</f>
        <v>25273.819584000004</v>
      </c>
      <c r="AD159" s="156">
        <f>S159*$AD$3</f>
        <v>17059.828219200001</v>
      </c>
      <c r="AE159" s="156">
        <f>S159*$AE$3</f>
        <v>7776.5598720000007</v>
      </c>
      <c r="AF159" s="156">
        <f>S159*$AF$3</f>
        <v>3888.2799360000004</v>
      </c>
      <c r="AG159" s="156">
        <f>S159*$AG$3</f>
        <v>3888.2799360000004</v>
      </c>
      <c r="AH159" s="156">
        <f>S159*$AH$3</f>
        <v>1944.1399680000002</v>
      </c>
      <c r="AI159" s="156">
        <f>S159*$AI$3</f>
        <v>3888.2799360000004</v>
      </c>
      <c r="AJ159" s="156">
        <f>S159*$AJ$3</f>
        <v>3888.2799360000004</v>
      </c>
      <c r="AK159" s="156">
        <f>S159*$AK$3</f>
        <v>13608.979776000004</v>
      </c>
      <c r="AL159" s="157">
        <f t="shared" si="99"/>
        <v>59830.9075152</v>
      </c>
      <c r="AM159" s="158">
        <f t="shared" si="100"/>
        <v>2200</v>
      </c>
      <c r="AN159" s="159">
        <v>0.2</v>
      </c>
      <c r="AO159" s="160">
        <f t="shared" si="101"/>
        <v>1589729033.7058649</v>
      </c>
      <c r="AP159" s="161">
        <f t="shared" si="102"/>
        <v>441591.43357894098</v>
      </c>
      <c r="AQ159" s="162">
        <f t="shared" si="103"/>
        <v>88318.286715788199</v>
      </c>
      <c r="AR159" s="580">
        <f t="shared" si="104"/>
        <v>12.602495250540553</v>
      </c>
      <c r="AS159" s="435">
        <f t="shared" si="105"/>
        <v>12.602495250540553</v>
      </c>
      <c r="AT159" s="187"/>
      <c r="AU159" s="166"/>
      <c r="AV159" s="167"/>
      <c r="AW159" s="146"/>
      <c r="AX159" s="168"/>
    </row>
    <row r="160" spans="1:50" ht="11.25" x14ac:dyDescent="0.25">
      <c r="A160" s="140">
        <v>13</v>
      </c>
      <c r="B160" s="63" t="s">
        <v>204</v>
      </c>
      <c r="C160" s="235"/>
      <c r="D160" s="236"/>
      <c r="E160" s="236"/>
      <c r="F160" s="236"/>
      <c r="G160" s="236">
        <v>128207</v>
      </c>
      <c r="H160" s="236">
        <v>130340</v>
      </c>
      <c r="I160" s="236">
        <v>132752</v>
      </c>
      <c r="J160" s="236">
        <v>134686</v>
      </c>
      <c r="K160" s="236">
        <v>136253</v>
      </c>
      <c r="L160" s="236">
        <v>137786</v>
      </c>
      <c r="M160" s="236">
        <v>161984</v>
      </c>
      <c r="N160" s="236">
        <v>166960</v>
      </c>
      <c r="O160" s="237"/>
      <c r="P160" s="223">
        <f t="shared" si="97"/>
        <v>166960</v>
      </c>
      <c r="Q160" s="147">
        <f>P160*$Q$8</f>
        <v>18365.599999999999</v>
      </c>
      <c r="R160" s="147">
        <f t="shared" si="98"/>
        <v>50.316712328767117</v>
      </c>
      <c r="S160" s="148">
        <f>R160*$S$3*$S$8</f>
        <v>11019.359999999999</v>
      </c>
      <c r="T160" s="199"/>
      <c r="U160" s="150"/>
      <c r="V160" s="249"/>
      <c r="W160" s="249"/>
      <c r="X160" s="152"/>
      <c r="Y160" s="153"/>
      <c r="Z160" s="153"/>
      <c r="AA160" s="154"/>
      <c r="AB160" s="155">
        <f>S160*$AB$3</f>
        <v>6391.228799999999</v>
      </c>
      <c r="AC160" s="156">
        <f>S160*$AC$3</f>
        <v>1432.5167999999999</v>
      </c>
      <c r="AD160" s="156">
        <f>S160*$AD$3</f>
        <v>966.94883999999979</v>
      </c>
      <c r="AE160" s="156">
        <f>S160*$AE$3</f>
        <v>440.77439999999996</v>
      </c>
      <c r="AF160" s="156">
        <f>S160*$AF$3</f>
        <v>220.38719999999998</v>
      </c>
      <c r="AG160" s="156">
        <f>S160*$AG$3</f>
        <v>220.38719999999998</v>
      </c>
      <c r="AH160" s="156">
        <f>S160*$AH$3</f>
        <v>110.19359999999999</v>
      </c>
      <c r="AI160" s="156">
        <f>S160*$AI$3</f>
        <v>220.38719999999998</v>
      </c>
      <c r="AJ160" s="156">
        <f>S160*$AJ$3</f>
        <v>220.38719999999998</v>
      </c>
      <c r="AK160" s="156">
        <f>S160*$AK$3</f>
        <v>771.35519999999997</v>
      </c>
      <c r="AL160" s="157">
        <f t="shared" si="99"/>
        <v>3391.2080399999995</v>
      </c>
      <c r="AM160" s="158">
        <f t="shared" si="100"/>
        <v>2200</v>
      </c>
      <c r="AN160" s="159">
        <v>0.2</v>
      </c>
      <c r="AO160" s="160">
        <f t="shared" si="101"/>
        <v>90105634.435766384</v>
      </c>
      <c r="AP160" s="161">
        <f t="shared" si="102"/>
        <v>25029.344901171426</v>
      </c>
      <c r="AQ160" s="162">
        <f t="shared" si="103"/>
        <v>5005.8689802342851</v>
      </c>
      <c r="AR160" s="580">
        <f t="shared" si="104"/>
        <v>0.71430778827544028</v>
      </c>
      <c r="AS160" s="582">
        <f t="shared" si="105"/>
        <v>0.71430778827544028</v>
      </c>
      <c r="AT160" s="165"/>
      <c r="AU160" s="166"/>
      <c r="AV160" s="167"/>
      <c r="AW160" s="146"/>
      <c r="AX160" s="168"/>
    </row>
    <row r="161" spans="1:50" ht="11.25" x14ac:dyDescent="0.25">
      <c r="A161" s="140">
        <v>14</v>
      </c>
      <c r="B161" s="63" t="s">
        <v>205</v>
      </c>
      <c r="C161" s="235"/>
      <c r="D161" s="236"/>
      <c r="E161" s="236"/>
      <c r="F161" s="236"/>
      <c r="G161" s="236">
        <v>113752</v>
      </c>
      <c r="H161" s="236">
        <v>114562</v>
      </c>
      <c r="I161" s="236">
        <v>115553</v>
      </c>
      <c r="J161" s="236">
        <v>116102</v>
      </c>
      <c r="K161" s="236">
        <v>116316</v>
      </c>
      <c r="L161" s="236">
        <v>116486</v>
      </c>
      <c r="M161" s="236">
        <v>126181</v>
      </c>
      <c r="N161" s="236">
        <v>127706</v>
      </c>
      <c r="O161" s="237"/>
      <c r="P161" s="223">
        <f t="shared" si="97"/>
        <v>127706</v>
      </c>
      <c r="Q161" s="147">
        <f>P161*$Q$8</f>
        <v>14047.66</v>
      </c>
      <c r="R161" s="147">
        <f t="shared" si="98"/>
        <v>38.486739726027395</v>
      </c>
      <c r="S161" s="148">
        <f>R161*$S$3*$S$8</f>
        <v>8428.5959999999995</v>
      </c>
      <c r="T161" s="199"/>
      <c r="U161" s="150"/>
      <c r="V161" s="249"/>
      <c r="W161" s="249"/>
      <c r="X161" s="152"/>
      <c r="Y161" s="153"/>
      <c r="Z161" s="153"/>
      <c r="AA161" s="154"/>
      <c r="AB161" s="155">
        <f>S161*$AB$3</f>
        <v>4888.5856799999992</v>
      </c>
      <c r="AC161" s="156">
        <f>S161*$AC$3</f>
        <v>1095.71748</v>
      </c>
      <c r="AD161" s="156">
        <f>S161*$AD$3</f>
        <v>739.60929899999996</v>
      </c>
      <c r="AE161" s="156">
        <f>S161*$AE$3</f>
        <v>337.14384000000001</v>
      </c>
      <c r="AF161" s="156">
        <f>S161*$AF$3</f>
        <v>168.57192000000001</v>
      </c>
      <c r="AG161" s="156">
        <f>S161*$AG$3</f>
        <v>168.57192000000001</v>
      </c>
      <c r="AH161" s="156">
        <f>S161*$AH$3</f>
        <v>84.285960000000003</v>
      </c>
      <c r="AI161" s="156">
        <f>S161*$AI$3</f>
        <v>168.57192000000001</v>
      </c>
      <c r="AJ161" s="156">
        <f>S161*$AJ$3</f>
        <v>168.57192000000001</v>
      </c>
      <c r="AK161" s="156">
        <f>S161*$AK$3</f>
        <v>590.00171999999998</v>
      </c>
      <c r="AL161" s="157">
        <f t="shared" si="99"/>
        <v>2593.9004190000001</v>
      </c>
      <c r="AM161" s="158">
        <f t="shared" si="100"/>
        <v>2200</v>
      </c>
      <c r="AN161" s="159">
        <v>0.2</v>
      </c>
      <c r="AO161" s="160">
        <f t="shared" si="101"/>
        <v>68920880.15844503</v>
      </c>
      <c r="AP161" s="161">
        <f t="shared" si="102"/>
        <v>19144.690464476513</v>
      </c>
      <c r="AQ161" s="162">
        <f t="shared" si="103"/>
        <v>3828.9380928953028</v>
      </c>
      <c r="AR161" s="580">
        <f t="shared" si="104"/>
        <v>0.54636673699990057</v>
      </c>
      <c r="AS161" s="582">
        <f t="shared" si="105"/>
        <v>0.54636673699990057</v>
      </c>
      <c r="AT161" s="165"/>
      <c r="AU161" s="166"/>
      <c r="AV161" s="167"/>
      <c r="AW161" s="146"/>
      <c r="AX161" s="168"/>
    </row>
    <row r="162" spans="1:50" ht="11.25" x14ac:dyDescent="0.25">
      <c r="A162" s="140">
        <v>15</v>
      </c>
      <c r="B162" s="63" t="s">
        <v>206</v>
      </c>
      <c r="C162" s="235"/>
      <c r="D162" s="236"/>
      <c r="E162" s="236"/>
      <c r="F162" s="236"/>
      <c r="G162" s="236">
        <v>171235</v>
      </c>
      <c r="H162" s="236">
        <v>174452</v>
      </c>
      <c r="I162" s="236">
        <v>178074</v>
      </c>
      <c r="J162" s="236">
        <v>181068</v>
      </c>
      <c r="K162" s="236">
        <v>183580</v>
      </c>
      <c r="L162" s="236">
        <v>186056</v>
      </c>
      <c r="M162" s="236">
        <v>201308</v>
      </c>
      <c r="N162" s="236">
        <v>206086</v>
      </c>
      <c r="O162" s="237"/>
      <c r="P162" s="223">
        <f t="shared" si="97"/>
        <v>206086</v>
      </c>
      <c r="Q162" s="147">
        <f>P162*$Q$8</f>
        <v>22669.46</v>
      </c>
      <c r="R162" s="147">
        <f t="shared" si="98"/>
        <v>62.108109589041092</v>
      </c>
      <c r="S162" s="148">
        <f>R162*$S$3*$S$8</f>
        <v>13601.675999999999</v>
      </c>
      <c r="T162" s="199"/>
      <c r="U162" s="150"/>
      <c r="V162" s="249"/>
      <c r="W162" s="249"/>
      <c r="X162" s="152"/>
      <c r="Y162" s="153"/>
      <c r="Z162" s="153"/>
      <c r="AA162" s="154"/>
      <c r="AB162" s="155">
        <f>S162*$AB$3</f>
        <v>7888.9720799999996</v>
      </c>
      <c r="AC162" s="156">
        <f>S162*$AC$3</f>
        <v>1768.2178799999999</v>
      </c>
      <c r="AD162" s="156">
        <f>S162*$AD$3</f>
        <v>1193.547069</v>
      </c>
      <c r="AE162" s="156">
        <f>S162*$AE$3</f>
        <v>544.06704000000002</v>
      </c>
      <c r="AF162" s="156">
        <f>S162*$AF$3</f>
        <v>272.03352000000001</v>
      </c>
      <c r="AG162" s="156">
        <f>S162*$AG$3</f>
        <v>272.03352000000001</v>
      </c>
      <c r="AH162" s="156">
        <f>S162*$AH$3</f>
        <v>136.01676</v>
      </c>
      <c r="AI162" s="156">
        <f>S162*$AI$3</f>
        <v>272.03352000000001</v>
      </c>
      <c r="AJ162" s="156">
        <f>S162*$AJ$3</f>
        <v>272.03352000000001</v>
      </c>
      <c r="AK162" s="156">
        <f>S162*$AK$3</f>
        <v>952.11732000000006</v>
      </c>
      <c r="AL162" s="157">
        <f t="shared" si="99"/>
        <v>4185.9157889999997</v>
      </c>
      <c r="AM162" s="158">
        <f t="shared" si="100"/>
        <v>2200</v>
      </c>
      <c r="AN162" s="159">
        <v>0.2</v>
      </c>
      <c r="AO162" s="160">
        <f t="shared" si="101"/>
        <v>111221309.16584422</v>
      </c>
      <c r="AP162" s="161">
        <f t="shared" si="102"/>
        <v>30894.81057320804</v>
      </c>
      <c r="AQ162" s="162">
        <f t="shared" si="103"/>
        <v>6178.9621146416084</v>
      </c>
      <c r="AR162" s="580">
        <f t="shared" si="104"/>
        <v>0.88170121498881404</v>
      </c>
      <c r="AS162" s="582">
        <f t="shared" si="105"/>
        <v>0.88170121498881404</v>
      </c>
      <c r="AT162" s="165"/>
      <c r="AU162" s="166"/>
      <c r="AV162" s="167"/>
      <c r="AW162" s="146"/>
      <c r="AX162" s="168"/>
    </row>
    <row r="163" spans="1:50" s="263" customFormat="1" ht="11.25" x14ac:dyDescent="0.25">
      <c r="A163" s="225"/>
      <c r="B163" s="258" t="s">
        <v>207</v>
      </c>
      <c r="C163" s="240">
        <f>SUM(C148:C162)</f>
        <v>0</v>
      </c>
      <c r="D163" s="240">
        <f t="shared" ref="D163:AL163" si="106">SUM(D148:D162)</f>
        <v>0</v>
      </c>
      <c r="E163" s="240">
        <f t="shared" si="106"/>
        <v>0</v>
      </c>
      <c r="F163" s="240">
        <f t="shared" si="106"/>
        <v>0</v>
      </c>
      <c r="G163" s="240">
        <f t="shared" si="106"/>
        <v>6628416</v>
      </c>
      <c r="H163" s="240">
        <f t="shared" si="106"/>
        <v>6555900</v>
      </c>
      <c r="I163" s="240">
        <f t="shared" si="106"/>
        <v>6799892</v>
      </c>
      <c r="J163" s="240">
        <f t="shared" si="106"/>
        <v>7020064</v>
      </c>
      <c r="K163" s="240">
        <f t="shared" si="106"/>
        <v>7101790</v>
      </c>
      <c r="L163" s="240">
        <f t="shared" si="106"/>
        <v>7222637</v>
      </c>
      <c r="M163" s="240">
        <f t="shared" si="106"/>
        <v>7450294</v>
      </c>
      <c r="N163" s="240">
        <f t="shared" si="106"/>
        <v>7593425</v>
      </c>
      <c r="O163" s="240">
        <f t="shared" si="106"/>
        <v>0</v>
      </c>
      <c r="P163" s="240">
        <f t="shared" si="106"/>
        <v>8875737</v>
      </c>
      <c r="Q163" s="240">
        <f t="shared" si="106"/>
        <v>1308631.8060000001</v>
      </c>
      <c r="R163" s="240">
        <f t="shared" si="106"/>
        <v>3585.292619178083</v>
      </c>
      <c r="S163" s="240">
        <f t="shared" si="106"/>
        <v>959129.03120000008</v>
      </c>
      <c r="T163" s="199">
        <f t="shared" si="106"/>
        <v>0</v>
      </c>
      <c r="U163" s="241"/>
      <c r="V163" s="242">
        <f t="shared" si="106"/>
        <v>0</v>
      </c>
      <c r="W163" s="242">
        <f>SUM(W148:W162)</f>
        <v>0</v>
      </c>
      <c r="X163" s="242">
        <f>SUM(X148:X162)</f>
        <v>0</v>
      </c>
      <c r="Y163" s="199"/>
      <c r="Z163" s="199"/>
      <c r="AA163" s="243"/>
      <c r="AB163" s="240">
        <f>SUM(AB148:AB162)</f>
        <v>556294.83809600014</v>
      </c>
      <c r="AC163" s="244">
        <f>SUM(AC148:AC162)</f>
        <v>124686.77405600004</v>
      </c>
      <c r="AD163" s="244">
        <f>SUM(AD148:AD162)</f>
        <v>84163.572487799989</v>
      </c>
      <c r="AE163" s="244">
        <f>SUM(AE148:AE162)</f>
        <v>38365.161248000004</v>
      </c>
      <c r="AF163" s="244">
        <f>SUM(AF148:AF162)</f>
        <v>19182.580624000002</v>
      </c>
      <c r="AG163" s="244">
        <f t="shared" si="106"/>
        <v>19182.580624000002</v>
      </c>
      <c r="AH163" s="244">
        <f>SUM(AH148:AH162)</f>
        <v>9591.290312000001</v>
      </c>
      <c r="AI163" s="244">
        <f t="shared" si="106"/>
        <v>19182.580624000002</v>
      </c>
      <c r="AJ163" s="244">
        <f t="shared" si="106"/>
        <v>19182.580624000002</v>
      </c>
      <c r="AK163" s="244">
        <f t="shared" si="106"/>
        <v>67139.032184000025</v>
      </c>
      <c r="AL163" s="245">
        <f t="shared" si="106"/>
        <v>295171.95935180003</v>
      </c>
      <c r="AM163" s="158"/>
      <c r="AN163" s="183"/>
      <c r="AO163" s="160">
        <f>SUM(AO148:AO162)</f>
        <v>7842826612.6197872</v>
      </c>
      <c r="AP163" s="160">
        <f t="shared" ref="AP163:AW163" si="107">SUM(AP148:AP162)</f>
        <v>2178563.1222349769</v>
      </c>
      <c r="AQ163" s="160">
        <f t="shared" si="107"/>
        <v>435712.62444699538</v>
      </c>
      <c r="AR163" s="186">
        <f t="shared" si="107"/>
        <v>62.173605086614643</v>
      </c>
      <c r="AS163" s="435">
        <f t="shared" si="107"/>
        <v>62.173605086614643</v>
      </c>
      <c r="AT163" s="187"/>
      <c r="AU163" s="246">
        <f t="shared" si="107"/>
        <v>0</v>
      </c>
      <c r="AV163" s="246"/>
      <c r="AW163" s="185">
        <f t="shared" si="107"/>
        <v>0</v>
      </c>
      <c r="AX163" s="189"/>
    </row>
    <row r="164" spans="1:50" s="139" customFormat="1" ht="11.25" x14ac:dyDescent="0.25">
      <c r="A164" s="247"/>
      <c r="B164" s="152"/>
      <c r="C164" s="247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248"/>
      <c r="P164" s="249"/>
      <c r="Q164" s="250"/>
      <c r="R164" s="250"/>
      <c r="S164" s="251"/>
      <c r="T164" s="199"/>
      <c r="U164" s="179"/>
      <c r="V164" s="249"/>
      <c r="W164" s="249"/>
      <c r="X164" s="152"/>
      <c r="Y164" s="153"/>
      <c r="Z164" s="153"/>
      <c r="AA164" s="154"/>
      <c r="AB164" s="247"/>
      <c r="AC164" s="252"/>
      <c r="AD164" s="252"/>
      <c r="AE164" s="252"/>
      <c r="AF164" s="252"/>
      <c r="AG164" s="252"/>
      <c r="AH164" s="252"/>
      <c r="AI164" s="252"/>
      <c r="AJ164" s="252"/>
      <c r="AK164" s="252"/>
      <c r="AL164" s="214"/>
      <c r="AM164" s="203"/>
      <c r="AN164" s="204"/>
      <c r="AO164" s="203"/>
      <c r="AP164" s="205"/>
      <c r="AQ164" s="206"/>
      <c r="AR164" s="253"/>
      <c r="AS164" s="254"/>
      <c r="AT164" s="255"/>
      <c r="AU164" s="256"/>
      <c r="AV164" s="257"/>
      <c r="AW164" s="214"/>
      <c r="AX164" s="212"/>
    </row>
    <row r="165" spans="1:50" s="139" customFormat="1" ht="11.25" x14ac:dyDescent="0.25">
      <c r="A165" s="120"/>
      <c r="B165" s="258" t="s">
        <v>208</v>
      </c>
      <c r="C165" s="122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213"/>
      <c r="P165" s="76"/>
      <c r="Q165" s="108"/>
      <c r="R165" s="108"/>
      <c r="S165" s="94"/>
      <c r="T165" s="199"/>
      <c r="U165" s="179"/>
      <c r="V165" s="180"/>
      <c r="W165" s="180"/>
      <c r="X165" s="214"/>
      <c r="Y165" s="181"/>
      <c r="Z165" s="181"/>
      <c r="AA165" s="182"/>
      <c r="AB165" s="62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125"/>
      <c r="AM165" s="75"/>
      <c r="AN165" s="216"/>
      <c r="AO165" s="75"/>
      <c r="AP165" s="51"/>
      <c r="AQ165" s="259"/>
      <c r="AR165" s="583"/>
      <c r="AS165" s="584"/>
      <c r="AT165" s="220"/>
      <c r="AU165" s="135"/>
      <c r="AV165" s="136"/>
      <c r="AW165" s="137"/>
      <c r="AX165" s="138"/>
    </row>
    <row r="166" spans="1:50" ht="11.25" x14ac:dyDescent="0.25">
      <c r="A166" s="140">
        <v>1</v>
      </c>
      <c r="B166" s="63" t="s">
        <v>209</v>
      </c>
      <c r="C166" s="235"/>
      <c r="D166" s="236"/>
      <c r="E166" s="236"/>
      <c r="F166" s="236"/>
      <c r="G166" s="236"/>
      <c r="H166" s="236"/>
      <c r="I166" s="236"/>
      <c r="J166" s="236"/>
      <c r="K166" s="236"/>
      <c r="L166" s="236">
        <v>275515</v>
      </c>
      <c r="M166" s="236">
        <v>277204</v>
      </c>
      <c r="N166" s="236">
        <v>285915</v>
      </c>
      <c r="O166" s="237"/>
      <c r="P166" s="223">
        <f t="shared" ref="P166:P172" si="108">MAX(C166:O166)</f>
        <v>285915</v>
      </c>
      <c r="Q166" s="147">
        <f t="shared" ref="Q166:Q172" si="109">P166*$Q$8</f>
        <v>31450.65</v>
      </c>
      <c r="R166" s="147">
        <f t="shared" ref="R166:R172" si="110">Q166/$R$3</f>
        <v>86.16616438356165</v>
      </c>
      <c r="S166" s="148">
        <f t="shared" ref="S166:S172" si="111">R166*$S$3*$S$8</f>
        <v>18870.39</v>
      </c>
      <c r="T166" s="199"/>
      <c r="U166" s="150"/>
      <c r="V166" s="249"/>
      <c r="W166" s="249"/>
      <c r="X166" s="152"/>
      <c r="Y166" s="153"/>
      <c r="Z166" s="153"/>
      <c r="AA166" s="154"/>
      <c r="AB166" s="155">
        <f>S166*$AB$3</f>
        <v>10944.8262</v>
      </c>
      <c r="AC166" s="156">
        <f>S166*$AC$3</f>
        <v>2453.1507000000001</v>
      </c>
      <c r="AD166" s="156">
        <f>S166*$AD$3</f>
        <v>1655.8767224999999</v>
      </c>
      <c r="AE166" s="156">
        <f>S166*$AE$3</f>
        <v>754.81560000000002</v>
      </c>
      <c r="AF166" s="156">
        <f>S166*$AF$3</f>
        <v>377.40780000000001</v>
      </c>
      <c r="AG166" s="156">
        <f>S166*$AG$3</f>
        <v>377.40780000000001</v>
      </c>
      <c r="AH166" s="156">
        <f>S166*$AH$3</f>
        <v>188.7039</v>
      </c>
      <c r="AI166" s="156">
        <f>S166*$AI$3</f>
        <v>377.40780000000001</v>
      </c>
      <c r="AJ166" s="156">
        <f>S166*$AJ$3</f>
        <v>377.40780000000001</v>
      </c>
      <c r="AK166" s="156">
        <f>S166*$AK$3</f>
        <v>1320.9273000000001</v>
      </c>
      <c r="AL166" s="157">
        <f t="shared" ref="AL166:AL172" si="112">SUM(AC166:AH166)</f>
        <v>5807.3625225000005</v>
      </c>
      <c r="AM166" s="158">
        <f t="shared" ref="AM166:AM172" si="113">$AM$3</f>
        <v>2200</v>
      </c>
      <c r="AN166" s="159">
        <v>0.2</v>
      </c>
      <c r="AO166" s="160">
        <f t="shared" ref="AO166:AO172" si="114">(AB166+AL166)*AM166*$AO$3</f>
        <v>154303740.23539859</v>
      </c>
      <c r="AP166" s="161">
        <f t="shared" ref="AP166:AP172" si="115">AO166*$AP$3</f>
        <v>42862.1534943605</v>
      </c>
      <c r="AQ166" s="162">
        <f t="shared" ref="AQ166:AQ172" si="116">AP166*$AQ$3</f>
        <v>8572.4306988721</v>
      </c>
      <c r="AR166" s="580">
        <f t="shared" ref="AR166:AR172" si="117">AQ166/$AR$3</f>
        <v>1.223234974154124</v>
      </c>
      <c r="AS166" s="582">
        <f t="shared" ref="AS166:AS172" si="118">AR166</f>
        <v>1.223234974154124</v>
      </c>
      <c r="AT166" s="165"/>
      <c r="AU166" s="166"/>
      <c r="AV166" s="167"/>
      <c r="AW166" s="146"/>
      <c r="AX166" s="168"/>
    </row>
    <row r="167" spans="1:50" ht="11.25" x14ac:dyDescent="0.25">
      <c r="A167" s="140">
        <v>2</v>
      </c>
      <c r="B167" s="63" t="s">
        <v>210</v>
      </c>
      <c r="C167" s="235"/>
      <c r="D167" s="236"/>
      <c r="E167" s="236"/>
      <c r="F167" s="236"/>
      <c r="G167" s="236"/>
      <c r="H167" s="236"/>
      <c r="I167" s="236"/>
      <c r="J167" s="236"/>
      <c r="K167" s="236"/>
      <c r="L167" s="236">
        <v>140376</v>
      </c>
      <c r="M167" s="236">
        <v>155965</v>
      </c>
      <c r="N167" s="236">
        <v>160866</v>
      </c>
      <c r="O167" s="237"/>
      <c r="P167" s="223">
        <f t="shared" si="108"/>
        <v>160866</v>
      </c>
      <c r="Q167" s="147">
        <f t="shared" si="109"/>
        <v>17695.259999999998</v>
      </c>
      <c r="R167" s="147">
        <f t="shared" si="110"/>
        <v>48.480164383561636</v>
      </c>
      <c r="S167" s="148">
        <f t="shared" si="111"/>
        <v>10617.155999999999</v>
      </c>
      <c r="T167" s="199"/>
      <c r="U167" s="150"/>
      <c r="V167" s="249"/>
      <c r="W167" s="249"/>
      <c r="X167" s="152"/>
      <c r="Y167" s="153"/>
      <c r="Z167" s="153"/>
      <c r="AA167" s="154"/>
      <c r="AB167" s="155">
        <f>S167*$AB$3</f>
        <v>6157.9504799999986</v>
      </c>
      <c r="AC167" s="156">
        <f>S167*$AC$3</f>
        <v>1380.23028</v>
      </c>
      <c r="AD167" s="156">
        <f>S167*$AD$3</f>
        <v>931.65543899999989</v>
      </c>
      <c r="AE167" s="156">
        <f>S167*$AE$3</f>
        <v>424.68624</v>
      </c>
      <c r="AF167" s="156">
        <f>S167*$AF$3</f>
        <v>212.34312</v>
      </c>
      <c r="AG167" s="156">
        <f>S167*$AG$3</f>
        <v>212.34312</v>
      </c>
      <c r="AH167" s="156">
        <f>S167*$AH$3</f>
        <v>106.17156</v>
      </c>
      <c r="AI167" s="156">
        <f>S167*$AI$3</f>
        <v>212.34312</v>
      </c>
      <c r="AJ167" s="156">
        <f>S167*$AJ$3</f>
        <v>212.34312</v>
      </c>
      <c r="AK167" s="156">
        <f>S167*$AK$3</f>
        <v>743.20092</v>
      </c>
      <c r="AL167" s="157">
        <f t="shared" si="112"/>
        <v>3267.4297589999996</v>
      </c>
      <c r="AM167" s="158">
        <f t="shared" si="113"/>
        <v>2200</v>
      </c>
      <c r="AN167" s="159">
        <v>0.2</v>
      </c>
      <c r="AO167" s="160">
        <f t="shared" si="114"/>
        <v>86816800.366219431</v>
      </c>
      <c r="AP167" s="161">
        <f t="shared" si="115"/>
        <v>24115.779808767627</v>
      </c>
      <c r="AQ167" s="162">
        <f t="shared" si="116"/>
        <v>4823.1559617535258</v>
      </c>
      <c r="AR167" s="580">
        <f t="shared" si="117"/>
        <v>0.68823572513606246</v>
      </c>
      <c r="AS167" s="582">
        <f t="shared" si="118"/>
        <v>0.68823572513606246</v>
      </c>
      <c r="AT167" s="165"/>
      <c r="AU167" s="166"/>
      <c r="AV167" s="167"/>
      <c r="AW167" s="146"/>
      <c r="AX167" s="168"/>
    </row>
    <row r="168" spans="1:50" ht="11.25" x14ac:dyDescent="0.25">
      <c r="A168" s="140">
        <v>3</v>
      </c>
      <c r="B168" s="63" t="s">
        <v>211</v>
      </c>
      <c r="C168" s="235"/>
      <c r="D168" s="236"/>
      <c r="E168" s="236"/>
      <c r="F168" s="236"/>
      <c r="G168" s="236"/>
      <c r="H168" s="236"/>
      <c r="I168" s="236"/>
      <c r="J168" s="236"/>
      <c r="K168" s="236"/>
      <c r="L168" s="236">
        <v>160006</v>
      </c>
      <c r="M168" s="236">
        <v>175150</v>
      </c>
      <c r="N168" s="236">
        <v>180654</v>
      </c>
      <c r="O168" s="237"/>
      <c r="P168" s="223">
        <f t="shared" si="108"/>
        <v>180654</v>
      </c>
      <c r="Q168" s="147">
        <f t="shared" si="109"/>
        <v>19871.939999999999</v>
      </c>
      <c r="R168" s="147">
        <f t="shared" si="110"/>
        <v>54.44367123287671</v>
      </c>
      <c r="S168" s="148">
        <f t="shared" si="111"/>
        <v>11923.163999999999</v>
      </c>
      <c r="T168" s="199"/>
      <c r="U168" s="150"/>
      <c r="V168" s="249"/>
      <c r="W168" s="249"/>
      <c r="X168" s="152"/>
      <c r="Y168" s="153"/>
      <c r="Z168" s="153"/>
      <c r="AA168" s="154"/>
      <c r="AB168" s="155">
        <f>S168*$AB$3</f>
        <v>6915.4351199999992</v>
      </c>
      <c r="AC168" s="156">
        <f>S168*$AC$3</f>
        <v>1550.0113199999998</v>
      </c>
      <c r="AD168" s="156">
        <f>S168*$AD$3</f>
        <v>1046.2576409999999</v>
      </c>
      <c r="AE168" s="156">
        <f>S168*$AE$3</f>
        <v>476.92655999999994</v>
      </c>
      <c r="AF168" s="156">
        <f>S168*$AF$3</f>
        <v>238.46327999999997</v>
      </c>
      <c r="AG168" s="156">
        <f>S168*$AG$3</f>
        <v>238.46327999999997</v>
      </c>
      <c r="AH168" s="156">
        <f>S168*$AH$3</f>
        <v>119.23163999999998</v>
      </c>
      <c r="AI168" s="156">
        <f>S168*$AI$3</f>
        <v>238.46327999999997</v>
      </c>
      <c r="AJ168" s="156">
        <f>S168*$AJ$3</f>
        <v>238.46327999999997</v>
      </c>
      <c r="AK168" s="156">
        <f>S168*$AK$3</f>
        <v>834.62148000000002</v>
      </c>
      <c r="AL168" s="157">
        <f t="shared" si="112"/>
        <v>3669.3537209999995</v>
      </c>
      <c r="AM168" s="158">
        <f t="shared" si="113"/>
        <v>2200</v>
      </c>
      <c r="AN168" s="159">
        <v>0.2</v>
      </c>
      <c r="AO168" s="160">
        <f t="shared" si="114"/>
        <v>97496066.622897342</v>
      </c>
      <c r="AP168" s="161">
        <f t="shared" si="115"/>
        <v>27082.242895161853</v>
      </c>
      <c r="AQ168" s="162">
        <f t="shared" si="116"/>
        <v>5416.4485790323706</v>
      </c>
      <c r="AR168" s="580">
        <f t="shared" si="117"/>
        <v>0.77289505979343187</v>
      </c>
      <c r="AS168" s="582">
        <f t="shared" si="118"/>
        <v>0.77289505979343187</v>
      </c>
      <c r="AT168" s="165"/>
      <c r="AU168" s="166"/>
      <c r="AV168" s="167"/>
      <c r="AW168" s="146"/>
      <c r="AX168" s="168"/>
    </row>
    <row r="169" spans="1:50" ht="11.25" x14ac:dyDescent="0.25">
      <c r="A169" s="140">
        <v>4</v>
      </c>
      <c r="B169" s="63" t="s">
        <v>212</v>
      </c>
      <c r="C169" s="235"/>
      <c r="D169" s="236"/>
      <c r="E169" s="236"/>
      <c r="F169" s="236"/>
      <c r="G169" s="236"/>
      <c r="H169" s="236"/>
      <c r="I169" s="236"/>
      <c r="J169" s="236"/>
      <c r="K169" s="236"/>
      <c r="L169" s="236">
        <v>148053</v>
      </c>
      <c r="M169" s="236">
        <v>161228</v>
      </c>
      <c r="N169" s="236">
        <v>166294</v>
      </c>
      <c r="O169" s="237"/>
      <c r="P169" s="223">
        <f t="shared" si="108"/>
        <v>166294</v>
      </c>
      <c r="Q169" s="147">
        <f t="shared" si="109"/>
        <v>18292.34</v>
      </c>
      <c r="R169" s="147">
        <f t="shared" si="110"/>
        <v>50.116</v>
      </c>
      <c r="S169" s="148">
        <f t="shared" si="111"/>
        <v>10975.404</v>
      </c>
      <c r="T169" s="199"/>
      <c r="U169" s="150"/>
      <c r="V169" s="249"/>
      <c r="W169" s="249"/>
      <c r="X169" s="152"/>
      <c r="Y169" s="153"/>
      <c r="Z169" s="153"/>
      <c r="AA169" s="154"/>
      <c r="AB169" s="155">
        <f>S169*$AB$3</f>
        <v>6365.7343199999996</v>
      </c>
      <c r="AC169" s="156">
        <f>S169*$AC$3</f>
        <v>1426.8025200000002</v>
      </c>
      <c r="AD169" s="156">
        <f>S169*$AD$3</f>
        <v>963.09170099999994</v>
      </c>
      <c r="AE169" s="156">
        <f>S169*$AE$3</f>
        <v>439.01616000000001</v>
      </c>
      <c r="AF169" s="156">
        <f>S169*$AF$3</f>
        <v>219.50808000000001</v>
      </c>
      <c r="AG169" s="156">
        <f>S169*$AG$3</f>
        <v>219.50808000000001</v>
      </c>
      <c r="AH169" s="156">
        <f>S169*$AH$3</f>
        <v>109.75404</v>
      </c>
      <c r="AI169" s="156">
        <f>S169*$AI$3</f>
        <v>219.50808000000001</v>
      </c>
      <c r="AJ169" s="156">
        <f>S169*$AJ$3</f>
        <v>219.50808000000001</v>
      </c>
      <c r="AK169" s="156">
        <f>S169*$AK$3</f>
        <v>768.27828000000011</v>
      </c>
      <c r="AL169" s="157">
        <f t="shared" si="112"/>
        <v>3377.6805810000001</v>
      </c>
      <c r="AM169" s="158">
        <f t="shared" si="113"/>
        <v>2200</v>
      </c>
      <c r="AN169" s="159">
        <v>0.2</v>
      </c>
      <c r="AO169" s="160">
        <f t="shared" si="114"/>
        <v>89746204.916514963</v>
      </c>
      <c r="AP169" s="161">
        <f t="shared" si="115"/>
        <v>24929.503360058708</v>
      </c>
      <c r="AQ169" s="162">
        <f t="shared" si="116"/>
        <v>4985.9006720117422</v>
      </c>
      <c r="AR169" s="580">
        <f t="shared" si="117"/>
        <v>0.7114584292254198</v>
      </c>
      <c r="AS169" s="582">
        <f t="shared" si="118"/>
        <v>0.7114584292254198</v>
      </c>
      <c r="AT169" s="165"/>
      <c r="AU169" s="166"/>
      <c r="AV169" s="167"/>
      <c r="AW169" s="146"/>
      <c r="AX169" s="168"/>
    </row>
    <row r="170" spans="1:50" ht="11.25" x14ac:dyDescent="0.25">
      <c r="A170" s="140">
        <v>5</v>
      </c>
      <c r="B170" s="63" t="s">
        <v>213</v>
      </c>
      <c r="C170" s="235"/>
      <c r="D170" s="236"/>
      <c r="E170" s="236"/>
      <c r="F170" s="236"/>
      <c r="G170" s="236"/>
      <c r="H170" s="236"/>
      <c r="I170" s="236"/>
      <c r="J170" s="236"/>
      <c r="K170" s="236"/>
      <c r="L170" s="236">
        <v>163200</v>
      </c>
      <c r="M170" s="236">
        <v>172528</v>
      </c>
      <c r="N170" s="236">
        <v>177949</v>
      </c>
      <c r="O170" s="237"/>
      <c r="P170" s="223">
        <f t="shared" si="108"/>
        <v>177949</v>
      </c>
      <c r="Q170" s="147">
        <f t="shared" si="109"/>
        <v>19574.39</v>
      </c>
      <c r="R170" s="147">
        <f t="shared" si="110"/>
        <v>53.628465753424656</v>
      </c>
      <c r="S170" s="148">
        <f t="shared" si="111"/>
        <v>11744.634</v>
      </c>
      <c r="T170" s="199"/>
      <c r="U170" s="150"/>
      <c r="V170" s="249"/>
      <c r="W170" s="249"/>
      <c r="X170" s="152"/>
      <c r="Y170" s="153"/>
      <c r="Z170" s="153"/>
      <c r="AA170" s="154"/>
      <c r="AB170" s="155">
        <f>S170*$AB$3</f>
        <v>6811.8877199999997</v>
      </c>
      <c r="AC170" s="156">
        <f>S170*$AC$3</f>
        <v>1526.80242</v>
      </c>
      <c r="AD170" s="156">
        <f>S170*$AD$3</f>
        <v>1030.5916334999999</v>
      </c>
      <c r="AE170" s="156">
        <f>S170*$AE$3</f>
        <v>469.78536000000003</v>
      </c>
      <c r="AF170" s="156">
        <f>S170*$AF$3</f>
        <v>234.89268000000001</v>
      </c>
      <c r="AG170" s="156">
        <f>S170*$AG$3</f>
        <v>234.89268000000001</v>
      </c>
      <c r="AH170" s="156">
        <f>S170*$AH$3</f>
        <v>117.44634000000001</v>
      </c>
      <c r="AI170" s="156">
        <f>S170*$AI$3</f>
        <v>234.89268000000001</v>
      </c>
      <c r="AJ170" s="156">
        <f>S170*$AJ$3</f>
        <v>234.89268000000001</v>
      </c>
      <c r="AK170" s="156">
        <f>S170*$AK$3</f>
        <v>822.12438000000009</v>
      </c>
      <c r="AL170" s="157">
        <f t="shared" si="112"/>
        <v>3614.4111134999998</v>
      </c>
      <c r="AM170" s="158">
        <f t="shared" si="113"/>
        <v>2200</v>
      </c>
      <c r="AN170" s="159">
        <v>0.2</v>
      </c>
      <c r="AO170" s="160">
        <f t="shared" si="114"/>
        <v>96036221.503415152</v>
      </c>
      <c r="AP170" s="161">
        <f t="shared" si="115"/>
        <v>26676.730329531354</v>
      </c>
      <c r="AQ170" s="162">
        <f t="shared" si="116"/>
        <v>5335.3460659062712</v>
      </c>
      <c r="AR170" s="580">
        <f t="shared" si="117"/>
        <v>0.7613222126007807</v>
      </c>
      <c r="AS170" s="582">
        <f t="shared" si="118"/>
        <v>0.7613222126007807</v>
      </c>
      <c r="AT170" s="165"/>
      <c r="AU170" s="166"/>
      <c r="AV170" s="167"/>
      <c r="AW170" s="146"/>
      <c r="AX170" s="168"/>
    </row>
    <row r="171" spans="1:50" ht="11.25" x14ac:dyDescent="0.25">
      <c r="A171" s="140">
        <v>6</v>
      </c>
      <c r="B171" s="63" t="s">
        <v>214</v>
      </c>
      <c r="C171" s="235"/>
      <c r="D171" s="236"/>
      <c r="E171" s="236"/>
      <c r="F171" s="236"/>
      <c r="G171" s="236"/>
      <c r="H171" s="236"/>
      <c r="I171" s="236"/>
      <c r="J171" s="236"/>
      <c r="K171" s="236"/>
      <c r="L171" s="236">
        <v>92315</v>
      </c>
      <c r="M171" s="236">
        <v>106463</v>
      </c>
      <c r="N171" s="236">
        <v>109809</v>
      </c>
      <c r="O171" s="237"/>
      <c r="P171" s="223">
        <f t="shared" si="108"/>
        <v>109809</v>
      </c>
      <c r="Q171" s="147">
        <f t="shared" si="109"/>
        <v>12078.99</v>
      </c>
      <c r="R171" s="147">
        <f t="shared" si="110"/>
        <v>33.093123287671233</v>
      </c>
      <c r="S171" s="148">
        <f t="shared" si="111"/>
        <v>7247.3939999999993</v>
      </c>
      <c r="T171" s="199"/>
      <c r="U171" s="150"/>
      <c r="V171" s="249"/>
      <c r="W171" s="249"/>
      <c r="X171" s="152"/>
      <c r="Y171" s="153"/>
      <c r="Z171" s="153"/>
      <c r="AA171" s="154"/>
      <c r="AB171" s="155">
        <f>S171*$AB$3</f>
        <v>4203.488519999999</v>
      </c>
      <c r="AC171" s="156">
        <f>S171*$AC$3</f>
        <v>942.16121999999996</v>
      </c>
      <c r="AD171" s="156">
        <f>S171*$AD$3</f>
        <v>635.95882349999988</v>
      </c>
      <c r="AE171" s="156">
        <f>S171*$AE$3</f>
        <v>289.89576</v>
      </c>
      <c r="AF171" s="156">
        <f>S171*$AF$3</f>
        <v>144.94788</v>
      </c>
      <c r="AG171" s="156">
        <f>S171*$AG$3</f>
        <v>144.94788</v>
      </c>
      <c r="AH171" s="156">
        <f>S171*$AH$3</f>
        <v>72.473939999999999</v>
      </c>
      <c r="AI171" s="156">
        <f>S171*$AI$3</f>
        <v>144.94788</v>
      </c>
      <c r="AJ171" s="156">
        <f>S171*$AJ$3</f>
        <v>144.94788</v>
      </c>
      <c r="AK171" s="156">
        <f>S171*$AK$3</f>
        <v>507.31758000000002</v>
      </c>
      <c r="AL171" s="157">
        <f t="shared" si="112"/>
        <v>2230.3855034999997</v>
      </c>
      <c r="AM171" s="158">
        <f t="shared" si="113"/>
        <v>2200</v>
      </c>
      <c r="AN171" s="159">
        <v>0.2</v>
      </c>
      <c r="AO171" s="160">
        <f t="shared" si="114"/>
        <v>59262156.275497541</v>
      </c>
      <c r="AP171" s="161">
        <f t="shared" si="115"/>
        <v>16461.711393463902</v>
      </c>
      <c r="AQ171" s="162">
        <f t="shared" si="116"/>
        <v>3292.3422786927804</v>
      </c>
      <c r="AR171" s="580">
        <f t="shared" si="117"/>
        <v>0.46979769958515699</v>
      </c>
      <c r="AS171" s="582">
        <f t="shared" si="118"/>
        <v>0.46979769958515699</v>
      </c>
      <c r="AT171" s="165"/>
      <c r="AU171" s="166"/>
      <c r="AV171" s="167"/>
      <c r="AW171" s="146"/>
      <c r="AX171" s="168"/>
    </row>
    <row r="172" spans="1:50" ht="11.25" x14ac:dyDescent="0.25">
      <c r="A172" s="140">
        <v>7</v>
      </c>
      <c r="B172" s="63" t="s">
        <v>215</v>
      </c>
      <c r="C172" s="235"/>
      <c r="D172" s="236"/>
      <c r="E172" s="236"/>
      <c r="F172" s="236"/>
      <c r="G172" s="236"/>
      <c r="H172" s="236"/>
      <c r="I172" s="236"/>
      <c r="J172" s="236"/>
      <c r="K172" s="236"/>
      <c r="L172" s="236">
        <v>158664</v>
      </c>
      <c r="M172" s="236">
        <v>174758</v>
      </c>
      <c r="N172" s="236">
        <v>180250</v>
      </c>
      <c r="O172" s="237"/>
      <c r="P172" s="223">
        <f t="shared" si="108"/>
        <v>180250</v>
      </c>
      <c r="Q172" s="147">
        <f t="shared" si="109"/>
        <v>19827.5</v>
      </c>
      <c r="R172" s="147">
        <f t="shared" si="110"/>
        <v>54.321917808219176</v>
      </c>
      <c r="S172" s="148">
        <f t="shared" si="111"/>
        <v>11896.5</v>
      </c>
      <c r="T172" s="199"/>
      <c r="U172" s="150"/>
      <c r="V172" s="249"/>
      <c r="W172" s="249"/>
      <c r="X172" s="152"/>
      <c r="Y172" s="153"/>
      <c r="Z172" s="153"/>
      <c r="AA172" s="154"/>
      <c r="AB172" s="155">
        <f>S172*$AB$3</f>
        <v>6899.9699999999993</v>
      </c>
      <c r="AC172" s="156">
        <f>S172*$AC$3</f>
        <v>1546.5450000000001</v>
      </c>
      <c r="AD172" s="156">
        <f>S172*$AD$3</f>
        <v>1043.9178749999999</v>
      </c>
      <c r="AE172" s="156">
        <f>S172*$AE$3</f>
        <v>475.86</v>
      </c>
      <c r="AF172" s="156">
        <f>S172*$AF$3</f>
        <v>237.93</v>
      </c>
      <c r="AG172" s="156">
        <f>S172*$AG$3</f>
        <v>237.93</v>
      </c>
      <c r="AH172" s="156">
        <f>S172*$AH$3</f>
        <v>118.965</v>
      </c>
      <c r="AI172" s="156">
        <f>S172*$AI$3</f>
        <v>237.93</v>
      </c>
      <c r="AJ172" s="156">
        <f>S172*$AJ$3</f>
        <v>237.93</v>
      </c>
      <c r="AK172" s="156">
        <f>S172*$AK$3</f>
        <v>832.75500000000011</v>
      </c>
      <c r="AL172" s="157">
        <f t="shared" si="112"/>
        <v>3661.1478750000001</v>
      </c>
      <c r="AM172" s="158">
        <f t="shared" si="113"/>
        <v>2200</v>
      </c>
      <c r="AN172" s="159">
        <v>0.2</v>
      </c>
      <c r="AO172" s="160">
        <f t="shared" si="114"/>
        <v>97278034.301909998</v>
      </c>
      <c r="AP172" s="161">
        <f t="shared" si="115"/>
        <v>27021.678356709093</v>
      </c>
      <c r="AQ172" s="162">
        <f t="shared" si="116"/>
        <v>5404.3356713418189</v>
      </c>
      <c r="AR172" s="580">
        <f t="shared" si="117"/>
        <v>0.77116661976909517</v>
      </c>
      <c r="AS172" s="582">
        <f t="shared" si="118"/>
        <v>0.77116661976909517</v>
      </c>
      <c r="AT172" s="165"/>
      <c r="AU172" s="166"/>
      <c r="AV172" s="167"/>
      <c r="AW172" s="167"/>
      <c r="AX172" s="168"/>
    </row>
    <row r="173" spans="1:50" s="263" customFormat="1" ht="11.25" x14ac:dyDescent="0.25">
      <c r="A173" s="225"/>
      <c r="B173" s="258" t="s">
        <v>216</v>
      </c>
      <c r="C173" s="240">
        <f>SUM(C166:C172)</f>
        <v>0</v>
      </c>
      <c r="D173" s="240">
        <f t="shared" ref="D173:AL173" si="119">SUM(D166:D172)</f>
        <v>0</v>
      </c>
      <c r="E173" s="240">
        <f t="shared" si="119"/>
        <v>0</v>
      </c>
      <c r="F173" s="240">
        <f t="shared" si="119"/>
        <v>0</v>
      </c>
      <c r="G173" s="240">
        <f t="shared" si="119"/>
        <v>0</v>
      </c>
      <c r="H173" s="240">
        <f t="shared" si="119"/>
        <v>0</v>
      </c>
      <c r="I173" s="240">
        <f t="shared" si="119"/>
        <v>0</v>
      </c>
      <c r="J173" s="240">
        <f t="shared" si="119"/>
        <v>0</v>
      </c>
      <c r="K173" s="240">
        <f t="shared" si="119"/>
        <v>0</v>
      </c>
      <c r="L173" s="240">
        <f t="shared" si="119"/>
        <v>1138129</v>
      </c>
      <c r="M173" s="240">
        <f t="shared" si="119"/>
        <v>1223296</v>
      </c>
      <c r="N173" s="240">
        <f t="shared" si="119"/>
        <v>1261737</v>
      </c>
      <c r="O173" s="240">
        <f t="shared" si="119"/>
        <v>0</v>
      </c>
      <c r="P173" s="240">
        <f t="shared" si="119"/>
        <v>1261737</v>
      </c>
      <c r="Q173" s="240">
        <f t="shared" si="119"/>
        <v>138791.07</v>
      </c>
      <c r="R173" s="240">
        <f t="shared" si="119"/>
        <v>380.24950684931508</v>
      </c>
      <c r="S173" s="240">
        <f t="shared" si="119"/>
        <v>83274.641999999993</v>
      </c>
      <c r="T173" s="199">
        <f t="shared" si="119"/>
        <v>0</v>
      </c>
      <c r="U173" s="241"/>
      <c r="V173" s="242">
        <f t="shared" si="119"/>
        <v>0</v>
      </c>
      <c r="W173" s="242">
        <f>SUM(W166:W172)</f>
        <v>0</v>
      </c>
      <c r="X173" s="242">
        <f>SUM(X166:X172)</f>
        <v>0</v>
      </c>
      <c r="Y173" s="199"/>
      <c r="Z173" s="199"/>
      <c r="AA173" s="243"/>
      <c r="AB173" s="240">
        <f>SUM(AB166:AB172)</f>
        <v>48299.292359999999</v>
      </c>
      <c r="AC173" s="244">
        <f>SUM(AC166:AC172)</f>
        <v>10825.703460000001</v>
      </c>
      <c r="AD173" s="244">
        <f>SUM(AD166:AD172)</f>
        <v>7307.3498355000002</v>
      </c>
      <c r="AE173" s="244">
        <f>SUM(AE166:AE172)</f>
        <v>3330.9856799999998</v>
      </c>
      <c r="AF173" s="244">
        <f>SUM(AF166:AF172)</f>
        <v>1665.4928399999999</v>
      </c>
      <c r="AG173" s="244">
        <f t="shared" si="119"/>
        <v>1665.4928399999999</v>
      </c>
      <c r="AH173" s="244">
        <f>SUM(AH166:AH172)</f>
        <v>832.74641999999994</v>
      </c>
      <c r="AI173" s="244">
        <f t="shared" si="119"/>
        <v>1665.4928399999999</v>
      </c>
      <c r="AJ173" s="244">
        <f t="shared" si="119"/>
        <v>1665.4928399999999</v>
      </c>
      <c r="AK173" s="244">
        <f t="shared" si="119"/>
        <v>5829.2249400000001</v>
      </c>
      <c r="AL173" s="245">
        <f t="shared" si="119"/>
        <v>25627.771075499997</v>
      </c>
      <c r="AM173" s="158"/>
      <c r="AN173" s="183"/>
      <c r="AO173" s="160">
        <f>SUM(AO166:AO172)</f>
        <v>680939224.22185302</v>
      </c>
      <c r="AP173" s="160">
        <f t="shared" ref="AP173:AW173" si="120">SUM(AP166:AP172)</f>
        <v>189149.79963805302</v>
      </c>
      <c r="AQ173" s="160">
        <f t="shared" si="120"/>
        <v>37829.959927610616</v>
      </c>
      <c r="AR173" s="186">
        <f t="shared" si="120"/>
        <v>5.3981107202640697</v>
      </c>
      <c r="AS173" s="435">
        <f t="shared" si="120"/>
        <v>5.3981107202640697</v>
      </c>
      <c r="AT173" s="187"/>
      <c r="AU173" s="246">
        <f t="shared" si="120"/>
        <v>0</v>
      </c>
      <c r="AV173" s="246"/>
      <c r="AW173" s="185">
        <f t="shared" si="120"/>
        <v>0</v>
      </c>
      <c r="AX173" s="189"/>
    </row>
    <row r="174" spans="1:50" s="139" customFormat="1" ht="11.25" x14ac:dyDescent="0.25">
      <c r="A174" s="247"/>
      <c r="B174" s="152"/>
      <c r="C174" s="265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248"/>
      <c r="P174" s="249"/>
      <c r="Q174" s="250"/>
      <c r="R174" s="250"/>
      <c r="S174" s="251"/>
      <c r="T174" s="199"/>
      <c r="U174" s="179"/>
      <c r="V174" s="249"/>
      <c r="W174" s="249"/>
      <c r="X174" s="152"/>
      <c r="Y174" s="153"/>
      <c r="Z174" s="153"/>
      <c r="AA174" s="154"/>
      <c r="AB174" s="247"/>
      <c r="AC174" s="252"/>
      <c r="AD174" s="252"/>
      <c r="AE174" s="252"/>
      <c r="AF174" s="252"/>
      <c r="AG174" s="252"/>
      <c r="AH174" s="252"/>
      <c r="AI174" s="252"/>
      <c r="AJ174" s="252"/>
      <c r="AK174" s="252"/>
      <c r="AL174" s="214"/>
      <c r="AM174" s="203"/>
      <c r="AN174" s="204"/>
      <c r="AO174" s="203"/>
      <c r="AP174" s="205"/>
      <c r="AQ174" s="206"/>
      <c r="AR174" s="253"/>
      <c r="AS174" s="254"/>
      <c r="AT174" s="255"/>
      <c r="AU174" s="256"/>
      <c r="AV174" s="257"/>
      <c r="AW174" s="214"/>
      <c r="AX174" s="212"/>
    </row>
    <row r="175" spans="1:50" s="139" customFormat="1" ht="11.25" x14ac:dyDescent="0.25">
      <c r="A175" s="120"/>
      <c r="B175" s="258" t="s">
        <v>217</v>
      </c>
      <c r="C175" s="122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213"/>
      <c r="P175" s="76"/>
      <c r="Q175" s="108"/>
      <c r="R175" s="108"/>
      <c r="S175" s="94"/>
      <c r="T175" s="199"/>
      <c r="U175" s="179"/>
      <c r="V175" s="180"/>
      <c r="W175" s="180"/>
      <c r="X175" s="214"/>
      <c r="Y175" s="181"/>
      <c r="Z175" s="181"/>
      <c r="AA175" s="182"/>
      <c r="AB175" s="62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125"/>
      <c r="AM175" s="75"/>
      <c r="AN175" s="216"/>
      <c r="AO175" s="75"/>
      <c r="AP175" s="51"/>
      <c r="AQ175" s="259"/>
      <c r="AR175" s="583"/>
      <c r="AS175" s="584"/>
      <c r="AT175" s="220"/>
      <c r="AU175" s="135"/>
      <c r="AV175" s="136"/>
      <c r="AW175" s="137"/>
      <c r="AX175" s="138"/>
    </row>
    <row r="176" spans="1:50" ht="11.25" x14ac:dyDescent="0.25">
      <c r="A176" s="140">
        <v>1</v>
      </c>
      <c r="B176" s="63" t="s">
        <v>218</v>
      </c>
      <c r="C176" s="235"/>
      <c r="D176" s="236">
        <v>371891</v>
      </c>
      <c r="E176" s="236">
        <v>377298</v>
      </c>
      <c r="F176" s="236">
        <v>382706</v>
      </c>
      <c r="G176" s="236">
        <v>388113</v>
      </c>
      <c r="H176" s="236">
        <v>395288</v>
      </c>
      <c r="I176" s="236">
        <v>400090</v>
      </c>
      <c r="J176" s="236">
        <v>404908</v>
      </c>
      <c r="K176" s="236">
        <v>409740</v>
      </c>
      <c r="L176" s="236">
        <v>414585</v>
      </c>
      <c r="M176" s="236">
        <v>419037</v>
      </c>
      <c r="N176" s="236">
        <v>423586</v>
      </c>
      <c r="O176" s="237"/>
      <c r="P176" s="223">
        <f t="shared" ref="P176:P188" si="121">MAX(C176:O176)</f>
        <v>423586</v>
      </c>
      <c r="Q176" s="147">
        <f>P176*$Q$8</f>
        <v>46594.46</v>
      </c>
      <c r="R176" s="147">
        <f t="shared" ref="R176:R189" si="122">Q176/$R$3</f>
        <v>127.65605479452054</v>
      </c>
      <c r="S176" s="148">
        <f>R176*$S$3*$S$8</f>
        <v>27956.675999999999</v>
      </c>
      <c r="T176" s="199"/>
      <c r="U176" s="150"/>
      <c r="V176" s="249"/>
      <c r="W176" s="249"/>
      <c r="X176" s="152"/>
      <c r="Y176" s="153"/>
      <c r="Z176" s="153"/>
      <c r="AA176" s="154"/>
      <c r="AB176" s="155">
        <f>S176*$AB$3</f>
        <v>16214.872079999999</v>
      </c>
      <c r="AC176" s="156">
        <f>S176*$AC$3</f>
        <v>3634.3678800000002</v>
      </c>
      <c r="AD176" s="156">
        <f>S176*$AD$3</f>
        <v>2453.1983189999996</v>
      </c>
      <c r="AE176" s="156">
        <f>S176*$AE$3</f>
        <v>1118.26704</v>
      </c>
      <c r="AF176" s="156">
        <f>S176*$AF$3</f>
        <v>559.13351999999998</v>
      </c>
      <c r="AG176" s="156">
        <f>S176*$AG$3</f>
        <v>559.13351999999998</v>
      </c>
      <c r="AH176" s="156">
        <f>S176*$AH$3</f>
        <v>279.56675999999999</v>
      </c>
      <c r="AI176" s="156">
        <f>S176*$AI$3</f>
        <v>559.13351999999998</v>
      </c>
      <c r="AJ176" s="156">
        <f>S176*$AJ$3</f>
        <v>559.13351999999998</v>
      </c>
      <c r="AK176" s="156">
        <f>S176*$AK$3</f>
        <v>1956.9673200000002</v>
      </c>
      <c r="AL176" s="157">
        <f t="shared" ref="AL176:AL189" si="123">SUM(AC176:AH176)</f>
        <v>8603.6670389999999</v>
      </c>
      <c r="AM176" s="158">
        <f t="shared" ref="AM176:AM189" si="124">$AM$3</f>
        <v>2200</v>
      </c>
      <c r="AN176" s="159">
        <v>0.2</v>
      </c>
      <c r="AO176" s="160">
        <f t="shared" ref="AO176:AO189" si="125">(AB176+AL176)*AM176*$AO$3</f>
        <v>228602571.08354425</v>
      </c>
      <c r="AP176" s="161">
        <f t="shared" ref="AP176:AP189" si="126">AO176*$AP$3</f>
        <v>63500.719269930538</v>
      </c>
      <c r="AQ176" s="162">
        <f t="shared" ref="AQ176:AQ189" si="127">AP176*$AQ$3</f>
        <v>12700.143853986108</v>
      </c>
      <c r="AR176" s="580">
        <f t="shared" ref="AR176:AR189" si="128">AQ176/$AR$3</f>
        <v>1.8122351389820359</v>
      </c>
      <c r="AS176" s="582">
        <f t="shared" ref="AS176:AS189" si="129">AR176</f>
        <v>1.8122351389820359</v>
      </c>
      <c r="AT176" s="165"/>
      <c r="AU176" s="166"/>
      <c r="AV176" s="167"/>
      <c r="AW176" s="146"/>
      <c r="AX176" s="168"/>
    </row>
    <row r="177" spans="1:50" ht="11.25" x14ac:dyDescent="0.25">
      <c r="A177" s="140">
        <v>2</v>
      </c>
      <c r="B177" s="258" t="s">
        <v>219</v>
      </c>
      <c r="C177" s="235"/>
      <c r="D177" s="236">
        <v>800561</v>
      </c>
      <c r="E177" s="236">
        <v>800910</v>
      </c>
      <c r="F177" s="236">
        <v>801260</v>
      </c>
      <c r="G177" s="236">
        <v>801609</v>
      </c>
      <c r="H177" s="236">
        <v>857052</v>
      </c>
      <c r="I177" s="236">
        <v>866154</v>
      </c>
      <c r="J177" s="236">
        <v>875276</v>
      </c>
      <c r="K177" s="236">
        <v>884419</v>
      </c>
      <c r="L177" s="236">
        <v>529893</v>
      </c>
      <c r="M177" s="236">
        <v>536613</v>
      </c>
      <c r="N177" s="236">
        <v>542439</v>
      </c>
      <c r="O177" s="237"/>
      <c r="P177" s="223">
        <f t="shared" si="121"/>
        <v>884419</v>
      </c>
      <c r="Q177" s="147">
        <f>P177*$Q$7</f>
        <v>129125.174</v>
      </c>
      <c r="R177" s="147">
        <f t="shared" si="122"/>
        <v>353.76760000000002</v>
      </c>
      <c r="S177" s="148">
        <f>R177*$S$3*$S$7</f>
        <v>90387.621799999994</v>
      </c>
      <c r="T177" s="199"/>
      <c r="U177" s="150"/>
      <c r="V177" s="249"/>
      <c r="W177" s="249"/>
      <c r="X177" s="152"/>
      <c r="Y177" s="153"/>
      <c r="Z177" s="153"/>
      <c r="AA177" s="154"/>
      <c r="AB177" s="155">
        <f>S177*$AB$3</f>
        <v>52424.820643999992</v>
      </c>
      <c r="AC177" s="156">
        <f>S177*$AC$3</f>
        <v>11750.390834</v>
      </c>
      <c r="AD177" s="156">
        <f>S177*$AD$3</f>
        <v>7931.5138129499992</v>
      </c>
      <c r="AE177" s="156">
        <f>S177*$AE$3</f>
        <v>3615.504872</v>
      </c>
      <c r="AF177" s="156">
        <f>S177*$AF$3</f>
        <v>1807.752436</v>
      </c>
      <c r="AG177" s="156">
        <f>S177*$AG$3</f>
        <v>1807.752436</v>
      </c>
      <c r="AH177" s="156">
        <f>S177*$AH$3</f>
        <v>903.87621799999999</v>
      </c>
      <c r="AI177" s="156">
        <f>S177*$AI$3</f>
        <v>1807.752436</v>
      </c>
      <c r="AJ177" s="156">
        <f>S177*$AJ$3</f>
        <v>1807.752436</v>
      </c>
      <c r="AK177" s="156">
        <f>S177*$AK$3</f>
        <v>6327.1335260000005</v>
      </c>
      <c r="AL177" s="157">
        <f t="shared" si="123"/>
        <v>27816.790608949999</v>
      </c>
      <c r="AM177" s="158">
        <f t="shared" si="124"/>
        <v>2200</v>
      </c>
      <c r="AN177" s="159">
        <v>0.2</v>
      </c>
      <c r="AO177" s="160">
        <f t="shared" si="125"/>
        <v>739102271.58647227</v>
      </c>
      <c r="AP177" s="161">
        <f t="shared" si="126"/>
        <v>205306.20297629279</v>
      </c>
      <c r="AQ177" s="162">
        <f t="shared" si="127"/>
        <v>41061.240595258561</v>
      </c>
      <c r="AR177" s="580">
        <f t="shared" si="128"/>
        <v>5.859195290419315</v>
      </c>
      <c r="AS177" s="435">
        <f t="shared" si="129"/>
        <v>5.859195290419315</v>
      </c>
      <c r="AT177" s="187"/>
      <c r="AU177" s="166"/>
      <c r="AV177" s="167"/>
      <c r="AW177" s="146"/>
      <c r="AX177" s="168"/>
    </row>
    <row r="178" spans="1:50" ht="11.25" x14ac:dyDescent="0.25">
      <c r="A178" s="140">
        <v>3</v>
      </c>
      <c r="B178" s="258" t="s">
        <v>220</v>
      </c>
      <c r="C178" s="235"/>
      <c r="D178" s="236">
        <v>1147914</v>
      </c>
      <c r="E178" s="236">
        <v>1162708</v>
      </c>
      <c r="F178" s="236">
        <v>1177505</v>
      </c>
      <c r="G178" s="236">
        <v>1192296</v>
      </c>
      <c r="H178" s="236">
        <v>1229448</v>
      </c>
      <c r="I178" s="236">
        <v>1245937</v>
      </c>
      <c r="J178" s="236">
        <v>878182</v>
      </c>
      <c r="K178" s="236">
        <v>889888</v>
      </c>
      <c r="L178" s="236">
        <v>901655</v>
      </c>
      <c r="M178" s="236">
        <v>912490</v>
      </c>
      <c r="N178" s="236">
        <v>922397</v>
      </c>
      <c r="O178" s="237"/>
      <c r="P178" s="223">
        <f t="shared" si="121"/>
        <v>1245937</v>
      </c>
      <c r="Q178" s="147">
        <f>P178*$Q$6</f>
        <v>204333.66800000001</v>
      </c>
      <c r="R178" s="147">
        <f t="shared" si="122"/>
        <v>559.81826849315075</v>
      </c>
      <c r="S178" s="148">
        <f>R178*$S$3*$S$6</f>
        <v>163466.93440000003</v>
      </c>
      <c r="T178" s="199"/>
      <c r="U178" s="150"/>
      <c r="V178" s="249"/>
      <c r="W178" s="249"/>
      <c r="X178" s="152"/>
      <c r="Y178" s="153"/>
      <c r="Z178" s="153"/>
      <c r="AA178" s="154"/>
      <c r="AB178" s="155">
        <f>S178*$AB$3</f>
        <v>94810.821952000013</v>
      </c>
      <c r="AC178" s="156">
        <f>S178*$AC$3</f>
        <v>21250.701472000004</v>
      </c>
      <c r="AD178" s="156">
        <f>S178*$AD$3</f>
        <v>14344.223493600002</v>
      </c>
      <c r="AE178" s="156">
        <f>S178*$AE$3</f>
        <v>6538.6773760000015</v>
      </c>
      <c r="AF178" s="156">
        <f>S178*$AF$3</f>
        <v>3269.3386880000007</v>
      </c>
      <c r="AG178" s="156">
        <f>S178*$AG$3</f>
        <v>3269.3386880000007</v>
      </c>
      <c r="AH178" s="156">
        <f>S178*$AH$3</f>
        <v>1634.6693440000004</v>
      </c>
      <c r="AI178" s="156">
        <f>S178*$AI$3</f>
        <v>3269.3386880000007</v>
      </c>
      <c r="AJ178" s="156">
        <f>S178*$AJ$3</f>
        <v>3269.3386880000007</v>
      </c>
      <c r="AK178" s="156">
        <f>S178*$AK$3</f>
        <v>11442.685408000003</v>
      </c>
      <c r="AL178" s="157">
        <f t="shared" si="123"/>
        <v>50306.949061600011</v>
      </c>
      <c r="AM178" s="158">
        <f t="shared" si="124"/>
        <v>2200</v>
      </c>
      <c r="AN178" s="159">
        <v>0.2</v>
      </c>
      <c r="AO178" s="160">
        <f t="shared" si="125"/>
        <v>1336673984.0954292</v>
      </c>
      <c r="AP178" s="161">
        <f t="shared" si="126"/>
        <v>371298.35861926328</v>
      </c>
      <c r="AQ178" s="162">
        <f t="shared" si="127"/>
        <v>74259.671723852662</v>
      </c>
      <c r="AR178" s="580">
        <f t="shared" si="128"/>
        <v>10.596414344157058</v>
      </c>
      <c r="AS178" s="435">
        <f t="shared" si="129"/>
        <v>10.596414344157058</v>
      </c>
      <c r="AT178" s="187"/>
      <c r="AU178" s="166"/>
      <c r="AV178" s="167"/>
      <c r="AW178" s="146"/>
      <c r="AX178" s="168"/>
    </row>
    <row r="179" spans="1:50" ht="11.25" x14ac:dyDescent="0.25">
      <c r="A179" s="140">
        <v>4</v>
      </c>
      <c r="B179" s="258" t="s">
        <v>221</v>
      </c>
      <c r="C179" s="235"/>
      <c r="D179" s="236">
        <v>874645</v>
      </c>
      <c r="E179" s="236">
        <v>879863</v>
      </c>
      <c r="F179" s="236">
        <v>885080</v>
      </c>
      <c r="G179" s="236">
        <v>890298</v>
      </c>
      <c r="H179" s="236">
        <v>917514</v>
      </c>
      <c r="I179" s="236">
        <v>924546</v>
      </c>
      <c r="J179" s="236">
        <v>931534</v>
      </c>
      <c r="K179" s="236">
        <v>938476</v>
      </c>
      <c r="L179" s="236">
        <v>945367</v>
      </c>
      <c r="M179" s="236">
        <v>951639</v>
      </c>
      <c r="N179" s="236">
        <v>961971</v>
      </c>
      <c r="O179" s="237"/>
      <c r="P179" s="223">
        <f t="shared" si="121"/>
        <v>961971</v>
      </c>
      <c r="Q179" s="147">
        <f>P179*$Q$7</f>
        <v>140447.766</v>
      </c>
      <c r="R179" s="147">
        <f t="shared" si="122"/>
        <v>384.78840000000002</v>
      </c>
      <c r="S179" s="148">
        <f>R179*$S$3*$S$7</f>
        <v>98313.436199999996</v>
      </c>
      <c r="T179" s="199"/>
      <c r="U179" s="150"/>
      <c r="V179" s="249"/>
      <c r="W179" s="249"/>
      <c r="X179" s="152"/>
      <c r="Y179" s="153"/>
      <c r="Z179" s="153"/>
      <c r="AA179" s="154"/>
      <c r="AB179" s="155">
        <f>S179*$AB$3</f>
        <v>57021.792995999996</v>
      </c>
      <c r="AC179" s="156">
        <f>S179*$AC$3</f>
        <v>12780.746706</v>
      </c>
      <c r="AD179" s="156">
        <f>S179*$AD$3</f>
        <v>8627.0040265499993</v>
      </c>
      <c r="AE179" s="156">
        <f>S179*$AE$3</f>
        <v>3932.537448</v>
      </c>
      <c r="AF179" s="156">
        <f>S179*$AF$3</f>
        <v>1966.268724</v>
      </c>
      <c r="AG179" s="156">
        <f>S179*$AG$3</f>
        <v>1966.268724</v>
      </c>
      <c r="AH179" s="156">
        <f>S179*$AH$3</f>
        <v>983.13436200000001</v>
      </c>
      <c r="AI179" s="156">
        <f>S179*$AI$3</f>
        <v>1966.268724</v>
      </c>
      <c r="AJ179" s="156">
        <f>S179*$AJ$3</f>
        <v>1966.268724</v>
      </c>
      <c r="AK179" s="156">
        <f>S179*$AK$3</f>
        <v>6881.9405340000003</v>
      </c>
      <c r="AL179" s="157">
        <f t="shared" si="123"/>
        <v>30255.95999055</v>
      </c>
      <c r="AM179" s="158">
        <f t="shared" si="124"/>
        <v>2200</v>
      </c>
      <c r="AN179" s="159">
        <v>0.2</v>
      </c>
      <c r="AO179" s="160">
        <f t="shared" si="125"/>
        <v>803911891.64899254</v>
      </c>
      <c r="AP179" s="161">
        <f t="shared" si="126"/>
        <v>223308.87665609553</v>
      </c>
      <c r="AQ179" s="162">
        <f t="shared" si="127"/>
        <v>44661.775331219105</v>
      </c>
      <c r="AR179" s="580">
        <f t="shared" si="128"/>
        <v>6.3729702242036392</v>
      </c>
      <c r="AS179" s="435">
        <f t="shared" si="129"/>
        <v>6.3729702242036392</v>
      </c>
      <c r="AT179" s="187"/>
      <c r="AU179" s="166"/>
      <c r="AV179" s="167"/>
      <c r="AW179" s="146"/>
      <c r="AX179" s="168"/>
    </row>
    <row r="180" spans="1:50" ht="11.25" x14ac:dyDescent="0.25">
      <c r="A180" s="140">
        <v>5</v>
      </c>
      <c r="B180" s="258" t="s">
        <v>222</v>
      </c>
      <c r="C180" s="235"/>
      <c r="D180" s="236">
        <v>1055249</v>
      </c>
      <c r="E180" s="236">
        <v>1064330</v>
      </c>
      <c r="F180" s="236">
        <v>1073412</v>
      </c>
      <c r="G180" s="236">
        <v>1082494</v>
      </c>
      <c r="H180" s="236">
        <v>1116629</v>
      </c>
      <c r="I180" s="236">
        <v>1127657</v>
      </c>
      <c r="J180" s="236">
        <v>1138678</v>
      </c>
      <c r="K180" s="236">
        <v>1149679</v>
      </c>
      <c r="L180" s="236">
        <v>1160607</v>
      </c>
      <c r="M180" s="236">
        <v>1170717</v>
      </c>
      <c r="N180" s="236">
        <v>1183427</v>
      </c>
      <c r="O180" s="237"/>
      <c r="P180" s="223">
        <f t="shared" si="121"/>
        <v>1183427</v>
      </c>
      <c r="Q180" s="147">
        <f>P180*$Q$6</f>
        <v>194082.02800000002</v>
      </c>
      <c r="R180" s="147">
        <f t="shared" si="122"/>
        <v>531.7315835616439</v>
      </c>
      <c r="S180" s="148">
        <f>R180*$S$3*$S$6</f>
        <v>155265.62240000002</v>
      </c>
      <c r="T180" s="199"/>
      <c r="U180" s="150"/>
      <c r="V180" s="249"/>
      <c r="W180" s="249"/>
      <c r="X180" s="152"/>
      <c r="Y180" s="153"/>
      <c r="Z180" s="153"/>
      <c r="AA180" s="154"/>
      <c r="AB180" s="155">
        <f>S180*$AB$3</f>
        <v>90054.060992000013</v>
      </c>
      <c r="AC180" s="156">
        <f>S180*$AC$3</f>
        <v>20184.530912000002</v>
      </c>
      <c r="AD180" s="156">
        <f>S180*$AD$3</f>
        <v>13624.558365600002</v>
      </c>
      <c r="AE180" s="156">
        <f>S180*$AE$3</f>
        <v>6210.6248960000012</v>
      </c>
      <c r="AF180" s="156">
        <f>S180*$AF$3</f>
        <v>3105.3124480000006</v>
      </c>
      <c r="AG180" s="156">
        <f>S180*$AG$3</f>
        <v>3105.3124480000006</v>
      </c>
      <c r="AH180" s="156">
        <f>S180*$AH$3</f>
        <v>1552.6562240000003</v>
      </c>
      <c r="AI180" s="156">
        <f>S180*$AI$3</f>
        <v>3105.3124480000006</v>
      </c>
      <c r="AJ180" s="156">
        <f>S180*$AJ$3</f>
        <v>3105.3124480000006</v>
      </c>
      <c r="AK180" s="156">
        <f>S180*$AK$3</f>
        <v>10868.593568000002</v>
      </c>
      <c r="AL180" s="157">
        <f t="shared" si="123"/>
        <v>47782.995293599997</v>
      </c>
      <c r="AM180" s="158">
        <f t="shared" si="124"/>
        <v>2200</v>
      </c>
      <c r="AN180" s="159">
        <v>0.2</v>
      </c>
      <c r="AO180" s="160">
        <f t="shared" si="125"/>
        <v>1269611611.9644103</v>
      </c>
      <c r="AP180" s="161">
        <f t="shared" si="126"/>
        <v>352669.92042592756</v>
      </c>
      <c r="AQ180" s="162">
        <f t="shared" si="127"/>
        <v>70533.984085185512</v>
      </c>
      <c r="AR180" s="580">
        <f t="shared" si="128"/>
        <v>10.064780834073275</v>
      </c>
      <c r="AS180" s="435">
        <f t="shared" si="129"/>
        <v>10.064780834073275</v>
      </c>
      <c r="AT180" s="187"/>
      <c r="AU180" s="166"/>
      <c r="AV180" s="167"/>
      <c r="AW180" s="146"/>
      <c r="AX180" s="168"/>
    </row>
    <row r="181" spans="1:50" ht="11.25" x14ac:dyDescent="0.25">
      <c r="A181" s="140">
        <v>6</v>
      </c>
      <c r="B181" s="63" t="s">
        <v>223</v>
      </c>
      <c r="C181" s="235"/>
      <c r="D181" s="236">
        <v>536980</v>
      </c>
      <c r="E181" s="236">
        <v>543020</v>
      </c>
      <c r="F181" s="236">
        <v>549060</v>
      </c>
      <c r="G181" s="236">
        <v>555099</v>
      </c>
      <c r="H181" s="236">
        <v>561955</v>
      </c>
      <c r="I181" s="236">
        <v>566542</v>
      </c>
      <c r="J181" s="236">
        <v>571107</v>
      </c>
      <c r="K181" s="236">
        <v>575648</v>
      </c>
      <c r="L181" s="236">
        <v>580163</v>
      </c>
      <c r="M181" s="236">
        <v>584277</v>
      </c>
      <c r="N181" s="236">
        <v>590620</v>
      </c>
      <c r="O181" s="237"/>
      <c r="P181" s="223">
        <f t="shared" si="121"/>
        <v>590620</v>
      </c>
      <c r="Q181" s="147">
        <f>P181*$Q$7</f>
        <v>86230.51999999999</v>
      </c>
      <c r="R181" s="147">
        <f t="shared" si="122"/>
        <v>236.24799999999996</v>
      </c>
      <c r="S181" s="148">
        <f>R181*$S$3*$S$7</f>
        <v>60361.363999999987</v>
      </c>
      <c r="T181" s="199"/>
      <c r="U181" s="150"/>
      <c r="V181" s="249"/>
      <c r="W181" s="249"/>
      <c r="X181" s="152"/>
      <c r="Y181" s="153"/>
      <c r="Z181" s="153"/>
      <c r="AA181" s="154"/>
      <c r="AB181" s="155">
        <f>S181*$AB$3</f>
        <v>35009.59111999999</v>
      </c>
      <c r="AC181" s="156">
        <f>S181*$AC$3</f>
        <v>7846.9773199999981</v>
      </c>
      <c r="AD181" s="156">
        <f>S181*$AD$3</f>
        <v>5296.7096909999982</v>
      </c>
      <c r="AE181" s="156">
        <f>S181*$AE$3</f>
        <v>2414.4545599999997</v>
      </c>
      <c r="AF181" s="156">
        <f>S181*$AF$3</f>
        <v>1207.2272799999998</v>
      </c>
      <c r="AG181" s="156">
        <f>S181*$AG$3</f>
        <v>1207.2272799999998</v>
      </c>
      <c r="AH181" s="156">
        <f>S181*$AH$3</f>
        <v>603.61363999999992</v>
      </c>
      <c r="AI181" s="156">
        <f>S181*$AI$3</f>
        <v>1207.2272799999998</v>
      </c>
      <c r="AJ181" s="156">
        <f>S181*$AJ$3</f>
        <v>1207.2272799999998</v>
      </c>
      <c r="AK181" s="156">
        <f>S181*$AK$3</f>
        <v>4225.2954799999998</v>
      </c>
      <c r="AL181" s="157">
        <f t="shared" si="123"/>
        <v>18576.209770999994</v>
      </c>
      <c r="AM181" s="158">
        <f t="shared" si="124"/>
        <v>2200</v>
      </c>
      <c r="AN181" s="159">
        <v>0.2</v>
      </c>
      <c r="AO181" s="160">
        <f t="shared" si="125"/>
        <v>493576668.57496518</v>
      </c>
      <c r="AP181" s="161">
        <f t="shared" si="126"/>
        <v>137104.64112808296</v>
      </c>
      <c r="AQ181" s="162">
        <f t="shared" si="127"/>
        <v>27420.928225616593</v>
      </c>
      <c r="AR181" s="580">
        <f t="shared" si="128"/>
        <v>3.912803685162185</v>
      </c>
      <c r="AS181" s="582">
        <f t="shared" si="129"/>
        <v>3.912803685162185</v>
      </c>
      <c r="AT181" s="165"/>
      <c r="AU181" s="166"/>
      <c r="AV181" s="167"/>
      <c r="AW181" s="146"/>
      <c r="AX181" s="168"/>
    </row>
    <row r="182" spans="1:50" ht="11.25" x14ac:dyDescent="0.25">
      <c r="A182" s="140">
        <v>7</v>
      </c>
      <c r="B182" s="63" t="s">
        <v>224</v>
      </c>
      <c r="C182" s="235"/>
      <c r="D182" s="236">
        <v>358164</v>
      </c>
      <c r="E182" s="236">
        <v>358724</v>
      </c>
      <c r="F182" s="236">
        <v>359284</v>
      </c>
      <c r="G182" s="236">
        <v>359844</v>
      </c>
      <c r="H182" s="236">
        <v>380373</v>
      </c>
      <c r="I182" s="236">
        <v>385555</v>
      </c>
      <c r="J182" s="236">
        <v>390766</v>
      </c>
      <c r="K182" s="236">
        <v>396005</v>
      </c>
      <c r="L182" s="236">
        <v>401272</v>
      </c>
      <c r="M182" s="236">
        <v>406123</v>
      </c>
      <c r="N182" s="236">
        <v>410532</v>
      </c>
      <c r="O182" s="237"/>
      <c r="P182" s="223">
        <f t="shared" si="121"/>
        <v>410532</v>
      </c>
      <c r="Q182" s="147">
        <f>P182*$Q$8</f>
        <v>45158.52</v>
      </c>
      <c r="R182" s="147">
        <f t="shared" si="122"/>
        <v>123.72197260273971</v>
      </c>
      <c r="S182" s="148">
        <f>R182*$S$3*$S$8</f>
        <v>27095.111999999997</v>
      </c>
      <c r="T182" s="199"/>
      <c r="U182" s="150"/>
      <c r="V182" s="249"/>
      <c r="W182" s="249"/>
      <c r="X182" s="152"/>
      <c r="Y182" s="153"/>
      <c r="Z182" s="153"/>
      <c r="AA182" s="154"/>
      <c r="AB182" s="155">
        <f>S182*$AB$3</f>
        <v>15715.164959999998</v>
      </c>
      <c r="AC182" s="156">
        <f>S182*$AC$3</f>
        <v>3522.36456</v>
      </c>
      <c r="AD182" s="156">
        <f>S182*$AD$3</f>
        <v>2377.5960779999996</v>
      </c>
      <c r="AE182" s="156">
        <f>S182*$AE$3</f>
        <v>1083.80448</v>
      </c>
      <c r="AF182" s="156">
        <f>S182*$AF$3</f>
        <v>541.90224000000001</v>
      </c>
      <c r="AG182" s="156">
        <f>S182*$AG$3</f>
        <v>541.90224000000001</v>
      </c>
      <c r="AH182" s="156">
        <f>S182*$AH$3</f>
        <v>270.95112</v>
      </c>
      <c r="AI182" s="156">
        <f>S182*$AI$3</f>
        <v>541.90224000000001</v>
      </c>
      <c r="AJ182" s="156">
        <f>S182*$AJ$3</f>
        <v>541.90224000000001</v>
      </c>
      <c r="AK182" s="156">
        <f>S182*$AK$3</f>
        <v>1896.6578400000001</v>
      </c>
      <c r="AL182" s="157">
        <f t="shared" si="123"/>
        <v>8338.5207179999998</v>
      </c>
      <c r="AM182" s="158">
        <f t="shared" si="124"/>
        <v>2200</v>
      </c>
      <c r="AN182" s="159">
        <v>0.2</v>
      </c>
      <c r="AO182" s="160">
        <f t="shared" si="125"/>
        <v>221557536.63263083</v>
      </c>
      <c r="AP182" s="161">
        <f t="shared" si="126"/>
        <v>61543.765099231598</v>
      </c>
      <c r="AQ182" s="162">
        <f t="shared" si="127"/>
        <v>12308.753019846321</v>
      </c>
      <c r="AR182" s="580">
        <f t="shared" si="128"/>
        <v>1.7563859902748746</v>
      </c>
      <c r="AS182" s="582">
        <f t="shared" si="129"/>
        <v>1.7563859902748746</v>
      </c>
      <c r="AT182" s="165"/>
      <c r="AU182" s="166"/>
      <c r="AV182" s="167"/>
      <c r="AW182" s="146"/>
      <c r="AX182" s="168"/>
    </row>
    <row r="183" spans="1:50" ht="11.25" x14ac:dyDescent="0.25">
      <c r="A183" s="140">
        <v>8</v>
      </c>
      <c r="B183" s="258" t="s">
        <v>225</v>
      </c>
      <c r="C183" s="235"/>
      <c r="D183" s="236">
        <v>702247</v>
      </c>
      <c r="E183" s="236">
        <v>712671</v>
      </c>
      <c r="F183" s="236">
        <v>723096</v>
      </c>
      <c r="G183" s="236">
        <v>733520</v>
      </c>
      <c r="H183" s="236">
        <v>765283</v>
      </c>
      <c r="I183" s="236">
        <v>779254</v>
      </c>
      <c r="J183" s="236">
        <v>793434</v>
      </c>
      <c r="K183" s="236">
        <v>807830</v>
      </c>
      <c r="L183" s="236">
        <v>388766</v>
      </c>
      <c r="M183" s="236">
        <v>397906</v>
      </c>
      <c r="N183" s="236">
        <v>402226</v>
      </c>
      <c r="O183" s="237"/>
      <c r="P183" s="223">
        <f t="shared" si="121"/>
        <v>807830</v>
      </c>
      <c r="Q183" s="147">
        <f>P183*$Q$7</f>
        <v>117943.18</v>
      </c>
      <c r="R183" s="147">
        <f t="shared" si="122"/>
        <v>323.13200000000001</v>
      </c>
      <c r="S183" s="148">
        <f>R183*$S$3*$S$7</f>
        <v>82560.225999999995</v>
      </c>
      <c r="T183" s="199"/>
      <c r="U183" s="150"/>
      <c r="V183" s="249"/>
      <c r="W183" s="249"/>
      <c r="X183" s="152"/>
      <c r="Y183" s="153"/>
      <c r="Z183" s="153"/>
      <c r="AA183" s="154"/>
      <c r="AB183" s="155">
        <f>S183*$AB$3</f>
        <v>47884.931079999995</v>
      </c>
      <c r="AC183" s="156">
        <f>S183*$AC$3</f>
        <v>10732.829379999999</v>
      </c>
      <c r="AD183" s="156">
        <f>S183*$AD$3</f>
        <v>7244.6598314999992</v>
      </c>
      <c r="AE183" s="156">
        <f>S183*$AE$3</f>
        <v>3302.40904</v>
      </c>
      <c r="AF183" s="156">
        <f>S183*$AF$3</f>
        <v>1651.20452</v>
      </c>
      <c r="AG183" s="156">
        <f>S183*$AG$3</f>
        <v>1651.20452</v>
      </c>
      <c r="AH183" s="156">
        <f>S183*$AH$3</f>
        <v>825.60226</v>
      </c>
      <c r="AI183" s="156">
        <f>S183*$AI$3</f>
        <v>1651.20452</v>
      </c>
      <c r="AJ183" s="156">
        <f>S183*$AJ$3</f>
        <v>1651.20452</v>
      </c>
      <c r="AK183" s="156">
        <f>S183*$AK$3</f>
        <v>5779.2158200000003</v>
      </c>
      <c r="AL183" s="157">
        <f t="shared" si="123"/>
        <v>25407.909551499994</v>
      </c>
      <c r="AM183" s="158">
        <f t="shared" si="124"/>
        <v>2200</v>
      </c>
      <c r="AN183" s="159">
        <v>0.2</v>
      </c>
      <c r="AO183" s="160">
        <f t="shared" si="125"/>
        <v>675097423.34312117</v>
      </c>
      <c r="AP183" s="161">
        <f t="shared" si="126"/>
        <v>187527.07704192083</v>
      </c>
      <c r="AQ183" s="162">
        <f t="shared" si="127"/>
        <v>37505.415408384164</v>
      </c>
      <c r="AR183" s="580">
        <f t="shared" si="128"/>
        <v>5.3518001438904346</v>
      </c>
      <c r="AS183" s="435">
        <f t="shared" si="129"/>
        <v>5.3518001438904346</v>
      </c>
      <c r="AT183" s="187"/>
      <c r="AU183" s="166"/>
      <c r="AV183" s="167"/>
      <c r="AW183" s="146"/>
      <c r="AX183" s="168"/>
    </row>
    <row r="184" spans="1:50" ht="11.25" x14ac:dyDescent="0.25">
      <c r="A184" s="140">
        <v>9</v>
      </c>
      <c r="B184" s="63" t="s">
        <v>226</v>
      </c>
      <c r="C184" s="235"/>
      <c r="D184" s="236"/>
      <c r="E184" s="236"/>
      <c r="F184" s="236"/>
      <c r="G184" s="236"/>
      <c r="H184" s="236"/>
      <c r="I184" s="236"/>
      <c r="J184" s="236">
        <v>384333</v>
      </c>
      <c r="K184" s="236">
        <v>389289</v>
      </c>
      <c r="L184" s="236">
        <v>394267</v>
      </c>
      <c r="M184" s="236">
        <v>398848</v>
      </c>
      <c r="N184" s="236">
        <v>403178</v>
      </c>
      <c r="O184" s="237"/>
      <c r="P184" s="223">
        <f t="shared" si="121"/>
        <v>403178</v>
      </c>
      <c r="Q184" s="147">
        <f>P184*$Q$8</f>
        <v>44349.58</v>
      </c>
      <c r="R184" s="147">
        <f t="shared" si="122"/>
        <v>121.50569863013699</v>
      </c>
      <c r="S184" s="148">
        <f>R184*$S$3*$S$8</f>
        <v>26609.748</v>
      </c>
      <c r="T184" s="199"/>
      <c r="U184" s="150"/>
      <c r="V184" s="249"/>
      <c r="W184" s="249"/>
      <c r="X184" s="152"/>
      <c r="Y184" s="153"/>
      <c r="Z184" s="153"/>
      <c r="AA184" s="154"/>
      <c r="AB184" s="155">
        <f>S184*$AB$3</f>
        <v>15433.653839999999</v>
      </c>
      <c r="AC184" s="156">
        <f>S184*$AC$3</f>
        <v>3459.2672400000001</v>
      </c>
      <c r="AD184" s="156">
        <f>S184*$AD$3</f>
        <v>2335.0053869999997</v>
      </c>
      <c r="AE184" s="156">
        <f>S184*$AE$3</f>
        <v>1064.3899200000001</v>
      </c>
      <c r="AF184" s="156">
        <f>S184*$AF$3</f>
        <v>532.19496000000004</v>
      </c>
      <c r="AG184" s="156">
        <f>S184*$AG$3</f>
        <v>532.19496000000004</v>
      </c>
      <c r="AH184" s="156">
        <f>S184*$AH$3</f>
        <v>266.09748000000002</v>
      </c>
      <c r="AI184" s="156">
        <f>S184*$AI$3</f>
        <v>532.19496000000004</v>
      </c>
      <c r="AJ184" s="156">
        <f>S184*$AJ$3</f>
        <v>532.19496000000004</v>
      </c>
      <c r="AK184" s="156">
        <f>S184*$AK$3</f>
        <v>1862.6823600000002</v>
      </c>
      <c r="AL184" s="157">
        <f t="shared" si="123"/>
        <v>8189.1499469999999</v>
      </c>
      <c r="AM184" s="158">
        <f t="shared" si="124"/>
        <v>2200</v>
      </c>
      <c r="AN184" s="159">
        <v>0.2</v>
      </c>
      <c r="AO184" s="160">
        <f t="shared" si="125"/>
        <v>217588700.76990548</v>
      </c>
      <c r="AP184" s="161">
        <f t="shared" si="126"/>
        <v>60441.310604722647</v>
      </c>
      <c r="AQ184" s="162">
        <f t="shared" si="127"/>
        <v>12088.26212094453</v>
      </c>
      <c r="AR184" s="580">
        <f t="shared" si="128"/>
        <v>1.7249232478516738</v>
      </c>
      <c r="AS184" s="582">
        <f t="shared" si="129"/>
        <v>1.7249232478516738</v>
      </c>
      <c r="AT184" s="165"/>
      <c r="AU184" s="166"/>
      <c r="AV184" s="167"/>
      <c r="AW184" s="146"/>
      <c r="AX184" s="168"/>
    </row>
    <row r="185" spans="1:50" ht="11.25" x14ac:dyDescent="0.25">
      <c r="A185" s="140">
        <v>10</v>
      </c>
      <c r="B185" s="63" t="s">
        <v>227</v>
      </c>
      <c r="C185" s="235"/>
      <c r="D185" s="236"/>
      <c r="E185" s="236"/>
      <c r="F185" s="236"/>
      <c r="G185" s="236"/>
      <c r="H185" s="236"/>
      <c r="I185" s="236"/>
      <c r="J185" s="236"/>
      <c r="K185" s="236"/>
      <c r="L185" s="236">
        <v>363683</v>
      </c>
      <c r="M185" s="236">
        <v>365369</v>
      </c>
      <c r="N185" s="236">
        <v>369336</v>
      </c>
      <c r="O185" s="237"/>
      <c r="P185" s="223">
        <f t="shared" si="121"/>
        <v>369336</v>
      </c>
      <c r="Q185" s="147">
        <f>P185*$Q$8</f>
        <v>40626.959999999999</v>
      </c>
      <c r="R185" s="147">
        <f t="shared" si="122"/>
        <v>111.30673972602739</v>
      </c>
      <c r="S185" s="148">
        <f>R185*$S$3*$S$8</f>
        <v>24376.175999999999</v>
      </c>
      <c r="T185" s="199"/>
      <c r="U185" s="150"/>
      <c r="V185" s="249"/>
      <c r="W185" s="249"/>
      <c r="X185" s="152"/>
      <c r="Y185" s="153"/>
      <c r="Z185" s="153"/>
      <c r="AA185" s="154"/>
      <c r="AB185" s="155">
        <f>S185*$AB$3</f>
        <v>14138.182079999999</v>
      </c>
      <c r="AC185" s="156">
        <f>S185*$AC$3</f>
        <v>3168.9028800000001</v>
      </c>
      <c r="AD185" s="156">
        <f>S185*$AD$3</f>
        <v>2139.0094439999998</v>
      </c>
      <c r="AE185" s="156">
        <f>S185*$AE$3</f>
        <v>975.04704000000004</v>
      </c>
      <c r="AF185" s="156">
        <f>S185*$AF$3</f>
        <v>487.52352000000002</v>
      </c>
      <c r="AG185" s="156">
        <f>S185*$AG$3</f>
        <v>487.52352000000002</v>
      </c>
      <c r="AH185" s="156">
        <f>S185*$AH$3</f>
        <v>243.76176000000001</v>
      </c>
      <c r="AI185" s="156">
        <f>S185*$AI$3</f>
        <v>487.52352000000002</v>
      </c>
      <c r="AJ185" s="156">
        <f>S185*$AJ$3</f>
        <v>487.52352000000002</v>
      </c>
      <c r="AK185" s="156">
        <f>S185*$AK$3</f>
        <v>1706.3323200000002</v>
      </c>
      <c r="AL185" s="157">
        <f t="shared" si="123"/>
        <v>7501.7681640000001</v>
      </c>
      <c r="AM185" s="158">
        <f t="shared" si="124"/>
        <v>2200</v>
      </c>
      <c r="AN185" s="159">
        <v>0.2</v>
      </c>
      <c r="AO185" s="160">
        <f t="shared" si="125"/>
        <v>199324716.09947422</v>
      </c>
      <c r="AP185" s="161">
        <f t="shared" si="126"/>
        <v>55367.981123736528</v>
      </c>
      <c r="AQ185" s="162">
        <f t="shared" si="127"/>
        <v>11073.596224747307</v>
      </c>
      <c r="AR185" s="580">
        <f t="shared" si="128"/>
        <v>1.5801364475952209</v>
      </c>
      <c r="AS185" s="582">
        <f t="shared" si="129"/>
        <v>1.5801364475952209</v>
      </c>
      <c r="AT185" s="165"/>
      <c r="AU185" s="166"/>
      <c r="AV185" s="167"/>
      <c r="AW185" s="146"/>
      <c r="AX185" s="168"/>
    </row>
    <row r="186" spans="1:50" ht="11.25" x14ac:dyDescent="0.25">
      <c r="A186" s="140">
        <v>11</v>
      </c>
      <c r="B186" s="63" t="s">
        <v>228</v>
      </c>
      <c r="C186" s="235"/>
      <c r="D186" s="236"/>
      <c r="E186" s="236"/>
      <c r="F186" s="236"/>
      <c r="G186" s="236"/>
      <c r="H186" s="236"/>
      <c r="I186" s="236"/>
      <c r="J186" s="236"/>
      <c r="K186" s="236"/>
      <c r="L186" s="236">
        <v>185518</v>
      </c>
      <c r="M186" s="236">
        <v>187407</v>
      </c>
      <c r="N186" s="236">
        <v>189442</v>
      </c>
      <c r="O186" s="237"/>
      <c r="P186" s="223">
        <f t="shared" si="121"/>
        <v>189442</v>
      </c>
      <c r="Q186" s="147">
        <f>P186*$Q$8</f>
        <v>20838.62</v>
      </c>
      <c r="R186" s="147">
        <f t="shared" si="122"/>
        <v>57.092109589041094</v>
      </c>
      <c r="S186" s="148">
        <f>R186*$S$3*$S$8</f>
        <v>12503.171999999999</v>
      </c>
      <c r="T186" s="199"/>
      <c r="U186" s="150"/>
      <c r="V186" s="249"/>
      <c r="W186" s="249"/>
      <c r="X186" s="152"/>
      <c r="Y186" s="153"/>
      <c r="Z186" s="153"/>
      <c r="AA186" s="154"/>
      <c r="AB186" s="155">
        <f>S186*$AB$3</f>
        <v>7251.8397599999989</v>
      </c>
      <c r="AC186" s="156">
        <f>S186*$AC$3</f>
        <v>1625.4123599999998</v>
      </c>
      <c r="AD186" s="156">
        <f>S186*$AD$3</f>
        <v>1097.1533429999997</v>
      </c>
      <c r="AE186" s="156">
        <f>S186*$AE$3</f>
        <v>500.12687999999997</v>
      </c>
      <c r="AF186" s="156">
        <f>S186*$AF$3</f>
        <v>250.06343999999999</v>
      </c>
      <c r="AG186" s="156">
        <f>S186*$AG$3</f>
        <v>250.06343999999999</v>
      </c>
      <c r="AH186" s="156">
        <f>S186*$AH$3</f>
        <v>125.03171999999999</v>
      </c>
      <c r="AI186" s="156">
        <f>S186*$AI$3</f>
        <v>250.06343999999999</v>
      </c>
      <c r="AJ186" s="156">
        <f>S186*$AJ$3</f>
        <v>250.06343999999999</v>
      </c>
      <c r="AK186" s="156">
        <f>S186*$AK$3</f>
        <v>875.22203999999999</v>
      </c>
      <c r="AL186" s="157">
        <f t="shared" si="123"/>
        <v>3847.8511829999989</v>
      </c>
      <c r="AM186" s="158">
        <f t="shared" si="124"/>
        <v>2200</v>
      </c>
      <c r="AN186" s="159">
        <v>0.2</v>
      </c>
      <c r="AO186" s="160">
        <f t="shared" si="125"/>
        <v>102238809.28833526</v>
      </c>
      <c r="AP186" s="161">
        <f t="shared" si="126"/>
        <v>28399.671518733336</v>
      </c>
      <c r="AQ186" s="162">
        <f t="shared" si="127"/>
        <v>5679.9343037466679</v>
      </c>
      <c r="AR186" s="580">
        <f t="shared" si="128"/>
        <v>0.81049290863965007</v>
      </c>
      <c r="AS186" s="582">
        <f t="shared" si="129"/>
        <v>0.81049290863965007</v>
      </c>
      <c r="AT186" s="165"/>
      <c r="AU186" s="166"/>
      <c r="AV186" s="167"/>
      <c r="AW186" s="146"/>
      <c r="AX186" s="168"/>
    </row>
    <row r="187" spans="1:50" ht="11.25" x14ac:dyDescent="0.25">
      <c r="A187" s="140">
        <v>12</v>
      </c>
      <c r="B187" s="63" t="s">
        <v>229</v>
      </c>
      <c r="C187" s="235"/>
      <c r="D187" s="236"/>
      <c r="E187" s="236"/>
      <c r="F187" s="236"/>
      <c r="G187" s="236"/>
      <c r="H187" s="236"/>
      <c r="I187" s="236"/>
      <c r="J187" s="236"/>
      <c r="K187" s="236"/>
      <c r="L187" s="236">
        <v>48154</v>
      </c>
      <c r="M187" s="236">
        <v>50707</v>
      </c>
      <c r="N187" s="236">
        <v>253429</v>
      </c>
      <c r="O187" s="237"/>
      <c r="P187" s="223">
        <f t="shared" si="121"/>
        <v>253429</v>
      </c>
      <c r="Q187" s="147">
        <f>P187*$Q$8</f>
        <v>27877.19</v>
      </c>
      <c r="R187" s="147">
        <f t="shared" si="122"/>
        <v>76.37586301369862</v>
      </c>
      <c r="S187" s="148">
        <f>R187*$S$3*$S$8</f>
        <v>16726.313999999995</v>
      </c>
      <c r="T187" s="199"/>
      <c r="U187" s="150"/>
      <c r="V187" s="249"/>
      <c r="W187" s="249"/>
      <c r="X187" s="152"/>
      <c r="Y187" s="153"/>
      <c r="Z187" s="153"/>
      <c r="AA187" s="154"/>
      <c r="AB187" s="155">
        <f>S187*$AB$3</f>
        <v>9701.2621199999958</v>
      </c>
      <c r="AC187" s="156">
        <f>S187*$AC$3</f>
        <v>2174.4208199999994</v>
      </c>
      <c r="AD187" s="156">
        <f>S187*$AD$3</f>
        <v>1467.7340534999994</v>
      </c>
      <c r="AE187" s="156">
        <f>S187*$AE$3</f>
        <v>669.05255999999986</v>
      </c>
      <c r="AF187" s="156">
        <f>S187*$AF$3</f>
        <v>334.52627999999993</v>
      </c>
      <c r="AG187" s="156">
        <f>S187*$AG$3</f>
        <v>334.52627999999993</v>
      </c>
      <c r="AH187" s="156">
        <f>S187*$AH$3</f>
        <v>167.26313999999996</v>
      </c>
      <c r="AI187" s="156">
        <f>S187*$AI$3</f>
        <v>334.52627999999993</v>
      </c>
      <c r="AJ187" s="156">
        <f>S187*$AJ$3</f>
        <v>334.52627999999993</v>
      </c>
      <c r="AK187" s="156">
        <f>S187*$AK$3</f>
        <v>1170.8419799999997</v>
      </c>
      <c r="AL187" s="157">
        <f t="shared" si="123"/>
        <v>5147.5231334999989</v>
      </c>
      <c r="AM187" s="158">
        <f t="shared" si="124"/>
        <v>2200</v>
      </c>
      <c r="AN187" s="159">
        <v>0.2</v>
      </c>
      <c r="AO187" s="160">
        <f t="shared" si="125"/>
        <v>136771567.01857832</v>
      </c>
      <c r="AP187" s="161">
        <f t="shared" si="126"/>
        <v>37992.104988973246</v>
      </c>
      <c r="AQ187" s="162">
        <f t="shared" si="127"/>
        <v>7598.4209977946493</v>
      </c>
      <c r="AR187" s="580">
        <f t="shared" si="128"/>
        <v>1.0842495716031177</v>
      </c>
      <c r="AS187" s="582">
        <f t="shared" si="129"/>
        <v>1.0842495716031177</v>
      </c>
      <c r="AT187" s="165"/>
      <c r="AU187" s="166"/>
      <c r="AV187" s="167"/>
      <c r="AW187" s="146"/>
      <c r="AX187" s="168"/>
    </row>
    <row r="188" spans="1:50" ht="11.25" x14ac:dyDescent="0.25">
      <c r="A188" s="140">
        <v>13</v>
      </c>
      <c r="B188" s="258" t="s">
        <v>230</v>
      </c>
      <c r="C188" s="235"/>
      <c r="D188" s="236">
        <v>754892</v>
      </c>
      <c r="E188" s="236">
        <v>767036</v>
      </c>
      <c r="F188" s="236">
        <v>779179</v>
      </c>
      <c r="G188" s="236">
        <v>788937</v>
      </c>
      <c r="H188" s="236">
        <v>816788</v>
      </c>
      <c r="I188" s="236">
        <v>829783</v>
      </c>
      <c r="J188" s="236">
        <v>824896</v>
      </c>
      <c r="K188" s="236">
        <v>856126</v>
      </c>
      <c r="L188" s="236">
        <v>869470</v>
      </c>
      <c r="M188" s="236">
        <v>881801</v>
      </c>
      <c r="N188" s="236">
        <v>891374</v>
      </c>
      <c r="O188" s="237"/>
      <c r="P188" s="223">
        <f t="shared" si="121"/>
        <v>891374</v>
      </c>
      <c r="Q188" s="147">
        <f>P188*$Q$7</f>
        <v>130140.60399999999</v>
      </c>
      <c r="R188" s="147">
        <f t="shared" si="122"/>
        <v>356.5496</v>
      </c>
      <c r="S188" s="148">
        <f>R188*$S$3*$S$7</f>
        <v>91098.422799999986</v>
      </c>
      <c r="T188" s="199"/>
      <c r="U188" s="150"/>
      <c r="V188" s="249"/>
      <c r="W188" s="249"/>
      <c r="X188" s="152"/>
      <c r="Y188" s="153"/>
      <c r="Z188" s="153"/>
      <c r="AA188" s="154"/>
      <c r="AB188" s="155">
        <f>S188*$AB$3</f>
        <v>52837.085223999988</v>
      </c>
      <c r="AC188" s="156">
        <f>S188*$AC$3</f>
        <v>11842.794963999999</v>
      </c>
      <c r="AD188" s="156">
        <f>S188*$AD$3</f>
        <v>7993.8866006999979</v>
      </c>
      <c r="AE188" s="156">
        <f>S188*$AE$3</f>
        <v>3643.9369119999997</v>
      </c>
      <c r="AF188" s="156">
        <f>S188*$AF$3</f>
        <v>1821.9684559999998</v>
      </c>
      <c r="AG188" s="156">
        <f>S188*$AG$3</f>
        <v>1821.9684559999998</v>
      </c>
      <c r="AH188" s="156">
        <f>S188*$AH$3</f>
        <v>910.98422799999992</v>
      </c>
      <c r="AI188" s="156">
        <f>S188*$AI$3</f>
        <v>1821.9684559999998</v>
      </c>
      <c r="AJ188" s="156">
        <f>S188*$AJ$3</f>
        <v>1821.9684559999998</v>
      </c>
      <c r="AK188" s="156">
        <f>S188*$AK$3</f>
        <v>6376.889596</v>
      </c>
      <c r="AL188" s="157">
        <f t="shared" si="123"/>
        <v>28035.539616699996</v>
      </c>
      <c r="AM188" s="158">
        <f t="shared" si="124"/>
        <v>2200</v>
      </c>
      <c r="AN188" s="159">
        <v>0.2</v>
      </c>
      <c r="AO188" s="160">
        <f t="shared" si="125"/>
        <v>744914512.50269377</v>
      </c>
      <c r="AP188" s="161">
        <f t="shared" si="126"/>
        <v>206920.71447107077</v>
      </c>
      <c r="AQ188" s="162">
        <f t="shared" si="127"/>
        <v>41384.142894214157</v>
      </c>
      <c r="AR188" s="580">
        <f t="shared" si="128"/>
        <v>5.9052715317086415</v>
      </c>
      <c r="AS188" s="435">
        <f t="shared" si="129"/>
        <v>5.9052715317086415</v>
      </c>
      <c r="AT188" s="187"/>
      <c r="AU188" s="166"/>
      <c r="AV188" s="167"/>
      <c r="AW188" s="146"/>
      <c r="AX188" s="168"/>
    </row>
    <row r="189" spans="1:50" ht="11.25" x14ac:dyDescent="0.25">
      <c r="A189" s="140">
        <v>14</v>
      </c>
      <c r="B189" s="63" t="s">
        <v>231</v>
      </c>
      <c r="C189" s="235"/>
      <c r="D189" s="236">
        <v>119771</v>
      </c>
      <c r="E189" s="236">
        <v>121094</v>
      </c>
      <c r="F189" s="236">
        <v>122417</v>
      </c>
      <c r="G189" s="236">
        <v>123740</v>
      </c>
      <c r="H189" s="236">
        <v>132501</v>
      </c>
      <c r="I189" s="236">
        <v>135070</v>
      </c>
      <c r="J189" s="236">
        <v>137674</v>
      </c>
      <c r="K189" s="236">
        <v>140314</v>
      </c>
      <c r="L189" s="236">
        <v>142988</v>
      </c>
      <c r="M189" s="236">
        <v>145471</v>
      </c>
      <c r="N189" s="236">
        <v>147050</v>
      </c>
      <c r="O189" s="237"/>
      <c r="P189" s="223">
        <f>MAX(C189:O189)</f>
        <v>147050</v>
      </c>
      <c r="Q189" s="147">
        <f>P189*$Q$8</f>
        <v>16175.5</v>
      </c>
      <c r="R189" s="147">
        <f t="shared" si="122"/>
        <v>44.316438356164383</v>
      </c>
      <c r="S189" s="148">
        <f>R189*$S$3*$S$8</f>
        <v>9705.2999999999993</v>
      </c>
      <c r="T189" s="199"/>
      <c r="U189" s="150"/>
      <c r="V189" s="249"/>
      <c r="W189" s="249"/>
      <c r="X189" s="152"/>
      <c r="Y189" s="153"/>
      <c r="Z189" s="153"/>
      <c r="AA189" s="154"/>
      <c r="AB189" s="155">
        <f>S189*$AB$3</f>
        <v>5629.0739999999996</v>
      </c>
      <c r="AC189" s="156">
        <f>S189*$AC$3</f>
        <v>1261.6889999999999</v>
      </c>
      <c r="AD189" s="156">
        <f>S189*$AD$3</f>
        <v>851.64007499999991</v>
      </c>
      <c r="AE189" s="156">
        <f>S189*$AE$3</f>
        <v>388.21199999999999</v>
      </c>
      <c r="AF189" s="156">
        <f>S189*$AF$3</f>
        <v>194.10599999999999</v>
      </c>
      <c r="AG189" s="156">
        <f>S189*$AG$3</f>
        <v>194.10599999999999</v>
      </c>
      <c r="AH189" s="156">
        <f>S189*$AH$3</f>
        <v>97.052999999999997</v>
      </c>
      <c r="AI189" s="156">
        <f>S189*$AI$3</f>
        <v>194.10599999999999</v>
      </c>
      <c r="AJ189" s="156">
        <f>S189*$AJ$3</f>
        <v>194.10599999999999</v>
      </c>
      <c r="AK189" s="156">
        <f>S189*$AK$3</f>
        <v>679.37099999999998</v>
      </c>
      <c r="AL189" s="157">
        <f t="shared" si="123"/>
        <v>2986.8060749999995</v>
      </c>
      <c r="AM189" s="158">
        <f t="shared" si="124"/>
        <v>2200</v>
      </c>
      <c r="AN189" s="159">
        <v>0.2</v>
      </c>
      <c r="AO189" s="160">
        <f t="shared" si="125"/>
        <v>79360526.735621989</v>
      </c>
      <c r="AP189" s="161">
        <f t="shared" si="126"/>
        <v>22044.592523462255</v>
      </c>
      <c r="AQ189" s="162">
        <f t="shared" si="127"/>
        <v>4408.9185046924513</v>
      </c>
      <c r="AR189" s="580">
        <f t="shared" si="128"/>
        <v>0.62912649895725614</v>
      </c>
      <c r="AS189" s="582">
        <f t="shared" si="129"/>
        <v>0.62912649895725614</v>
      </c>
      <c r="AT189" s="165"/>
      <c r="AU189" s="166"/>
      <c r="AV189" s="167"/>
      <c r="AW189" s="146"/>
      <c r="AX189" s="168"/>
    </row>
    <row r="190" spans="1:50" s="263" customFormat="1" ht="11.25" x14ac:dyDescent="0.25">
      <c r="A190" s="225"/>
      <c r="B190" s="258" t="s">
        <v>232</v>
      </c>
      <c r="C190" s="240">
        <f t="shared" ref="C190:AL190" si="130">SUM(C176:C189)</f>
        <v>0</v>
      </c>
      <c r="D190" s="240">
        <f t="shared" si="130"/>
        <v>6722314</v>
      </c>
      <c r="E190" s="240">
        <f t="shared" si="130"/>
        <v>6787654</v>
      </c>
      <c r="F190" s="240">
        <f t="shared" si="130"/>
        <v>6852999</v>
      </c>
      <c r="G190" s="240">
        <f t="shared" si="130"/>
        <v>6915950</v>
      </c>
      <c r="H190" s="240">
        <f t="shared" si="130"/>
        <v>7172831</v>
      </c>
      <c r="I190" s="240">
        <f t="shared" si="130"/>
        <v>7260588</v>
      </c>
      <c r="J190" s="240">
        <f t="shared" si="130"/>
        <v>7330788</v>
      </c>
      <c r="K190" s="240">
        <f t="shared" si="130"/>
        <v>7437414</v>
      </c>
      <c r="L190" s="240">
        <f t="shared" si="130"/>
        <v>7326388</v>
      </c>
      <c r="M190" s="240">
        <f t="shared" si="130"/>
        <v>7408405</v>
      </c>
      <c r="N190" s="240">
        <f t="shared" si="130"/>
        <v>7691007</v>
      </c>
      <c r="O190" s="240">
        <f t="shared" si="130"/>
        <v>0</v>
      </c>
      <c r="P190" s="240">
        <f t="shared" si="130"/>
        <v>8762131</v>
      </c>
      <c r="Q190" s="240">
        <f t="shared" si="130"/>
        <v>1243923.7700000003</v>
      </c>
      <c r="R190" s="240">
        <f t="shared" si="130"/>
        <v>3408.0103287671232</v>
      </c>
      <c r="S190" s="240">
        <f t="shared" si="130"/>
        <v>886426.12560000003</v>
      </c>
      <c r="T190" s="199">
        <f t="shared" si="130"/>
        <v>0</v>
      </c>
      <c r="U190" s="241"/>
      <c r="V190" s="242">
        <f t="shared" si="130"/>
        <v>0</v>
      </c>
      <c r="W190" s="242">
        <f>SUM(W176:W189)</f>
        <v>0</v>
      </c>
      <c r="X190" s="242">
        <f>SUM(X176:X189)</f>
        <v>0</v>
      </c>
      <c r="Y190" s="199"/>
      <c r="Z190" s="199"/>
      <c r="AA190" s="243"/>
      <c r="AB190" s="240">
        <f>SUM(AB176:AB189)</f>
        <v>514127.152848</v>
      </c>
      <c r="AC190" s="244">
        <f>SUM(AC176:AC189)</f>
        <v>115235.396328</v>
      </c>
      <c r="AD190" s="244">
        <f>SUM(AD176:AD189)</f>
        <v>77783.892521400005</v>
      </c>
      <c r="AE190" s="244">
        <f>SUM(AE176:AE189)</f>
        <v>35457.045023999999</v>
      </c>
      <c r="AF190" s="244">
        <f>SUM(AF176:AF189)</f>
        <v>17728.522512</v>
      </c>
      <c r="AG190" s="244">
        <f t="shared" si="130"/>
        <v>17728.522512</v>
      </c>
      <c r="AH190" s="244">
        <f>SUM(AH176:AH189)</f>
        <v>8864.2612559999998</v>
      </c>
      <c r="AI190" s="244">
        <f t="shared" si="130"/>
        <v>17728.522512</v>
      </c>
      <c r="AJ190" s="244">
        <f t="shared" si="130"/>
        <v>17728.522512</v>
      </c>
      <c r="AK190" s="244">
        <f t="shared" si="130"/>
        <v>62049.828792000008</v>
      </c>
      <c r="AL190" s="245">
        <f t="shared" si="130"/>
        <v>272797.64015339996</v>
      </c>
      <c r="AM190" s="158"/>
      <c r="AN190" s="183"/>
      <c r="AO190" s="160">
        <f>SUM(AO176:AO189)</f>
        <v>7248332791.3441753</v>
      </c>
      <c r="AP190" s="160">
        <f t="shared" ref="AP190:AW190" si="131">SUM(AP176:AP189)</f>
        <v>2013425.9364474439</v>
      </c>
      <c r="AQ190" s="160">
        <f t="shared" si="131"/>
        <v>402685.18728948873</v>
      </c>
      <c r="AR190" s="186">
        <f t="shared" si="131"/>
        <v>57.460785857518388</v>
      </c>
      <c r="AS190" s="435">
        <f t="shared" si="131"/>
        <v>57.460785857518388</v>
      </c>
      <c r="AT190" s="187"/>
      <c r="AU190" s="246">
        <f t="shared" si="131"/>
        <v>0</v>
      </c>
      <c r="AV190" s="246"/>
      <c r="AW190" s="185">
        <f t="shared" si="131"/>
        <v>0</v>
      </c>
      <c r="AX190" s="189"/>
    </row>
    <row r="191" spans="1:50" s="139" customFormat="1" ht="11.25" x14ac:dyDescent="0.25">
      <c r="A191" s="266"/>
      <c r="B191" s="152"/>
      <c r="C191" s="247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248"/>
      <c r="P191" s="249"/>
      <c r="Q191" s="250"/>
      <c r="R191" s="250"/>
      <c r="S191" s="251"/>
      <c r="T191" s="199"/>
      <c r="U191" s="150"/>
      <c r="V191" s="249"/>
      <c r="W191" s="249"/>
      <c r="X191" s="152"/>
      <c r="Y191" s="153"/>
      <c r="Z191" s="153"/>
      <c r="AA191" s="154"/>
      <c r="AB191" s="247"/>
      <c r="AC191" s="252"/>
      <c r="AD191" s="252"/>
      <c r="AE191" s="252"/>
      <c r="AF191" s="252"/>
      <c r="AG191" s="252"/>
      <c r="AH191" s="252"/>
      <c r="AI191" s="252"/>
      <c r="AJ191" s="252"/>
      <c r="AK191" s="252"/>
      <c r="AL191" s="214"/>
      <c r="AM191" s="203"/>
      <c r="AN191" s="204"/>
      <c r="AO191" s="203"/>
      <c r="AP191" s="205"/>
      <c r="AQ191" s="206"/>
      <c r="AR191" s="253"/>
      <c r="AS191" s="254"/>
      <c r="AT191" s="255"/>
      <c r="AU191" s="203"/>
      <c r="AV191" s="267"/>
      <c r="AW191" s="251"/>
      <c r="AX191" s="268"/>
    </row>
    <row r="192" spans="1:50" s="289" customFormat="1" ht="15.75" x14ac:dyDescent="0.25">
      <c r="A192" s="270"/>
      <c r="B192" s="271" t="s">
        <v>233</v>
      </c>
      <c r="C192" s="272"/>
      <c r="D192" s="273"/>
      <c r="E192" s="273"/>
      <c r="F192" s="273"/>
      <c r="G192" s="273"/>
      <c r="H192" s="273"/>
      <c r="I192" s="273"/>
      <c r="J192" s="273"/>
      <c r="K192" s="273"/>
      <c r="L192" s="273"/>
      <c r="M192" s="273"/>
      <c r="N192" s="273"/>
      <c r="O192" s="274"/>
      <c r="P192" s="275">
        <f>P35+P71+P93+P108+P118+P132+P145+P163+P173+P190</f>
        <v>53794718</v>
      </c>
      <c r="Q192" s="275">
        <f>Q35+Q71+Q93+Q108+Q118+Q132+Q145+Q163+Q173+Q190</f>
        <v>7195897.0320000006</v>
      </c>
      <c r="R192" s="275">
        <f>R35+R71+R93+R108+R118+R132+R145+R163+R173+R190</f>
        <v>19714.786389041099</v>
      </c>
      <c r="S192" s="275">
        <f>S35+S71+S93+S108+S118+S132+S145+S163+S173+S190</f>
        <v>5022359.4318000004</v>
      </c>
      <c r="T192" s="276"/>
      <c r="U192" s="277"/>
      <c r="V192" s="278"/>
      <c r="W192" s="278"/>
      <c r="X192" s="279"/>
      <c r="Y192" s="280"/>
      <c r="Z192" s="280"/>
      <c r="AA192" s="281"/>
      <c r="AB192" s="282">
        <f t="shared" ref="AB192:AL192" si="132">AB35+AB71+AB93+AB108+AB118+AB132+AB145+AB163+AB173+AB190</f>
        <v>2912968.4704439999</v>
      </c>
      <c r="AC192" s="283">
        <f t="shared" si="132"/>
        <v>652906.726134</v>
      </c>
      <c r="AD192" s="283">
        <f t="shared" si="132"/>
        <v>440712.04014045</v>
      </c>
      <c r="AE192" s="283">
        <f t="shared" si="132"/>
        <v>200894.37727199998</v>
      </c>
      <c r="AF192" s="283">
        <f t="shared" si="132"/>
        <v>100447.18863599999</v>
      </c>
      <c r="AG192" s="283">
        <f t="shared" si="132"/>
        <v>100447.18863599999</v>
      </c>
      <c r="AH192" s="283">
        <f t="shared" si="132"/>
        <v>50223.594317999996</v>
      </c>
      <c r="AI192" s="283">
        <f t="shared" si="132"/>
        <v>100447.18863599999</v>
      </c>
      <c r="AJ192" s="283">
        <f t="shared" si="132"/>
        <v>100447.18863599999</v>
      </c>
      <c r="AK192" s="283">
        <f t="shared" si="132"/>
        <v>351565.16022600001</v>
      </c>
      <c r="AL192" s="275">
        <f t="shared" si="132"/>
        <v>1545631.1151364499</v>
      </c>
      <c r="AM192" s="284"/>
      <c r="AN192" s="285"/>
      <c r="AO192" s="283">
        <f t="shared" ref="AO192:AW192" si="133">AO35+AO71+AO93+AO108+AO118+AO132+AO145+AO163+AO173+AO190</f>
        <v>41067982438.798096</v>
      </c>
      <c r="AP192" s="283">
        <f t="shared" si="133"/>
        <v>11407773.812287971</v>
      </c>
      <c r="AQ192" s="283">
        <f t="shared" si="133"/>
        <v>2281554.7624575943</v>
      </c>
      <c r="AR192" s="286">
        <f t="shared" si="133"/>
        <v>325.56432112693977</v>
      </c>
      <c r="AS192" s="286">
        <f t="shared" si="133"/>
        <v>325.56432112693977</v>
      </c>
      <c r="AT192" s="287"/>
      <c r="AU192" s="286">
        <f t="shared" si="133"/>
        <v>0</v>
      </c>
      <c r="AV192" s="286"/>
      <c r="AW192" s="286">
        <f t="shared" si="133"/>
        <v>0</v>
      </c>
      <c r="AX192" s="288"/>
    </row>
    <row r="193" spans="1:50" s="139" customFormat="1" ht="11.25" x14ac:dyDescent="0.25">
      <c r="A193" s="247"/>
      <c r="B193" s="152"/>
      <c r="C193" s="247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248"/>
      <c r="O193" s="248"/>
      <c r="P193" s="249"/>
      <c r="Q193" s="250"/>
      <c r="R193" s="250"/>
      <c r="S193" s="251"/>
      <c r="T193" s="199"/>
      <c r="U193" s="179"/>
      <c r="V193" s="249"/>
      <c r="W193" s="249"/>
      <c r="X193" s="152"/>
      <c r="Y193" s="153"/>
      <c r="Z193" s="153"/>
      <c r="AA193" s="154"/>
      <c r="AB193" s="247"/>
      <c r="AC193" s="252"/>
      <c r="AD193" s="252"/>
      <c r="AE193" s="252"/>
      <c r="AF193" s="252"/>
      <c r="AG193" s="252"/>
      <c r="AH193" s="252"/>
      <c r="AI193" s="252"/>
      <c r="AJ193" s="252"/>
      <c r="AK193" s="252"/>
      <c r="AL193" s="214"/>
      <c r="AM193" s="203"/>
      <c r="AN193" s="204"/>
      <c r="AO193" s="203"/>
      <c r="AP193" s="205"/>
      <c r="AQ193" s="206"/>
      <c r="AR193" s="253"/>
      <c r="AS193" s="254"/>
      <c r="AT193" s="255"/>
      <c r="AU193" s="256"/>
      <c r="AV193" s="257"/>
      <c r="AW193" s="214"/>
      <c r="AX193" s="212"/>
    </row>
    <row r="194" spans="1:50" s="290" customFormat="1" ht="18.75" x14ac:dyDescent="0.25">
      <c r="A194" s="291" t="s">
        <v>234</v>
      </c>
      <c r="B194" s="292"/>
      <c r="C194" s="293"/>
      <c r="D194" s="292"/>
      <c r="E194" s="292"/>
      <c r="F194" s="292"/>
      <c r="G194" s="292"/>
      <c r="H194" s="292"/>
      <c r="I194" s="292"/>
      <c r="J194" s="292"/>
      <c r="K194" s="292"/>
      <c r="L194" s="292"/>
      <c r="M194" s="292"/>
      <c r="N194" s="292"/>
      <c r="O194" s="292"/>
      <c r="P194" s="292"/>
      <c r="Q194" s="292"/>
      <c r="R194" s="294"/>
      <c r="S194" s="292"/>
      <c r="T194" s="292"/>
      <c r="U194" s="292"/>
      <c r="V194" s="292"/>
      <c r="W194" s="292"/>
      <c r="X194" s="292"/>
      <c r="Y194" s="295"/>
      <c r="Z194" s="296"/>
      <c r="AA194" s="116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7"/>
      <c r="AL194" s="117"/>
      <c r="AM194" s="297"/>
      <c r="AN194" s="292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</row>
    <row r="195" spans="1:50" s="139" customFormat="1" ht="11.25" x14ac:dyDescent="0.25">
      <c r="A195" s="120"/>
      <c r="B195" s="258" t="s">
        <v>235</v>
      </c>
      <c r="C195" s="122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213"/>
      <c r="P195" s="76"/>
      <c r="Q195" s="108"/>
      <c r="R195" s="108"/>
      <c r="S195" s="94"/>
      <c r="T195" s="199"/>
      <c r="U195" s="179"/>
      <c r="V195" s="180"/>
      <c r="W195" s="180"/>
      <c r="X195" s="214"/>
      <c r="Y195" s="181"/>
      <c r="Z195" s="181"/>
      <c r="AA195" s="182"/>
      <c r="AB195" s="62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125"/>
      <c r="AM195" s="75"/>
      <c r="AN195" s="216"/>
      <c r="AO195" s="75"/>
      <c r="AP195" s="51"/>
      <c r="AQ195" s="259"/>
      <c r="AR195" s="583"/>
      <c r="AS195" s="584"/>
      <c r="AT195" s="220"/>
      <c r="AU195" s="135"/>
      <c r="AV195" s="136"/>
      <c r="AW195" s="137"/>
      <c r="AX195" s="138"/>
    </row>
    <row r="196" spans="1:50" ht="11.25" x14ac:dyDescent="0.2">
      <c r="A196" s="140">
        <v>1</v>
      </c>
      <c r="B196" s="299" t="s">
        <v>236</v>
      </c>
      <c r="C196" s="300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>
        <v>496120</v>
      </c>
      <c r="N196" s="301">
        <v>501149</v>
      </c>
      <c r="O196" s="237"/>
      <c r="P196" s="223">
        <f t="shared" ref="P196:P209" si="134">MAX(C196:O196)</f>
        <v>501149</v>
      </c>
      <c r="Q196" s="147">
        <f>P196*$Q$7</f>
        <v>73167.754000000001</v>
      </c>
      <c r="R196" s="147">
        <f t="shared" ref="R196:R209" si="135">Q196/$R$3</f>
        <v>200.45959999999999</v>
      </c>
      <c r="S196" s="148">
        <f>R196*$S$3*$S$7</f>
        <v>51217.427799999998</v>
      </c>
      <c r="T196" s="199"/>
      <c r="U196" s="150"/>
      <c r="V196" s="249"/>
      <c r="W196" s="249"/>
      <c r="X196" s="152"/>
      <c r="Y196" s="153"/>
      <c r="Z196" s="153"/>
      <c r="AA196" s="154"/>
      <c r="AB196" s="155">
        <f>S196*$AB$3</f>
        <v>29706.108123999995</v>
      </c>
      <c r="AC196" s="156">
        <f>S196*$AC$3</f>
        <v>6658.2656139999999</v>
      </c>
      <c r="AD196" s="156">
        <f>S196*$AD$3</f>
        <v>4494.3292894499991</v>
      </c>
      <c r="AE196" s="156">
        <f>S196*$AE$3</f>
        <v>2048.6971119999998</v>
      </c>
      <c r="AF196" s="156">
        <f>S196*$AF$3</f>
        <v>1024.3485559999999</v>
      </c>
      <c r="AG196" s="156">
        <f>S196*$AG$3</f>
        <v>1024.3485559999999</v>
      </c>
      <c r="AH196" s="156">
        <f>S196*$AH$3</f>
        <v>512.17427799999996</v>
      </c>
      <c r="AI196" s="156">
        <f>S196*$AI$3</f>
        <v>1024.3485559999999</v>
      </c>
      <c r="AJ196" s="156">
        <f>S196*$AJ$3</f>
        <v>1024.3485559999999</v>
      </c>
      <c r="AK196" s="156">
        <f>S196*$AK$3</f>
        <v>3585.2199460000002</v>
      </c>
      <c r="AL196" s="157">
        <f t="shared" ref="AL196:AL209" si="136">SUM(AC196:AH196)</f>
        <v>15762.163405450001</v>
      </c>
      <c r="AM196" s="158">
        <f t="shared" ref="AM196:AM209" si="137">$AM$3</f>
        <v>2200</v>
      </c>
      <c r="AN196" s="159">
        <v>0.2</v>
      </c>
      <c r="AO196" s="160">
        <f t="shared" ref="AO196:AO209" si="138">(AB196+AL196)*AM196*$AO$3</f>
        <v>418806430.32690275</v>
      </c>
      <c r="AP196" s="161">
        <f t="shared" ref="AP196:AP209" si="139">AO196*$AP$3</f>
        <v>116335.12884206032</v>
      </c>
      <c r="AQ196" s="162">
        <f t="shared" ref="AQ196:AQ209" si="140">AP196*$AQ$3</f>
        <v>23267.025768412066</v>
      </c>
      <c r="AR196" s="580">
        <f t="shared" ref="AR196:AR209" si="141">AQ196/$AR$3</f>
        <v>3.3200664623875666</v>
      </c>
      <c r="AS196" s="582">
        <f t="shared" ref="AS196:AS209" si="142">AR196</f>
        <v>3.3200664623875666</v>
      </c>
      <c r="AT196" s="165"/>
      <c r="AU196" s="166"/>
      <c r="AV196" s="167"/>
      <c r="AW196" s="146"/>
      <c r="AX196" s="168"/>
    </row>
    <row r="197" spans="1:50" ht="11.25" x14ac:dyDescent="0.2">
      <c r="A197" s="140">
        <v>2</v>
      </c>
      <c r="B197" s="299" t="s">
        <v>237</v>
      </c>
      <c r="C197" s="300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>
        <v>215277</v>
      </c>
      <c r="N197" s="301">
        <v>220067</v>
      </c>
      <c r="O197" s="237"/>
      <c r="P197" s="223">
        <f t="shared" si="134"/>
        <v>220067</v>
      </c>
      <c r="Q197" s="147">
        <f t="shared" ref="Q197:Q206" si="143">P197*$Q$8</f>
        <v>24207.37</v>
      </c>
      <c r="R197" s="147">
        <f t="shared" si="135"/>
        <v>66.321561643835608</v>
      </c>
      <c r="S197" s="148">
        <f t="shared" ref="S197:S206" si="144">R197*$S$3*$S$8</f>
        <v>14524.421999999997</v>
      </c>
      <c r="T197" s="199"/>
      <c r="U197" s="150"/>
      <c r="V197" s="249"/>
      <c r="W197" s="249"/>
      <c r="X197" s="152"/>
      <c r="Y197" s="153"/>
      <c r="Z197" s="153"/>
      <c r="AA197" s="154"/>
      <c r="AB197" s="155">
        <f>S197*$AB$3</f>
        <v>8424.1647599999978</v>
      </c>
      <c r="AC197" s="156">
        <f>S197*$AC$3</f>
        <v>1888.1748599999996</v>
      </c>
      <c r="AD197" s="156">
        <f>S197*$AD$3</f>
        <v>1274.5180304999997</v>
      </c>
      <c r="AE197" s="156">
        <f>S197*$AE$3</f>
        <v>580.97687999999994</v>
      </c>
      <c r="AF197" s="156">
        <f>S197*$AF$3</f>
        <v>290.48843999999997</v>
      </c>
      <c r="AG197" s="156">
        <f>S197*$AG$3</f>
        <v>290.48843999999997</v>
      </c>
      <c r="AH197" s="156">
        <f>S197*$AH$3</f>
        <v>145.24421999999998</v>
      </c>
      <c r="AI197" s="156">
        <f>S197*$AI$3</f>
        <v>290.48843999999997</v>
      </c>
      <c r="AJ197" s="156">
        <f>S197*$AJ$3</f>
        <v>290.48843999999997</v>
      </c>
      <c r="AK197" s="156">
        <f>S197*$AK$3</f>
        <v>1016.7095399999998</v>
      </c>
      <c r="AL197" s="157">
        <f t="shared" si="136"/>
        <v>4469.8908704999994</v>
      </c>
      <c r="AM197" s="158">
        <f t="shared" si="137"/>
        <v>2200</v>
      </c>
      <c r="AN197" s="159">
        <v>0.2</v>
      </c>
      <c r="AO197" s="160">
        <f t="shared" si="138"/>
        <v>118766630.65031025</v>
      </c>
      <c r="AP197" s="161">
        <f t="shared" si="139"/>
        <v>32990.733375455748</v>
      </c>
      <c r="AQ197" s="162">
        <f t="shared" si="140"/>
        <v>6598.1466750911495</v>
      </c>
      <c r="AR197" s="580">
        <f t="shared" si="141"/>
        <v>0.94151636345478729</v>
      </c>
      <c r="AS197" s="582">
        <f t="shared" si="142"/>
        <v>0.94151636345478729</v>
      </c>
      <c r="AT197" s="165"/>
      <c r="AU197" s="166"/>
      <c r="AV197" s="167"/>
      <c r="AW197" s="146"/>
      <c r="AX197" s="168"/>
    </row>
    <row r="198" spans="1:50" ht="11.25" x14ac:dyDescent="0.2">
      <c r="A198" s="140">
        <v>3</v>
      </c>
      <c r="B198" s="299" t="s">
        <v>238</v>
      </c>
      <c r="C198" s="300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>
        <v>329649</v>
      </c>
      <c r="N198" s="301">
        <v>335452</v>
      </c>
      <c r="O198" s="237"/>
      <c r="P198" s="223">
        <f t="shared" si="134"/>
        <v>335452</v>
      </c>
      <c r="Q198" s="147">
        <f t="shared" si="143"/>
        <v>36899.72</v>
      </c>
      <c r="R198" s="147">
        <f t="shared" si="135"/>
        <v>101.09512328767124</v>
      </c>
      <c r="S198" s="148">
        <f t="shared" si="144"/>
        <v>22139.831999999999</v>
      </c>
      <c r="T198" s="199"/>
      <c r="U198" s="150"/>
      <c r="V198" s="249"/>
      <c r="W198" s="249"/>
      <c r="X198" s="152"/>
      <c r="Y198" s="153"/>
      <c r="Z198" s="153"/>
      <c r="AA198" s="154"/>
      <c r="AB198" s="155">
        <f>S198*$AB$3</f>
        <v>12841.102559999998</v>
      </c>
      <c r="AC198" s="156">
        <f>S198*$AC$3</f>
        <v>2878.1781599999999</v>
      </c>
      <c r="AD198" s="156">
        <f>S198*$AD$3</f>
        <v>1942.7702579999998</v>
      </c>
      <c r="AE198" s="156">
        <f>S198*$AE$3</f>
        <v>885.59327999999994</v>
      </c>
      <c r="AF198" s="156">
        <f>S198*$AF$3</f>
        <v>442.79663999999997</v>
      </c>
      <c r="AG198" s="156">
        <f>S198*$AG$3</f>
        <v>442.79663999999997</v>
      </c>
      <c r="AH198" s="156">
        <f>S198*$AH$3</f>
        <v>221.39831999999998</v>
      </c>
      <c r="AI198" s="156">
        <f>S198*$AI$3</f>
        <v>442.79663999999997</v>
      </c>
      <c r="AJ198" s="156">
        <f>S198*$AJ$3</f>
        <v>442.79663999999997</v>
      </c>
      <c r="AK198" s="156">
        <f>S198*$AK$3</f>
        <v>1549.7882400000001</v>
      </c>
      <c r="AL198" s="157">
        <f t="shared" si="136"/>
        <v>6813.5332979999994</v>
      </c>
      <c r="AM198" s="158">
        <f t="shared" si="137"/>
        <v>2200</v>
      </c>
      <c r="AN198" s="159">
        <v>0.2</v>
      </c>
      <c r="AO198" s="160">
        <f t="shared" si="138"/>
        <v>181038064.70260367</v>
      </c>
      <c r="AP198" s="161">
        <f t="shared" si="139"/>
        <v>50288.355329346901</v>
      </c>
      <c r="AQ198" s="162">
        <f t="shared" si="140"/>
        <v>10057.671065869381</v>
      </c>
      <c r="AR198" s="580">
        <f t="shared" si="141"/>
        <v>1.4351699580293067</v>
      </c>
      <c r="AS198" s="582">
        <f t="shared" si="142"/>
        <v>1.4351699580293067</v>
      </c>
      <c r="AT198" s="165"/>
      <c r="AU198" s="166"/>
      <c r="AV198" s="167"/>
      <c r="AW198" s="146"/>
      <c r="AX198" s="168"/>
    </row>
    <row r="199" spans="1:50" ht="11.25" x14ac:dyDescent="0.2">
      <c r="A199" s="140">
        <v>4</v>
      </c>
      <c r="B199" s="299" t="s">
        <v>239</v>
      </c>
      <c r="C199" s="300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>
        <v>234021</v>
      </c>
      <c r="N199" s="301">
        <v>237722</v>
      </c>
      <c r="O199" s="237"/>
      <c r="P199" s="223">
        <f t="shared" si="134"/>
        <v>237722</v>
      </c>
      <c r="Q199" s="147">
        <f t="shared" si="143"/>
        <v>26149.420000000002</v>
      </c>
      <c r="R199" s="147">
        <f t="shared" si="135"/>
        <v>71.642246575342469</v>
      </c>
      <c r="S199" s="148">
        <f t="shared" si="144"/>
        <v>15689.652</v>
      </c>
      <c r="T199" s="199"/>
      <c r="U199" s="150"/>
      <c r="V199" s="249"/>
      <c r="W199" s="249"/>
      <c r="X199" s="152"/>
      <c r="Y199" s="153"/>
      <c r="Z199" s="153"/>
      <c r="AA199" s="154"/>
      <c r="AB199" s="155">
        <f>S199*$AB$3</f>
        <v>9099.9981599999992</v>
      </c>
      <c r="AC199" s="156">
        <f>S199*$AC$3</f>
        <v>2039.6547600000001</v>
      </c>
      <c r="AD199" s="156">
        <f>S199*$AD$3</f>
        <v>1376.766963</v>
      </c>
      <c r="AE199" s="156">
        <f>S199*$AE$3</f>
        <v>627.58608000000004</v>
      </c>
      <c r="AF199" s="156">
        <f>S199*$AF$3</f>
        <v>313.79304000000002</v>
      </c>
      <c r="AG199" s="156">
        <f>S199*$AG$3</f>
        <v>313.79304000000002</v>
      </c>
      <c r="AH199" s="156">
        <f>S199*$AH$3</f>
        <v>156.89652000000001</v>
      </c>
      <c r="AI199" s="156">
        <f>S199*$AI$3</f>
        <v>313.79304000000002</v>
      </c>
      <c r="AJ199" s="156">
        <f>S199*$AJ$3</f>
        <v>313.79304000000002</v>
      </c>
      <c r="AK199" s="156">
        <f>S199*$AK$3</f>
        <v>1098.2756400000001</v>
      </c>
      <c r="AL199" s="157">
        <f t="shared" si="136"/>
        <v>4828.4904030000016</v>
      </c>
      <c r="AM199" s="158">
        <f t="shared" si="137"/>
        <v>2200</v>
      </c>
      <c r="AN199" s="159">
        <v>0.2</v>
      </c>
      <c r="AO199" s="160">
        <f t="shared" si="138"/>
        <v>128294751.01425049</v>
      </c>
      <c r="AP199" s="161">
        <f t="shared" si="139"/>
        <v>35637.43368828627</v>
      </c>
      <c r="AQ199" s="162">
        <f t="shared" si="140"/>
        <v>7127.4867376572547</v>
      </c>
      <c r="AR199" s="580">
        <f t="shared" si="141"/>
        <v>1.017050048181686</v>
      </c>
      <c r="AS199" s="582">
        <f t="shared" si="142"/>
        <v>1.017050048181686</v>
      </c>
      <c r="AT199" s="165"/>
      <c r="AU199" s="166"/>
      <c r="AV199" s="167"/>
      <c r="AW199" s="146"/>
      <c r="AX199" s="168"/>
    </row>
    <row r="200" spans="1:50" ht="11.25" x14ac:dyDescent="0.2">
      <c r="A200" s="140">
        <v>5</v>
      </c>
      <c r="B200" s="299" t="s">
        <v>240</v>
      </c>
      <c r="C200" s="300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>
        <v>408468</v>
      </c>
      <c r="N200" s="301">
        <v>415955</v>
      </c>
      <c r="O200" s="237"/>
      <c r="P200" s="223">
        <f t="shared" si="134"/>
        <v>415955</v>
      </c>
      <c r="Q200" s="147">
        <f t="shared" si="143"/>
        <v>45755.05</v>
      </c>
      <c r="R200" s="147">
        <f t="shared" si="135"/>
        <v>125.35630136986302</v>
      </c>
      <c r="S200" s="148">
        <f t="shared" si="144"/>
        <v>27453.030000000002</v>
      </c>
      <c r="T200" s="199"/>
      <c r="U200" s="150"/>
      <c r="V200" s="249"/>
      <c r="W200" s="249"/>
      <c r="X200" s="152"/>
      <c r="Y200" s="153"/>
      <c r="Z200" s="153"/>
      <c r="AA200" s="154"/>
      <c r="AB200" s="155">
        <f>S200*$AB$3</f>
        <v>15922.7574</v>
      </c>
      <c r="AC200" s="156">
        <f>S200*$AC$3</f>
        <v>3568.8939000000005</v>
      </c>
      <c r="AD200" s="156">
        <f>S200*$AD$3</f>
        <v>2409.0033825</v>
      </c>
      <c r="AE200" s="156">
        <f>S200*$AE$3</f>
        <v>1098.1212</v>
      </c>
      <c r="AF200" s="156">
        <f>S200*$AF$3</f>
        <v>549.06060000000002</v>
      </c>
      <c r="AG200" s="156">
        <f>S200*$AG$3</f>
        <v>549.06060000000002</v>
      </c>
      <c r="AH200" s="156">
        <f>S200*$AH$3</f>
        <v>274.53030000000001</v>
      </c>
      <c r="AI200" s="156">
        <f>S200*$AI$3</f>
        <v>549.06060000000002</v>
      </c>
      <c r="AJ200" s="156">
        <f>S200*$AJ$3</f>
        <v>549.06060000000002</v>
      </c>
      <c r="AK200" s="156">
        <f>S200*$AK$3</f>
        <v>1921.7121000000004</v>
      </c>
      <c r="AL200" s="157">
        <f t="shared" si="136"/>
        <v>8448.6699824999996</v>
      </c>
      <c r="AM200" s="158">
        <f t="shared" si="137"/>
        <v>2200</v>
      </c>
      <c r="AN200" s="159">
        <v>0.2</v>
      </c>
      <c r="AO200" s="160">
        <f t="shared" si="138"/>
        <v>224484242.76311219</v>
      </c>
      <c r="AP200" s="161">
        <f t="shared" si="139"/>
        <v>62356.739089403221</v>
      </c>
      <c r="AQ200" s="162">
        <f t="shared" si="140"/>
        <v>12471.347817880645</v>
      </c>
      <c r="AR200" s="580">
        <f t="shared" si="141"/>
        <v>1.7795873027797724</v>
      </c>
      <c r="AS200" s="582">
        <f t="shared" si="142"/>
        <v>1.7795873027797724</v>
      </c>
      <c r="AT200" s="165"/>
      <c r="AU200" s="166"/>
      <c r="AV200" s="167"/>
      <c r="AW200" s="146"/>
      <c r="AX200" s="168"/>
    </row>
    <row r="201" spans="1:50" ht="11.25" x14ac:dyDescent="0.2">
      <c r="A201" s="140">
        <v>6</v>
      </c>
      <c r="B201" s="299" t="s">
        <v>241</v>
      </c>
      <c r="C201" s="300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>
        <v>427460</v>
      </c>
      <c r="N201" s="301">
        <v>437613</v>
      </c>
      <c r="O201" s="237"/>
      <c r="P201" s="223">
        <f t="shared" si="134"/>
        <v>437613</v>
      </c>
      <c r="Q201" s="147">
        <f t="shared" si="143"/>
        <v>48137.43</v>
      </c>
      <c r="R201" s="147">
        <f t="shared" si="135"/>
        <v>131.88336986301371</v>
      </c>
      <c r="S201" s="148">
        <f t="shared" si="144"/>
        <v>28882.458000000002</v>
      </c>
      <c r="T201" s="199"/>
      <c r="U201" s="150"/>
      <c r="V201" s="249"/>
      <c r="W201" s="249"/>
      <c r="X201" s="152"/>
      <c r="Y201" s="153"/>
      <c r="Z201" s="153"/>
      <c r="AA201" s="154"/>
      <c r="AB201" s="155">
        <f>S201*$AB$3</f>
        <v>16751.825639999999</v>
      </c>
      <c r="AC201" s="156">
        <f>S201*$AC$3</f>
        <v>3754.7195400000005</v>
      </c>
      <c r="AD201" s="156">
        <f>S201*$AD$3</f>
        <v>2534.4356895000001</v>
      </c>
      <c r="AE201" s="156">
        <f>S201*$AE$3</f>
        <v>1155.2983200000001</v>
      </c>
      <c r="AF201" s="156">
        <f>S201*$AF$3</f>
        <v>577.64916000000005</v>
      </c>
      <c r="AG201" s="156">
        <f>S201*$AG$3</f>
        <v>577.64916000000005</v>
      </c>
      <c r="AH201" s="156">
        <f>S201*$AH$3</f>
        <v>288.82458000000003</v>
      </c>
      <c r="AI201" s="156">
        <f>S201*$AI$3</f>
        <v>577.64916000000005</v>
      </c>
      <c r="AJ201" s="156">
        <f>S201*$AJ$3</f>
        <v>577.64916000000005</v>
      </c>
      <c r="AK201" s="156">
        <f>S201*$AK$3</f>
        <v>2021.7720600000005</v>
      </c>
      <c r="AL201" s="157">
        <f t="shared" si="136"/>
        <v>8888.5764495000003</v>
      </c>
      <c r="AM201" s="158">
        <f t="shared" si="137"/>
        <v>2200</v>
      </c>
      <c r="AN201" s="159">
        <v>0.2</v>
      </c>
      <c r="AO201" s="160">
        <f t="shared" si="138"/>
        <v>236172718.03030092</v>
      </c>
      <c r="AP201" s="161">
        <f t="shared" si="139"/>
        <v>65603.538034477315</v>
      </c>
      <c r="AQ201" s="162">
        <f t="shared" si="140"/>
        <v>13120.707606895463</v>
      </c>
      <c r="AR201" s="580">
        <f t="shared" si="141"/>
        <v>1.8722470900250374</v>
      </c>
      <c r="AS201" s="582">
        <f t="shared" si="142"/>
        <v>1.8722470900250374</v>
      </c>
      <c r="AT201" s="165"/>
      <c r="AU201" s="166"/>
      <c r="AV201" s="167"/>
      <c r="AW201" s="146"/>
      <c r="AX201" s="168"/>
    </row>
    <row r="202" spans="1:50" ht="11.25" x14ac:dyDescent="0.2">
      <c r="A202" s="140">
        <v>7</v>
      </c>
      <c r="B202" s="299" t="s">
        <v>242</v>
      </c>
      <c r="C202" s="300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>
        <v>364759</v>
      </c>
      <c r="N202" s="301">
        <v>371322</v>
      </c>
      <c r="O202" s="237"/>
      <c r="P202" s="223">
        <f t="shared" si="134"/>
        <v>371322</v>
      </c>
      <c r="Q202" s="147">
        <f t="shared" si="143"/>
        <v>40845.42</v>
      </c>
      <c r="R202" s="147">
        <f t="shared" si="135"/>
        <v>111.9052602739726</v>
      </c>
      <c r="S202" s="148">
        <f t="shared" si="144"/>
        <v>24507.251999999997</v>
      </c>
      <c r="T202" s="199"/>
      <c r="U202" s="150"/>
      <c r="V202" s="249"/>
      <c r="W202" s="249"/>
      <c r="X202" s="152"/>
      <c r="Y202" s="153"/>
      <c r="Z202" s="153"/>
      <c r="AA202" s="154"/>
      <c r="AB202" s="155">
        <f>S202*$AB$3</f>
        <v>14214.206159999998</v>
      </c>
      <c r="AC202" s="156">
        <f>S202*$AC$3</f>
        <v>3185.9427599999999</v>
      </c>
      <c r="AD202" s="156">
        <f>S202*$AD$3</f>
        <v>2150.5113629999996</v>
      </c>
      <c r="AE202" s="156">
        <f>S202*$AE$3</f>
        <v>980.29007999999988</v>
      </c>
      <c r="AF202" s="156">
        <f>S202*$AF$3</f>
        <v>490.14503999999994</v>
      </c>
      <c r="AG202" s="156">
        <f>S202*$AG$3</f>
        <v>490.14503999999994</v>
      </c>
      <c r="AH202" s="156">
        <f>S202*$AH$3</f>
        <v>245.07251999999997</v>
      </c>
      <c r="AI202" s="156">
        <f>S202*$AI$3</f>
        <v>490.14503999999994</v>
      </c>
      <c r="AJ202" s="156">
        <f>S202*$AJ$3</f>
        <v>490.14503999999994</v>
      </c>
      <c r="AK202" s="156">
        <f>S202*$AK$3</f>
        <v>1715.50764</v>
      </c>
      <c r="AL202" s="157">
        <f t="shared" si="136"/>
        <v>7542.1068029999997</v>
      </c>
      <c r="AM202" s="158">
        <f t="shared" si="137"/>
        <v>2200</v>
      </c>
      <c r="AN202" s="159">
        <v>0.2</v>
      </c>
      <c r="AO202" s="160">
        <f t="shared" si="138"/>
        <v>200396528.44967446</v>
      </c>
      <c r="AP202" s="161">
        <f t="shared" si="139"/>
        <v>55665.706800387983</v>
      </c>
      <c r="AQ202" s="162">
        <f t="shared" si="140"/>
        <v>11133.141360077598</v>
      </c>
      <c r="AR202" s="580">
        <f t="shared" si="141"/>
        <v>1.5886331849425797</v>
      </c>
      <c r="AS202" s="582">
        <f t="shared" si="142"/>
        <v>1.5886331849425797</v>
      </c>
      <c r="AT202" s="165"/>
      <c r="AU202" s="166"/>
      <c r="AV202" s="167"/>
      <c r="AW202" s="146"/>
      <c r="AX202" s="168"/>
    </row>
    <row r="203" spans="1:50" ht="11.25" x14ac:dyDescent="0.2">
      <c r="A203" s="140">
        <v>8</v>
      </c>
      <c r="B203" s="299" t="s">
        <v>243</v>
      </c>
      <c r="C203" s="300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>
        <v>222160</v>
      </c>
      <c r="N203" s="301">
        <v>227067</v>
      </c>
      <c r="O203" s="237"/>
      <c r="P203" s="223">
        <f t="shared" si="134"/>
        <v>227067</v>
      </c>
      <c r="Q203" s="147">
        <f t="shared" si="143"/>
        <v>24977.37</v>
      </c>
      <c r="R203" s="147">
        <f t="shared" si="135"/>
        <v>68.431150684931509</v>
      </c>
      <c r="S203" s="148">
        <f t="shared" si="144"/>
        <v>14986.422</v>
      </c>
      <c r="T203" s="199"/>
      <c r="U203" s="150"/>
      <c r="V203" s="249"/>
      <c r="W203" s="249"/>
      <c r="X203" s="152"/>
      <c r="Y203" s="153"/>
      <c r="Z203" s="153"/>
      <c r="AA203" s="154"/>
      <c r="AB203" s="155">
        <f>S203*$AB$3</f>
        <v>8692.1247599999988</v>
      </c>
      <c r="AC203" s="156">
        <f>S203*$AC$3</f>
        <v>1948.23486</v>
      </c>
      <c r="AD203" s="156">
        <f>S203*$AD$3</f>
        <v>1315.0585305</v>
      </c>
      <c r="AE203" s="156">
        <f>S203*$AE$3</f>
        <v>599.45688000000007</v>
      </c>
      <c r="AF203" s="156">
        <f>S203*$AF$3</f>
        <v>299.72844000000003</v>
      </c>
      <c r="AG203" s="156">
        <f>S203*$AG$3</f>
        <v>299.72844000000003</v>
      </c>
      <c r="AH203" s="156">
        <f>S203*$AH$3</f>
        <v>149.86422000000002</v>
      </c>
      <c r="AI203" s="156">
        <f>S203*$AI$3</f>
        <v>299.72844000000003</v>
      </c>
      <c r="AJ203" s="156">
        <f>S203*$AJ$3</f>
        <v>299.72844000000003</v>
      </c>
      <c r="AK203" s="156">
        <f>S203*$AK$3</f>
        <v>1049.0495400000002</v>
      </c>
      <c r="AL203" s="157">
        <f t="shared" si="136"/>
        <v>4612.0713705000007</v>
      </c>
      <c r="AM203" s="158">
        <f t="shared" si="137"/>
        <v>2200</v>
      </c>
      <c r="AN203" s="159">
        <v>0.2</v>
      </c>
      <c r="AO203" s="160">
        <f t="shared" si="138"/>
        <v>122544418.39019029</v>
      </c>
      <c r="AP203" s="161">
        <f t="shared" si="139"/>
        <v>34040.118942706598</v>
      </c>
      <c r="AQ203" s="162">
        <f t="shared" si="140"/>
        <v>6808.0237885413198</v>
      </c>
      <c r="AR203" s="580">
        <f t="shared" si="141"/>
        <v>0.97146458169824768</v>
      </c>
      <c r="AS203" s="582">
        <f t="shared" si="142"/>
        <v>0.97146458169824768</v>
      </c>
      <c r="AT203" s="165"/>
      <c r="AU203" s="166"/>
      <c r="AV203" s="167"/>
      <c r="AW203" s="146"/>
      <c r="AX203" s="168"/>
    </row>
    <row r="204" spans="1:50" ht="11.25" x14ac:dyDescent="0.2">
      <c r="A204" s="140">
        <v>9</v>
      </c>
      <c r="B204" s="299" t="s">
        <v>244</v>
      </c>
      <c r="C204" s="300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>
        <v>181634</v>
      </c>
      <c r="N204" s="301">
        <v>184103</v>
      </c>
      <c r="O204" s="237"/>
      <c r="P204" s="223">
        <f t="shared" si="134"/>
        <v>184103</v>
      </c>
      <c r="Q204" s="147">
        <f t="shared" si="143"/>
        <v>20251.330000000002</v>
      </c>
      <c r="R204" s="147">
        <f t="shared" si="135"/>
        <v>55.483095890410965</v>
      </c>
      <c r="S204" s="148">
        <f t="shared" si="144"/>
        <v>12150.798000000001</v>
      </c>
      <c r="T204" s="199"/>
      <c r="U204" s="150"/>
      <c r="V204" s="249"/>
      <c r="W204" s="249"/>
      <c r="X204" s="152"/>
      <c r="Y204" s="153"/>
      <c r="Z204" s="153"/>
      <c r="AA204" s="154"/>
      <c r="AB204" s="155">
        <f>S204*$AB$3</f>
        <v>7047.4628400000001</v>
      </c>
      <c r="AC204" s="156">
        <f>S204*$AC$3</f>
        <v>1579.6037400000002</v>
      </c>
      <c r="AD204" s="156">
        <f>S204*$AD$3</f>
        <v>1066.2325245</v>
      </c>
      <c r="AE204" s="156">
        <f>S204*$AE$3</f>
        <v>486.03192000000001</v>
      </c>
      <c r="AF204" s="156">
        <f>S204*$AF$3</f>
        <v>243.01596000000001</v>
      </c>
      <c r="AG204" s="156">
        <f>S204*$AG$3</f>
        <v>243.01596000000001</v>
      </c>
      <c r="AH204" s="156">
        <f>S204*$AH$3</f>
        <v>121.50798</v>
      </c>
      <c r="AI204" s="156">
        <f>S204*$AI$3</f>
        <v>243.01596000000001</v>
      </c>
      <c r="AJ204" s="156">
        <f>S204*$AJ$3</f>
        <v>243.01596000000001</v>
      </c>
      <c r="AK204" s="156">
        <f>S204*$AK$3</f>
        <v>850.55586000000017</v>
      </c>
      <c r="AL204" s="157">
        <f t="shared" si="136"/>
        <v>3739.4080845000003</v>
      </c>
      <c r="AM204" s="158">
        <f t="shared" si="137"/>
        <v>2200</v>
      </c>
      <c r="AN204" s="159">
        <v>0.2</v>
      </c>
      <c r="AO204" s="160">
        <f t="shared" si="138"/>
        <v>99357436.610732511</v>
      </c>
      <c r="AP204" s="161">
        <f t="shared" si="139"/>
        <v>27599.290155368733</v>
      </c>
      <c r="AQ204" s="162">
        <f t="shared" si="140"/>
        <v>5519.858031073747</v>
      </c>
      <c r="AR204" s="580">
        <f t="shared" si="141"/>
        <v>0.78765097475367396</v>
      </c>
      <c r="AS204" s="582">
        <f t="shared" si="142"/>
        <v>0.78765097475367396</v>
      </c>
      <c r="AT204" s="165"/>
      <c r="AU204" s="166"/>
      <c r="AV204" s="167"/>
      <c r="AW204" s="146"/>
      <c r="AX204" s="168"/>
    </row>
    <row r="205" spans="1:50" ht="11.25" x14ac:dyDescent="0.2">
      <c r="A205" s="140">
        <v>10</v>
      </c>
      <c r="B205" s="299" t="s">
        <v>245</v>
      </c>
      <c r="C205" s="300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>
        <v>178645</v>
      </c>
      <c r="N205" s="301">
        <v>182225</v>
      </c>
      <c r="O205" s="237"/>
      <c r="P205" s="223">
        <f t="shared" si="134"/>
        <v>182225</v>
      </c>
      <c r="Q205" s="147">
        <f t="shared" si="143"/>
        <v>20044.75</v>
      </c>
      <c r="R205" s="147">
        <f t="shared" si="135"/>
        <v>54.917123287671231</v>
      </c>
      <c r="S205" s="148">
        <f t="shared" si="144"/>
        <v>12026.85</v>
      </c>
      <c r="T205" s="199"/>
      <c r="U205" s="150"/>
      <c r="V205" s="249"/>
      <c r="W205" s="249"/>
      <c r="X205" s="152"/>
      <c r="Y205" s="153"/>
      <c r="Z205" s="153"/>
      <c r="AA205" s="154"/>
      <c r="AB205" s="155">
        <f>S205*$AB$3</f>
        <v>6975.5729999999994</v>
      </c>
      <c r="AC205" s="156">
        <f>S205*$AC$3</f>
        <v>1563.4905000000001</v>
      </c>
      <c r="AD205" s="156">
        <f>S205*$AD$3</f>
        <v>1055.3560875000001</v>
      </c>
      <c r="AE205" s="156">
        <f>S205*$AE$3</f>
        <v>481.07400000000001</v>
      </c>
      <c r="AF205" s="156">
        <f>S205*$AF$3</f>
        <v>240.53700000000001</v>
      </c>
      <c r="AG205" s="156">
        <f>S205*$AG$3</f>
        <v>240.53700000000001</v>
      </c>
      <c r="AH205" s="156">
        <f>S205*$AH$3</f>
        <v>120.2685</v>
      </c>
      <c r="AI205" s="156">
        <f>S205*$AI$3</f>
        <v>240.53700000000001</v>
      </c>
      <c r="AJ205" s="156">
        <f>S205*$AJ$3</f>
        <v>240.53700000000001</v>
      </c>
      <c r="AK205" s="156">
        <f>S205*$AK$3</f>
        <v>841.87950000000012</v>
      </c>
      <c r="AL205" s="157">
        <f t="shared" si="136"/>
        <v>3701.2630875</v>
      </c>
      <c r="AM205" s="158">
        <f t="shared" si="137"/>
        <v>2200</v>
      </c>
      <c r="AN205" s="159">
        <v>0.2</v>
      </c>
      <c r="AO205" s="160">
        <f t="shared" si="138"/>
        <v>98343910.128518984</v>
      </c>
      <c r="AP205" s="161">
        <f t="shared" si="139"/>
        <v>27317.754998897719</v>
      </c>
      <c r="AQ205" s="162">
        <f t="shared" si="140"/>
        <v>5463.5509997795443</v>
      </c>
      <c r="AR205" s="580">
        <f t="shared" si="141"/>
        <v>0.77961629563064272</v>
      </c>
      <c r="AS205" s="582">
        <f t="shared" si="142"/>
        <v>0.77961629563064272</v>
      </c>
      <c r="AT205" s="165"/>
      <c r="AU205" s="166"/>
      <c r="AV205" s="167"/>
      <c r="AW205" s="146"/>
      <c r="AX205" s="168"/>
    </row>
    <row r="206" spans="1:50" ht="11.25" x14ac:dyDescent="0.2">
      <c r="A206" s="140">
        <v>11</v>
      </c>
      <c r="B206" s="299" t="s">
        <v>246</v>
      </c>
      <c r="C206" s="300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>
        <v>95594</v>
      </c>
      <c r="N206" s="301">
        <v>97643</v>
      </c>
      <c r="O206" s="237"/>
      <c r="P206" s="223">
        <f t="shared" si="134"/>
        <v>97643</v>
      </c>
      <c r="Q206" s="147">
        <f t="shared" si="143"/>
        <v>10740.73</v>
      </c>
      <c r="R206" s="147">
        <f t="shared" si="135"/>
        <v>29.426657534246573</v>
      </c>
      <c r="S206" s="148">
        <f t="shared" si="144"/>
        <v>6444.4379999999992</v>
      </c>
      <c r="T206" s="199"/>
      <c r="U206" s="150"/>
      <c r="V206" s="249"/>
      <c r="W206" s="249"/>
      <c r="X206" s="152"/>
      <c r="Y206" s="153"/>
      <c r="Z206" s="153"/>
      <c r="AA206" s="154"/>
      <c r="AB206" s="155">
        <f>S206*$AB$3</f>
        <v>3737.7740399999993</v>
      </c>
      <c r="AC206" s="156">
        <f>S206*$AC$3</f>
        <v>837.77693999999997</v>
      </c>
      <c r="AD206" s="156">
        <f>S206*$AD$3</f>
        <v>565.49943449999989</v>
      </c>
      <c r="AE206" s="156">
        <f>S206*$AE$3</f>
        <v>257.77751999999998</v>
      </c>
      <c r="AF206" s="156">
        <f>S206*$AF$3</f>
        <v>128.88875999999999</v>
      </c>
      <c r="AG206" s="156">
        <f>S206*$AG$3</f>
        <v>128.88875999999999</v>
      </c>
      <c r="AH206" s="156">
        <f>S206*$AH$3</f>
        <v>64.444379999999995</v>
      </c>
      <c r="AI206" s="156">
        <f>S206*$AI$3</f>
        <v>128.88875999999999</v>
      </c>
      <c r="AJ206" s="156">
        <f>S206*$AJ$3</f>
        <v>128.88875999999999</v>
      </c>
      <c r="AK206" s="156">
        <f>S206*$AK$3</f>
        <v>451.11066</v>
      </c>
      <c r="AL206" s="157">
        <f t="shared" si="136"/>
        <v>1983.2757944999998</v>
      </c>
      <c r="AM206" s="158">
        <f t="shared" si="137"/>
        <v>2200</v>
      </c>
      <c r="AN206" s="159">
        <v>0.2</v>
      </c>
      <c r="AO206" s="160">
        <f t="shared" si="138"/>
        <v>52696361.183586121</v>
      </c>
      <c r="AP206" s="161">
        <f t="shared" si="139"/>
        <v>14637.879277581949</v>
      </c>
      <c r="AQ206" s="162">
        <f t="shared" si="140"/>
        <v>2927.5758555163902</v>
      </c>
      <c r="AR206" s="580">
        <f t="shared" si="141"/>
        <v>0.41774769627802372</v>
      </c>
      <c r="AS206" s="582">
        <f t="shared" si="142"/>
        <v>0.41774769627802372</v>
      </c>
      <c r="AT206" s="165"/>
      <c r="AU206" s="166"/>
      <c r="AV206" s="167"/>
      <c r="AW206" s="146"/>
      <c r="AX206" s="168"/>
    </row>
    <row r="207" spans="1:50" ht="11.25" x14ac:dyDescent="0.2">
      <c r="A207" s="140">
        <v>12</v>
      </c>
      <c r="B207" s="299" t="s">
        <v>247</v>
      </c>
      <c r="C207" s="300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>
        <v>500970</v>
      </c>
      <c r="N207" s="301">
        <v>510373</v>
      </c>
      <c r="O207" s="237"/>
      <c r="P207" s="223">
        <f t="shared" si="134"/>
        <v>510373</v>
      </c>
      <c r="Q207" s="147">
        <f>P207*$Q$7</f>
        <v>74514.457999999999</v>
      </c>
      <c r="R207" s="147">
        <f t="shared" si="135"/>
        <v>204.14920000000001</v>
      </c>
      <c r="S207" s="148">
        <f>R207*$S$3*$S$7</f>
        <v>52160.120599999995</v>
      </c>
      <c r="T207" s="199"/>
      <c r="U207" s="150"/>
      <c r="V207" s="249"/>
      <c r="W207" s="249"/>
      <c r="X207" s="152"/>
      <c r="Y207" s="153"/>
      <c r="Z207" s="153"/>
      <c r="AA207" s="154"/>
      <c r="AB207" s="155">
        <f>S207*$AB$3</f>
        <v>30252.869947999996</v>
      </c>
      <c r="AC207" s="156">
        <f>S207*$AC$3</f>
        <v>6780.8156779999999</v>
      </c>
      <c r="AD207" s="156">
        <f>S207*$AD$3</f>
        <v>4577.0505826499993</v>
      </c>
      <c r="AE207" s="156">
        <f>S207*$AE$3</f>
        <v>2086.4048239999997</v>
      </c>
      <c r="AF207" s="156">
        <f>S207*$AF$3</f>
        <v>1043.2024119999999</v>
      </c>
      <c r="AG207" s="156">
        <f>S207*$AG$3</f>
        <v>1043.2024119999999</v>
      </c>
      <c r="AH207" s="156">
        <f>S207*$AH$3</f>
        <v>521.60120599999993</v>
      </c>
      <c r="AI207" s="156">
        <f>S207*$AI$3</f>
        <v>1043.2024119999999</v>
      </c>
      <c r="AJ207" s="156">
        <f>S207*$AJ$3</f>
        <v>1043.2024119999999</v>
      </c>
      <c r="AK207" s="156">
        <f>S207*$AK$3</f>
        <v>3651.2084420000001</v>
      </c>
      <c r="AL207" s="157">
        <f t="shared" si="136"/>
        <v>16052.27711465</v>
      </c>
      <c r="AM207" s="158">
        <f t="shared" si="137"/>
        <v>2200</v>
      </c>
      <c r="AN207" s="159">
        <v>0.2</v>
      </c>
      <c r="AO207" s="160">
        <f t="shared" si="138"/>
        <v>426514857.38818657</v>
      </c>
      <c r="AP207" s="161">
        <f t="shared" si="139"/>
        <v>118476.35875260421</v>
      </c>
      <c r="AQ207" s="162">
        <f t="shared" si="140"/>
        <v>23695.271750520842</v>
      </c>
      <c r="AR207" s="580">
        <f t="shared" si="141"/>
        <v>3.3811746219350516</v>
      </c>
      <c r="AS207" s="582">
        <f t="shared" si="142"/>
        <v>3.3811746219350516</v>
      </c>
      <c r="AT207" s="165"/>
      <c r="AU207" s="166"/>
      <c r="AV207" s="167"/>
      <c r="AW207" s="146"/>
      <c r="AX207" s="168"/>
    </row>
    <row r="208" spans="1:50" ht="11.25" x14ac:dyDescent="0.2">
      <c r="A208" s="140">
        <v>13</v>
      </c>
      <c r="B208" s="299" t="s">
        <v>248</v>
      </c>
      <c r="C208" s="300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>
        <v>554764</v>
      </c>
      <c r="N208" s="301">
        <v>565856</v>
      </c>
      <c r="O208" s="237"/>
      <c r="P208" s="223">
        <f t="shared" si="134"/>
        <v>565856</v>
      </c>
      <c r="Q208" s="147">
        <f>P208*$Q$7</f>
        <v>82614.975999999995</v>
      </c>
      <c r="R208" s="147">
        <f t="shared" si="135"/>
        <v>226.3424</v>
      </c>
      <c r="S208" s="148">
        <f>R208*$S$3*$S$7</f>
        <v>57830.483199999995</v>
      </c>
      <c r="T208" s="199"/>
      <c r="U208" s="150"/>
      <c r="V208" s="249"/>
      <c r="W208" s="249"/>
      <c r="X208" s="152"/>
      <c r="Y208" s="153"/>
      <c r="Z208" s="153"/>
      <c r="AA208" s="154"/>
      <c r="AB208" s="155">
        <f>S208*$AB$3</f>
        <v>33541.680255999992</v>
      </c>
      <c r="AC208" s="156">
        <f>S208*$AC$3</f>
        <v>7517.9628159999993</v>
      </c>
      <c r="AD208" s="156">
        <f>S208*$AD$3</f>
        <v>5074.6249007999995</v>
      </c>
      <c r="AE208" s="156">
        <f>S208*$AE$3</f>
        <v>2313.2193279999997</v>
      </c>
      <c r="AF208" s="156">
        <f>S208*$AF$3</f>
        <v>1156.6096639999998</v>
      </c>
      <c r="AG208" s="156">
        <f>S208*$AG$3</f>
        <v>1156.6096639999998</v>
      </c>
      <c r="AH208" s="156">
        <f>S208*$AH$3</f>
        <v>578.30483199999992</v>
      </c>
      <c r="AI208" s="156">
        <f>S208*$AI$3</f>
        <v>1156.6096639999998</v>
      </c>
      <c r="AJ208" s="156">
        <f>S208*$AJ$3</f>
        <v>1156.6096639999998</v>
      </c>
      <c r="AK208" s="156">
        <f>S208*$AK$3</f>
        <v>4048.133824</v>
      </c>
      <c r="AL208" s="157">
        <f t="shared" si="136"/>
        <v>17797.331204800001</v>
      </c>
      <c r="AM208" s="158">
        <f t="shared" si="137"/>
        <v>2200</v>
      </c>
      <c r="AN208" s="159">
        <v>0.2</v>
      </c>
      <c r="AO208" s="160">
        <f t="shared" si="138"/>
        <v>472881581.00497031</v>
      </c>
      <c r="AP208" s="161">
        <f t="shared" si="139"/>
        <v>131356.00523208245</v>
      </c>
      <c r="AQ208" s="162">
        <f t="shared" si="140"/>
        <v>26271.201046416492</v>
      </c>
      <c r="AR208" s="580">
        <f t="shared" si="141"/>
        <v>3.748744441554865</v>
      </c>
      <c r="AS208" s="582">
        <f t="shared" si="142"/>
        <v>3.748744441554865</v>
      </c>
      <c r="AT208" s="165"/>
      <c r="AU208" s="166"/>
      <c r="AV208" s="167"/>
      <c r="AW208" s="146"/>
      <c r="AX208" s="168"/>
    </row>
    <row r="209" spans="1:50" ht="11.25" x14ac:dyDescent="0.2">
      <c r="A209" s="140">
        <v>14</v>
      </c>
      <c r="B209" s="299" t="s">
        <v>249</v>
      </c>
      <c r="C209" s="300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>
        <v>186462</v>
      </c>
      <c r="N209" s="301">
        <v>190801</v>
      </c>
      <c r="O209" s="237"/>
      <c r="P209" s="223">
        <f t="shared" si="134"/>
        <v>190801</v>
      </c>
      <c r="Q209" s="147">
        <f>P209*$Q$8</f>
        <v>20988.11</v>
      </c>
      <c r="R209" s="147">
        <f t="shared" si="135"/>
        <v>57.501671232876717</v>
      </c>
      <c r="S209" s="148">
        <f>R209*$S$3*$S$8</f>
        <v>12592.866</v>
      </c>
      <c r="T209" s="199"/>
      <c r="U209" s="150"/>
      <c r="V209" s="249"/>
      <c r="W209" s="249"/>
      <c r="X209" s="152"/>
      <c r="Y209" s="153"/>
      <c r="Z209" s="153"/>
      <c r="AA209" s="154"/>
      <c r="AB209" s="155">
        <f>S209*$AB$3</f>
        <v>7303.8622799999994</v>
      </c>
      <c r="AC209" s="156">
        <f>S209*$AC$3</f>
        <v>1637.07258</v>
      </c>
      <c r="AD209" s="156">
        <f>S209*$AD$3</f>
        <v>1105.0239915</v>
      </c>
      <c r="AE209" s="156">
        <f>S209*$AE$3</f>
        <v>503.71464000000003</v>
      </c>
      <c r="AF209" s="156">
        <f>S209*$AF$3</f>
        <v>251.85732000000002</v>
      </c>
      <c r="AG209" s="156">
        <f>S209*$AG$3</f>
        <v>251.85732000000002</v>
      </c>
      <c r="AH209" s="156">
        <f>S209*$AH$3</f>
        <v>125.92866000000001</v>
      </c>
      <c r="AI209" s="156">
        <f>S209*$AI$3</f>
        <v>251.85732000000002</v>
      </c>
      <c r="AJ209" s="156">
        <f>S209*$AJ$3</f>
        <v>251.85732000000002</v>
      </c>
      <c r="AK209" s="156">
        <f>S209*$AK$3</f>
        <v>881.50062000000003</v>
      </c>
      <c r="AL209" s="157">
        <f t="shared" si="136"/>
        <v>3875.4545115000005</v>
      </c>
      <c r="AM209" s="158">
        <f t="shared" si="137"/>
        <v>2200</v>
      </c>
      <c r="AN209" s="159">
        <v>0.2</v>
      </c>
      <c r="AO209" s="160">
        <f t="shared" si="138"/>
        <v>102972239.79383482</v>
      </c>
      <c r="AP209" s="161">
        <f t="shared" si="139"/>
        <v>28603.402231003889</v>
      </c>
      <c r="AQ209" s="162">
        <f t="shared" si="140"/>
        <v>5720.6804462007785</v>
      </c>
      <c r="AR209" s="580">
        <f t="shared" si="141"/>
        <v>0.8163071412957732</v>
      </c>
      <c r="AS209" s="582">
        <f t="shared" si="142"/>
        <v>0.8163071412957732</v>
      </c>
      <c r="AT209" s="165"/>
      <c r="AU209" s="166"/>
      <c r="AV209" s="167"/>
      <c r="AW209" s="146"/>
      <c r="AX209" s="168"/>
    </row>
    <row r="210" spans="1:50" s="263" customFormat="1" ht="11.25" x14ac:dyDescent="0.25">
      <c r="A210" s="225"/>
      <c r="B210" s="258" t="s">
        <v>250</v>
      </c>
      <c r="C210" s="240">
        <f>SUM(C196:C209)</f>
        <v>0</v>
      </c>
      <c r="D210" s="240">
        <f t="shared" ref="D210:AL210" si="145">SUM(D196:D209)</f>
        <v>0</v>
      </c>
      <c r="E210" s="240">
        <f t="shared" si="145"/>
        <v>0</v>
      </c>
      <c r="F210" s="240">
        <f t="shared" si="145"/>
        <v>0</v>
      </c>
      <c r="G210" s="240">
        <f t="shared" si="145"/>
        <v>0</v>
      </c>
      <c r="H210" s="240">
        <v>4052345</v>
      </c>
      <c r="I210" s="240">
        <f t="shared" si="145"/>
        <v>0</v>
      </c>
      <c r="J210" s="240">
        <f t="shared" si="145"/>
        <v>0</v>
      </c>
      <c r="K210" s="240">
        <f t="shared" si="145"/>
        <v>0</v>
      </c>
      <c r="L210" s="240">
        <f t="shared" si="145"/>
        <v>0</v>
      </c>
      <c r="M210" s="240">
        <f t="shared" si="145"/>
        <v>4395983</v>
      </c>
      <c r="N210" s="240">
        <f t="shared" si="145"/>
        <v>4477348</v>
      </c>
      <c r="O210" s="240">
        <f t="shared" si="145"/>
        <v>0</v>
      </c>
      <c r="P210" s="240">
        <f t="shared" si="145"/>
        <v>4477348</v>
      </c>
      <c r="Q210" s="240">
        <f t="shared" si="145"/>
        <v>549293.88799999992</v>
      </c>
      <c r="R210" s="240">
        <f t="shared" si="145"/>
        <v>1504.9147616438356</v>
      </c>
      <c r="S210" s="240">
        <f t="shared" si="145"/>
        <v>352606.05160000001</v>
      </c>
      <c r="T210" s="199">
        <f t="shared" si="145"/>
        <v>0</v>
      </c>
      <c r="U210" s="241"/>
      <c r="V210" s="242">
        <f t="shared" si="145"/>
        <v>0</v>
      </c>
      <c r="W210" s="242">
        <f>SUM(W196:W209)</f>
        <v>0</v>
      </c>
      <c r="X210" s="242">
        <f>SUM(X196:X209)</f>
        <v>0</v>
      </c>
      <c r="Y210" s="199"/>
      <c r="Z210" s="199"/>
      <c r="AA210" s="243"/>
      <c r="AB210" s="240">
        <f>SUM(AB196:AB209)</f>
        <v>204511.50992799998</v>
      </c>
      <c r="AC210" s="244">
        <f>SUM(AC196:AC209)</f>
        <v>45838.786708</v>
      </c>
      <c r="AD210" s="244">
        <f>SUM(AD196:AD209)</f>
        <v>30941.181027899998</v>
      </c>
      <c r="AE210" s="244">
        <f>SUM(AE196:AE209)</f>
        <v>14104.242063999998</v>
      </c>
      <c r="AF210" s="244">
        <f>SUM(AF196:AF209)</f>
        <v>7052.1210319999991</v>
      </c>
      <c r="AG210" s="244">
        <f t="shared" si="145"/>
        <v>7052.1210319999991</v>
      </c>
      <c r="AH210" s="244">
        <f>SUM(AH196:AH209)</f>
        <v>3526.0605159999996</v>
      </c>
      <c r="AI210" s="244">
        <f t="shared" si="145"/>
        <v>7052.1210319999991</v>
      </c>
      <c r="AJ210" s="244">
        <f t="shared" si="145"/>
        <v>7052.1210319999991</v>
      </c>
      <c r="AK210" s="244">
        <f t="shared" si="145"/>
        <v>24682.423612000002</v>
      </c>
      <c r="AL210" s="245">
        <f t="shared" si="145"/>
        <v>108514.51237990001</v>
      </c>
      <c r="AM210" s="158"/>
      <c r="AN210" s="183"/>
      <c r="AO210" s="160">
        <f>SUM(AO196:AO209)</f>
        <v>2883270170.4371748</v>
      </c>
      <c r="AP210" s="160">
        <f t="shared" ref="AP210:AW210" si="146">SUM(AP196:AP209)</f>
        <v>800908.44474966335</v>
      </c>
      <c r="AQ210" s="160">
        <f t="shared" si="146"/>
        <v>160181.68894993269</v>
      </c>
      <c r="AR210" s="186">
        <f t="shared" si="146"/>
        <v>22.856976162947017</v>
      </c>
      <c r="AS210" s="435">
        <f t="shared" si="146"/>
        <v>22.856976162947017</v>
      </c>
      <c r="AT210" s="187"/>
      <c r="AU210" s="246">
        <f t="shared" si="146"/>
        <v>0</v>
      </c>
      <c r="AV210" s="246"/>
      <c r="AW210" s="185">
        <f t="shared" si="146"/>
        <v>0</v>
      </c>
      <c r="AX210" s="189"/>
    </row>
    <row r="211" spans="1:50" s="139" customFormat="1" ht="11.25" x14ac:dyDescent="0.25">
      <c r="A211" s="247"/>
      <c r="B211" s="152"/>
      <c r="C211" s="247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248"/>
      <c r="P211" s="249"/>
      <c r="Q211" s="250"/>
      <c r="R211" s="250"/>
      <c r="S211" s="251"/>
      <c r="T211" s="199"/>
      <c r="U211" s="179"/>
      <c r="V211" s="249"/>
      <c r="W211" s="249"/>
      <c r="X211" s="152"/>
      <c r="Y211" s="153"/>
      <c r="Z211" s="153"/>
      <c r="AA211" s="154"/>
      <c r="AB211" s="247"/>
      <c r="AC211" s="252"/>
      <c r="AD211" s="252"/>
      <c r="AE211" s="252"/>
      <c r="AF211" s="252"/>
      <c r="AG211" s="252"/>
      <c r="AH211" s="252"/>
      <c r="AI211" s="252"/>
      <c r="AJ211" s="252"/>
      <c r="AK211" s="252"/>
      <c r="AL211" s="214"/>
      <c r="AM211" s="203"/>
      <c r="AN211" s="204"/>
      <c r="AO211" s="203"/>
      <c r="AP211" s="205"/>
      <c r="AQ211" s="206"/>
      <c r="AR211" s="253"/>
      <c r="AS211" s="254"/>
      <c r="AT211" s="255"/>
      <c r="AU211" s="256"/>
      <c r="AV211" s="257"/>
      <c r="AW211" s="214"/>
      <c r="AX211" s="212"/>
    </row>
    <row r="212" spans="1:50" s="139" customFormat="1" ht="11.25" x14ac:dyDescent="0.25">
      <c r="A212" s="120"/>
      <c r="B212" s="258" t="s">
        <v>251</v>
      </c>
      <c r="C212" s="122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213"/>
      <c r="P212" s="76"/>
      <c r="Q212" s="108"/>
      <c r="R212" s="108"/>
      <c r="S212" s="94"/>
      <c r="T212" s="199"/>
      <c r="U212" s="179"/>
      <c r="V212" s="180"/>
      <c r="W212" s="180"/>
      <c r="X212" s="214"/>
      <c r="Y212" s="181"/>
      <c r="Z212" s="181"/>
      <c r="AA212" s="182"/>
      <c r="AB212" s="62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125"/>
      <c r="AM212" s="75"/>
      <c r="AN212" s="216"/>
      <c r="AO212" s="75"/>
      <c r="AP212" s="51"/>
      <c r="AQ212" s="259"/>
      <c r="AR212" s="583"/>
      <c r="AS212" s="584"/>
      <c r="AT212" s="587"/>
      <c r="AU212" s="135"/>
      <c r="AV212" s="136"/>
      <c r="AW212" s="137"/>
      <c r="AX212" s="138"/>
    </row>
    <row r="213" spans="1:50" ht="11.25" x14ac:dyDescent="0.25">
      <c r="A213" s="140">
        <v>1</v>
      </c>
      <c r="B213" s="302" t="s">
        <v>252</v>
      </c>
      <c r="C213" s="235"/>
      <c r="D213" s="236"/>
      <c r="E213" s="236"/>
      <c r="F213" s="236"/>
      <c r="G213" s="236"/>
      <c r="H213" s="236"/>
      <c r="I213" s="236"/>
      <c r="J213" s="236">
        <f>($K$227/$J$227)*K213</f>
        <v>255277.16611382645</v>
      </c>
      <c r="K213" s="236">
        <f>($L$227/$K$227)*L213</f>
        <v>245070.28296532368</v>
      </c>
      <c r="L213" s="236">
        <f>($M$227/$L$227)*M213</f>
        <v>239364.57441166212</v>
      </c>
      <c r="M213" s="236">
        <f>($M$227/$N$227)*N213</f>
        <v>236290.17100483048</v>
      </c>
      <c r="N213" s="236">
        <v>239753</v>
      </c>
      <c r="O213" s="237"/>
      <c r="P213" s="223">
        <f t="shared" ref="P213:P227" si="147">MAX(C213:O213)</f>
        <v>255277.16611382645</v>
      </c>
      <c r="Q213" s="147">
        <f t="shared" ref="Q213:Q226" si="148">P213*$Q$8</f>
        <v>28080.48827252091</v>
      </c>
      <c r="R213" s="147">
        <f t="shared" ref="R213:R226" si="149">Q213/$R$3</f>
        <v>76.932844582249075</v>
      </c>
      <c r="S213" s="148">
        <f t="shared" ref="S213:S226" si="150">R213*$S$3*$S$8</f>
        <v>16848.292963512547</v>
      </c>
      <c r="T213" s="199"/>
      <c r="U213" s="150"/>
      <c r="V213" s="249"/>
      <c r="W213" s="249"/>
      <c r="X213" s="152"/>
      <c r="Y213" s="153"/>
      <c r="Z213" s="153"/>
      <c r="AA213" s="154"/>
      <c r="AB213" s="155">
        <f>S213*$AB$3</f>
        <v>9772.0099188372769</v>
      </c>
      <c r="AC213" s="156">
        <f>S213*$AC$3</f>
        <v>2190.2780852566311</v>
      </c>
      <c r="AD213" s="156">
        <f>S213*$AD$3</f>
        <v>1478.4377075482259</v>
      </c>
      <c r="AE213" s="156">
        <f>S213*$AE$3</f>
        <v>673.93171854050195</v>
      </c>
      <c r="AF213" s="156">
        <f>S213*$AF$3</f>
        <v>336.96585927025097</v>
      </c>
      <c r="AG213" s="156">
        <f>S213*$AG$3</f>
        <v>336.96585927025097</v>
      </c>
      <c r="AH213" s="156">
        <f>S213*$AH$3</f>
        <v>168.48292963512549</v>
      </c>
      <c r="AI213" s="156">
        <f>S213*$AI$3</f>
        <v>336.96585927025097</v>
      </c>
      <c r="AJ213" s="156">
        <f>S213*$AJ$3</f>
        <v>336.96585927025097</v>
      </c>
      <c r="AK213" s="156">
        <f>S213*$AK$3</f>
        <v>1179.3805074458785</v>
      </c>
      <c r="AL213" s="157">
        <f t="shared" ref="AL213:AL226" si="151">SUM(AC213:AH213)</f>
        <v>5185.0621595209859</v>
      </c>
      <c r="AM213" s="158">
        <f t="shared" ref="AM213:AM226" si="152">$AM$3</f>
        <v>2200</v>
      </c>
      <c r="AN213" s="159">
        <v>0.2</v>
      </c>
      <c r="AO213" s="160">
        <f t="shared" ref="AO213:AO226" si="153">(AB213+AL213)*AM213*$AO$3</f>
        <v>137768992.63087481</v>
      </c>
      <c r="AP213" s="161">
        <f t="shared" ref="AP213:AP226" si="154">AO213*$AP$3</f>
        <v>38269.167681220613</v>
      </c>
      <c r="AQ213" s="162">
        <f t="shared" ref="AQ213:AQ226" si="155">AP213*$AQ$3</f>
        <v>7653.833536244123</v>
      </c>
      <c r="AR213" s="580">
        <f t="shared" ref="AR213:AR226" si="156">AQ213/$AR$3</f>
        <v>1.092156611906981</v>
      </c>
      <c r="AS213" s="582">
        <f t="shared" ref="AS213:AS226" si="157">AR213</f>
        <v>1.092156611906981</v>
      </c>
      <c r="AT213" s="588"/>
      <c r="AU213" s="166"/>
      <c r="AV213" s="167"/>
      <c r="AW213" s="146"/>
      <c r="AX213" s="168"/>
    </row>
    <row r="214" spans="1:50" ht="11.25" x14ac:dyDescent="0.25">
      <c r="A214" s="140">
        <v>2</v>
      </c>
      <c r="B214" s="302" t="s">
        <v>253</v>
      </c>
      <c r="C214" s="235"/>
      <c r="D214" s="236"/>
      <c r="E214" s="236"/>
      <c r="F214" s="236"/>
      <c r="G214" s="236"/>
      <c r="H214" s="236"/>
      <c r="I214" s="236"/>
      <c r="J214" s="236">
        <f t="shared" ref="J214:J226" si="158">($K$227/$J$227)*K214</f>
        <v>405083.32563446194</v>
      </c>
      <c r="K214" s="236">
        <f t="shared" ref="K214:K226" si="159">($L$227/$K$227)*L214</f>
        <v>388886.66287335061</v>
      </c>
      <c r="L214" s="236">
        <f t="shared" ref="L214:L226" si="160">($M$227/$L$227)*M214</f>
        <v>379832.63179331413</v>
      </c>
      <c r="M214" s="236">
        <f t="shared" ref="M214:M226" si="161">($M$227/$N$227)*N214</f>
        <v>374954.05383297289</v>
      </c>
      <c r="N214" s="236">
        <v>380449</v>
      </c>
      <c r="O214" s="237"/>
      <c r="P214" s="223">
        <f t="shared" si="147"/>
        <v>405083.32563446194</v>
      </c>
      <c r="Q214" s="147">
        <f t="shared" si="148"/>
        <v>44559.165819790811</v>
      </c>
      <c r="R214" s="147">
        <f t="shared" si="149"/>
        <v>122.07990635559126</v>
      </c>
      <c r="S214" s="148">
        <f t="shared" si="150"/>
        <v>26735.499491874485</v>
      </c>
      <c r="T214" s="199"/>
      <c r="U214" s="150"/>
      <c r="V214" s="249"/>
      <c r="W214" s="249"/>
      <c r="X214" s="152"/>
      <c r="Y214" s="153"/>
      <c r="Z214" s="153"/>
      <c r="AA214" s="154"/>
      <c r="AB214" s="155">
        <f>S214*$AB$3</f>
        <v>15506.589705287201</v>
      </c>
      <c r="AC214" s="156">
        <f>S214*$AC$3</f>
        <v>3475.6149339436834</v>
      </c>
      <c r="AD214" s="156">
        <f>S214*$AD$3</f>
        <v>2346.0400804119859</v>
      </c>
      <c r="AE214" s="156">
        <f>S214*$AE$3</f>
        <v>1069.4199796749795</v>
      </c>
      <c r="AF214" s="156">
        <f>S214*$AF$3</f>
        <v>534.70998983748973</v>
      </c>
      <c r="AG214" s="156">
        <f>S214*$AG$3</f>
        <v>534.70998983748973</v>
      </c>
      <c r="AH214" s="156">
        <f>S214*$AH$3</f>
        <v>267.35499491874486</v>
      </c>
      <c r="AI214" s="156">
        <f>S214*$AI$3</f>
        <v>534.70998983748973</v>
      </c>
      <c r="AJ214" s="156">
        <f>S214*$AJ$3</f>
        <v>534.70998983748973</v>
      </c>
      <c r="AK214" s="156">
        <f>S214*$AK$3</f>
        <v>1871.4849644312142</v>
      </c>
      <c r="AL214" s="157">
        <f t="shared" si="151"/>
        <v>8227.849968624374</v>
      </c>
      <c r="AM214" s="158">
        <f t="shared" si="152"/>
        <v>2200</v>
      </c>
      <c r="AN214" s="159">
        <v>0.2</v>
      </c>
      <c r="AO214" s="160">
        <f t="shared" si="153"/>
        <v>218616974.45881256</v>
      </c>
      <c r="AP214" s="161">
        <f t="shared" si="154"/>
        <v>60726.942207825145</v>
      </c>
      <c r="AQ214" s="162">
        <f t="shared" si="155"/>
        <v>12145.38844156503</v>
      </c>
      <c r="AR214" s="580">
        <f t="shared" si="156"/>
        <v>1.7330748346982063</v>
      </c>
      <c r="AS214" s="582">
        <f t="shared" si="157"/>
        <v>1.7330748346982063</v>
      </c>
      <c r="AT214" s="588"/>
      <c r="AU214" s="166"/>
      <c r="AV214" s="167"/>
      <c r="AW214" s="146"/>
      <c r="AX214" s="168"/>
    </row>
    <row r="215" spans="1:50" ht="11.25" x14ac:dyDescent="0.25">
      <c r="A215" s="140">
        <v>3</v>
      </c>
      <c r="B215" s="302" t="s">
        <v>254</v>
      </c>
      <c r="C215" s="235"/>
      <c r="D215" s="236"/>
      <c r="E215" s="236"/>
      <c r="F215" s="236"/>
      <c r="G215" s="236"/>
      <c r="H215" s="236"/>
      <c r="I215" s="236"/>
      <c r="J215" s="236">
        <f t="shared" si="158"/>
        <v>356870.35078617989</v>
      </c>
      <c r="K215" s="236">
        <f t="shared" si="159"/>
        <v>342601.41312484769</v>
      </c>
      <c r="L215" s="236">
        <f t="shared" si="160"/>
        <v>334624.99187250203</v>
      </c>
      <c r="M215" s="236">
        <f t="shared" si="161"/>
        <v>330327.06174832862</v>
      </c>
      <c r="N215" s="236">
        <v>335168</v>
      </c>
      <c r="O215" s="237"/>
      <c r="P215" s="223">
        <f t="shared" si="147"/>
        <v>356870.35078617989</v>
      </c>
      <c r="Q215" s="147">
        <f t="shared" si="148"/>
        <v>39255.738586479791</v>
      </c>
      <c r="R215" s="147">
        <f t="shared" si="149"/>
        <v>107.54996873008162</v>
      </c>
      <c r="S215" s="148">
        <f t="shared" si="150"/>
        <v>23553.443151887874</v>
      </c>
      <c r="T215" s="199"/>
      <c r="U215" s="150"/>
      <c r="V215" s="249"/>
      <c r="W215" s="249"/>
      <c r="X215" s="152"/>
      <c r="Y215" s="153"/>
      <c r="Z215" s="153"/>
      <c r="AA215" s="154"/>
      <c r="AB215" s="155">
        <f>S215*$AB$3</f>
        <v>13660.997028094966</v>
      </c>
      <c r="AC215" s="156">
        <f>S215*$AC$3</f>
        <v>3061.9476097454235</v>
      </c>
      <c r="AD215" s="156">
        <f>S215*$AD$3</f>
        <v>2066.8146365781608</v>
      </c>
      <c r="AE215" s="156">
        <f>S215*$AE$3</f>
        <v>942.13772607551493</v>
      </c>
      <c r="AF215" s="156">
        <f>S215*$AF$3</f>
        <v>471.06886303775747</v>
      </c>
      <c r="AG215" s="156">
        <f>S215*$AG$3</f>
        <v>471.06886303775747</v>
      </c>
      <c r="AH215" s="156">
        <f>S215*$AH$3</f>
        <v>235.53443151887873</v>
      </c>
      <c r="AI215" s="156">
        <f>S215*$AI$3</f>
        <v>471.06886303775747</v>
      </c>
      <c r="AJ215" s="156">
        <f>S215*$AJ$3</f>
        <v>471.06886303775747</v>
      </c>
      <c r="AK215" s="156">
        <f>S215*$AK$3</f>
        <v>1648.7410206321513</v>
      </c>
      <c r="AL215" s="157">
        <f t="shared" si="151"/>
        <v>7248.5721299934921</v>
      </c>
      <c r="AM215" s="158">
        <f t="shared" si="152"/>
        <v>2200</v>
      </c>
      <c r="AN215" s="159">
        <v>0.2</v>
      </c>
      <c r="AO215" s="160">
        <f t="shared" si="153"/>
        <v>192597205.13238648</v>
      </c>
      <c r="AP215" s="161">
        <f t="shared" si="154"/>
        <v>53499.22792782302</v>
      </c>
      <c r="AQ215" s="162">
        <f t="shared" si="155"/>
        <v>10699.845585564604</v>
      </c>
      <c r="AR215" s="580">
        <f t="shared" si="156"/>
        <v>1.5268044499949494</v>
      </c>
      <c r="AS215" s="582">
        <f t="shared" si="157"/>
        <v>1.5268044499949494</v>
      </c>
      <c r="AT215" s="588"/>
      <c r="AU215" s="166"/>
      <c r="AV215" s="167"/>
      <c r="AW215" s="146"/>
      <c r="AX215" s="168"/>
    </row>
    <row r="216" spans="1:50" ht="11.25" x14ac:dyDescent="0.25">
      <c r="A216" s="140">
        <v>4</v>
      </c>
      <c r="B216" s="302" t="s">
        <v>255</v>
      </c>
      <c r="C216" s="235"/>
      <c r="D216" s="236"/>
      <c r="E216" s="236"/>
      <c r="F216" s="236"/>
      <c r="G216" s="236"/>
      <c r="H216" s="236"/>
      <c r="I216" s="236"/>
      <c r="J216" s="236">
        <f t="shared" si="158"/>
        <v>134378.98713979678</v>
      </c>
      <c r="K216" s="236">
        <f t="shared" si="159"/>
        <v>129006.04039242306</v>
      </c>
      <c r="L216" s="236">
        <f t="shared" si="160"/>
        <v>126002.53111649341</v>
      </c>
      <c r="M216" s="236">
        <f t="shared" si="161"/>
        <v>124384.15207320302</v>
      </c>
      <c r="N216" s="236">
        <v>126207</v>
      </c>
      <c r="O216" s="237"/>
      <c r="P216" s="223">
        <f t="shared" si="147"/>
        <v>134378.98713979678</v>
      </c>
      <c r="Q216" s="147">
        <f t="shared" si="148"/>
        <v>14781.688585377646</v>
      </c>
      <c r="R216" s="147">
        <f t="shared" si="149"/>
        <v>40.497776946240123</v>
      </c>
      <c r="S216" s="148">
        <f t="shared" si="150"/>
        <v>8869.0131512265853</v>
      </c>
      <c r="T216" s="199"/>
      <c r="U216" s="150"/>
      <c r="V216" s="249"/>
      <c r="W216" s="249"/>
      <c r="X216" s="152"/>
      <c r="Y216" s="153"/>
      <c r="Z216" s="153"/>
      <c r="AA216" s="154"/>
      <c r="AB216" s="155">
        <f>S216*$AB$3</f>
        <v>5144.027627711419</v>
      </c>
      <c r="AC216" s="156">
        <f>S216*$AC$3</f>
        <v>1152.9717096594561</v>
      </c>
      <c r="AD216" s="156">
        <f>S216*$AD$3</f>
        <v>778.25590402013279</v>
      </c>
      <c r="AE216" s="156">
        <f>S216*$AE$3</f>
        <v>354.7605260490634</v>
      </c>
      <c r="AF216" s="156">
        <f>S216*$AF$3</f>
        <v>177.3802630245317</v>
      </c>
      <c r="AG216" s="156">
        <f>S216*$AG$3</f>
        <v>177.3802630245317</v>
      </c>
      <c r="AH216" s="156">
        <f>S216*$AH$3</f>
        <v>88.69013151226585</v>
      </c>
      <c r="AI216" s="156">
        <f>S216*$AI$3</f>
        <v>177.3802630245317</v>
      </c>
      <c r="AJ216" s="156">
        <f>S216*$AJ$3</f>
        <v>177.3802630245317</v>
      </c>
      <c r="AK216" s="156">
        <f>S216*$AK$3</f>
        <v>620.83092058586101</v>
      </c>
      <c r="AL216" s="157">
        <f t="shared" si="151"/>
        <v>2729.4387972899822</v>
      </c>
      <c r="AM216" s="158">
        <f t="shared" si="152"/>
        <v>2200</v>
      </c>
      <c r="AN216" s="159">
        <v>0.2</v>
      </c>
      <c r="AO216" s="160">
        <f t="shared" si="153"/>
        <v>72522184.302030906</v>
      </c>
      <c r="AP216" s="161">
        <f t="shared" si="154"/>
        <v>20145.052806612679</v>
      </c>
      <c r="AQ216" s="162">
        <f t="shared" si="155"/>
        <v>4029.010561322536</v>
      </c>
      <c r="AR216" s="580">
        <f t="shared" si="156"/>
        <v>0.57491589059967696</v>
      </c>
      <c r="AS216" s="582">
        <f t="shared" si="157"/>
        <v>0.57491589059967696</v>
      </c>
      <c r="AT216" s="588"/>
      <c r="AU216" s="166"/>
      <c r="AV216" s="167"/>
      <c r="AW216" s="146"/>
      <c r="AX216" s="168"/>
    </row>
    <row r="217" spans="1:50" ht="11.25" x14ac:dyDescent="0.25">
      <c r="A217" s="140">
        <v>5</v>
      </c>
      <c r="B217" s="302" t="s">
        <v>256</v>
      </c>
      <c r="C217" s="235"/>
      <c r="D217" s="236"/>
      <c r="E217" s="236"/>
      <c r="F217" s="236"/>
      <c r="G217" s="236"/>
      <c r="H217" s="236"/>
      <c r="I217" s="236"/>
      <c r="J217" s="236">
        <f t="shared" si="158"/>
        <v>131613.8296635708</v>
      </c>
      <c r="K217" s="236">
        <f t="shared" si="159"/>
        <v>126351.44368305574</v>
      </c>
      <c r="L217" s="236">
        <f t="shared" si="160"/>
        <v>123409.73853518229</v>
      </c>
      <c r="M217" s="236">
        <f t="shared" si="161"/>
        <v>121824.66137194153</v>
      </c>
      <c r="N217" s="236">
        <v>123610</v>
      </c>
      <c r="O217" s="237"/>
      <c r="P217" s="223">
        <f t="shared" si="147"/>
        <v>131613.8296635708</v>
      </c>
      <c r="Q217" s="147">
        <f t="shared" si="148"/>
        <v>14477.521262992788</v>
      </c>
      <c r="R217" s="147">
        <f t="shared" si="149"/>
        <v>39.664441816418595</v>
      </c>
      <c r="S217" s="148">
        <f t="shared" si="150"/>
        <v>8686.5127577956719</v>
      </c>
      <c r="T217" s="199"/>
      <c r="U217" s="150"/>
      <c r="V217" s="249"/>
      <c r="W217" s="249"/>
      <c r="X217" s="152"/>
      <c r="Y217" s="153"/>
      <c r="Z217" s="153"/>
      <c r="AA217" s="154"/>
      <c r="AB217" s="155">
        <f>S217*$AB$3</f>
        <v>5038.177399521489</v>
      </c>
      <c r="AC217" s="156">
        <f>S217*$AC$3</f>
        <v>1129.2466585134373</v>
      </c>
      <c r="AD217" s="156">
        <f>S217*$AD$3</f>
        <v>762.24149449657011</v>
      </c>
      <c r="AE217" s="156">
        <f>S217*$AE$3</f>
        <v>347.46051031182691</v>
      </c>
      <c r="AF217" s="156">
        <f>S217*$AF$3</f>
        <v>173.73025515591345</v>
      </c>
      <c r="AG217" s="156">
        <f>S217*$AG$3</f>
        <v>173.73025515591345</v>
      </c>
      <c r="AH217" s="156">
        <f>S217*$AH$3</f>
        <v>86.865127577956727</v>
      </c>
      <c r="AI217" s="156">
        <f>S217*$AI$3</f>
        <v>173.73025515591345</v>
      </c>
      <c r="AJ217" s="156">
        <f>S217*$AJ$3</f>
        <v>173.73025515591345</v>
      </c>
      <c r="AK217" s="156">
        <f>S217*$AK$3</f>
        <v>608.05589304569708</v>
      </c>
      <c r="AL217" s="157">
        <f t="shared" si="151"/>
        <v>2673.2743012116175</v>
      </c>
      <c r="AM217" s="158">
        <f t="shared" si="152"/>
        <v>2200</v>
      </c>
      <c r="AN217" s="159">
        <v>0.2</v>
      </c>
      <c r="AO217" s="160">
        <f t="shared" si="153"/>
        <v>71029873.157384619</v>
      </c>
      <c r="AP217" s="161">
        <f t="shared" si="154"/>
        <v>19730.521899937354</v>
      </c>
      <c r="AQ217" s="162">
        <f t="shared" si="155"/>
        <v>3946.104379987471</v>
      </c>
      <c r="AR217" s="580">
        <f t="shared" si="156"/>
        <v>0.56308567066031268</v>
      </c>
      <c r="AS217" s="582">
        <f t="shared" si="157"/>
        <v>0.56308567066031268</v>
      </c>
      <c r="AT217" s="588"/>
      <c r="AU217" s="166"/>
      <c r="AV217" s="167"/>
      <c r="AW217" s="146"/>
      <c r="AX217" s="168"/>
    </row>
    <row r="218" spans="1:50" ht="11.25" x14ac:dyDescent="0.25">
      <c r="A218" s="140">
        <v>6</v>
      </c>
      <c r="B218" s="302" t="s">
        <v>257</v>
      </c>
      <c r="C218" s="235"/>
      <c r="D218" s="236"/>
      <c r="E218" s="236"/>
      <c r="F218" s="236"/>
      <c r="G218" s="236"/>
      <c r="H218" s="236"/>
      <c r="I218" s="236"/>
      <c r="J218" s="236">
        <f t="shared" si="158"/>
        <v>48665.493880779606</v>
      </c>
      <c r="K218" s="236">
        <f t="shared" si="159"/>
        <v>46719.67547106016</v>
      </c>
      <c r="L218" s="236">
        <f t="shared" si="160"/>
        <v>45631.951375204611</v>
      </c>
      <c r="M218" s="236">
        <f t="shared" si="161"/>
        <v>45045.853674184611</v>
      </c>
      <c r="N218" s="236">
        <v>45706</v>
      </c>
      <c r="O218" s="237"/>
      <c r="P218" s="223">
        <f t="shared" si="147"/>
        <v>48665.493880779606</v>
      </c>
      <c r="Q218" s="147">
        <f t="shared" si="148"/>
        <v>5353.2043268857569</v>
      </c>
      <c r="R218" s="147">
        <f t="shared" si="149"/>
        <v>14.66631322434454</v>
      </c>
      <c r="S218" s="148">
        <f t="shared" si="150"/>
        <v>3211.9225961314542</v>
      </c>
      <c r="T218" s="199"/>
      <c r="U218" s="150"/>
      <c r="V218" s="249"/>
      <c r="W218" s="249"/>
      <c r="X218" s="152"/>
      <c r="Y218" s="153"/>
      <c r="Z218" s="153"/>
      <c r="AA218" s="154"/>
      <c r="AB218" s="155">
        <f>S218*$AB$3</f>
        <v>1862.9151057562433</v>
      </c>
      <c r="AC218" s="156">
        <f>S218*$AC$3</f>
        <v>417.54993749708905</v>
      </c>
      <c r="AD218" s="156">
        <f>S218*$AD$3</f>
        <v>281.84620781053508</v>
      </c>
      <c r="AE218" s="156">
        <f>S218*$AE$3</f>
        <v>128.47690384525816</v>
      </c>
      <c r="AF218" s="156">
        <f>S218*$AF$3</f>
        <v>64.238451922629082</v>
      </c>
      <c r="AG218" s="156">
        <f>S218*$AG$3</f>
        <v>64.238451922629082</v>
      </c>
      <c r="AH218" s="156">
        <f>S218*$AH$3</f>
        <v>32.119225961314541</v>
      </c>
      <c r="AI218" s="156">
        <f>S218*$AI$3</f>
        <v>64.238451922629082</v>
      </c>
      <c r="AJ218" s="156">
        <f>S218*$AJ$3</f>
        <v>64.238451922629082</v>
      </c>
      <c r="AK218" s="156">
        <f>S218*$AK$3</f>
        <v>224.8345817292018</v>
      </c>
      <c r="AL218" s="157">
        <f t="shared" si="151"/>
        <v>988.46917895945501</v>
      </c>
      <c r="AM218" s="158">
        <f t="shared" si="152"/>
        <v>2200</v>
      </c>
      <c r="AN218" s="159">
        <v>0.2</v>
      </c>
      <c r="AO218" s="160">
        <f t="shared" si="153"/>
        <v>26263986.591144912</v>
      </c>
      <c r="AP218" s="161">
        <f t="shared" si="154"/>
        <v>7295.5524145177333</v>
      </c>
      <c r="AQ218" s="162">
        <f t="shared" si="155"/>
        <v>1459.1104829035467</v>
      </c>
      <c r="AR218" s="580">
        <f t="shared" si="156"/>
        <v>0.2082064045239079</v>
      </c>
      <c r="AS218" s="582">
        <f t="shared" si="157"/>
        <v>0.2082064045239079</v>
      </c>
      <c r="AT218" s="588"/>
      <c r="AU218" s="166"/>
      <c r="AV218" s="167"/>
      <c r="AW218" s="146"/>
      <c r="AX218" s="168"/>
    </row>
    <row r="219" spans="1:50" ht="11.25" x14ac:dyDescent="0.25">
      <c r="A219" s="140">
        <v>7</v>
      </c>
      <c r="B219" s="302" t="s">
        <v>258</v>
      </c>
      <c r="C219" s="235"/>
      <c r="D219" s="236"/>
      <c r="E219" s="236"/>
      <c r="F219" s="236"/>
      <c r="G219" s="236"/>
      <c r="H219" s="236"/>
      <c r="I219" s="236"/>
      <c r="J219" s="236">
        <f t="shared" si="158"/>
        <v>68418.748212294566</v>
      </c>
      <c r="K219" s="236">
        <f t="shared" si="159"/>
        <v>65683.124894311099</v>
      </c>
      <c r="L219" s="236">
        <f t="shared" si="160"/>
        <v>64153.89514435517</v>
      </c>
      <c r="M219" s="236">
        <f t="shared" si="161"/>
        <v>63329.901225129186</v>
      </c>
      <c r="N219" s="236">
        <v>64258</v>
      </c>
      <c r="O219" s="237"/>
      <c r="P219" s="223">
        <f t="shared" si="147"/>
        <v>68418.748212294566</v>
      </c>
      <c r="Q219" s="147">
        <f t="shared" si="148"/>
        <v>7526.0623033524025</v>
      </c>
      <c r="R219" s="147">
        <f t="shared" si="149"/>
        <v>20.619348776307952</v>
      </c>
      <c r="S219" s="148">
        <f t="shared" si="150"/>
        <v>4515.6373820114413</v>
      </c>
      <c r="T219" s="199"/>
      <c r="U219" s="150"/>
      <c r="V219" s="249"/>
      <c r="W219" s="249"/>
      <c r="X219" s="152"/>
      <c r="Y219" s="153"/>
      <c r="Z219" s="153"/>
      <c r="AA219" s="154"/>
      <c r="AB219" s="155">
        <f>S219*$AB$3</f>
        <v>2619.0696815666356</v>
      </c>
      <c r="AC219" s="156">
        <f>S219*$AC$3</f>
        <v>587.03285966148735</v>
      </c>
      <c r="AD219" s="156">
        <f>S219*$AD$3</f>
        <v>396.24718027150396</v>
      </c>
      <c r="AE219" s="156">
        <f>S219*$AE$3</f>
        <v>180.62549528045767</v>
      </c>
      <c r="AF219" s="156">
        <f>S219*$AF$3</f>
        <v>90.312747640228835</v>
      </c>
      <c r="AG219" s="156">
        <f>S219*$AG$3</f>
        <v>90.312747640228835</v>
      </c>
      <c r="AH219" s="156">
        <f>S219*$AH$3</f>
        <v>45.156373820114418</v>
      </c>
      <c r="AI219" s="156">
        <f>S219*$AI$3</f>
        <v>90.312747640228835</v>
      </c>
      <c r="AJ219" s="156">
        <f>S219*$AJ$3</f>
        <v>90.312747640228835</v>
      </c>
      <c r="AK219" s="156">
        <f>S219*$AK$3</f>
        <v>316.09461674080092</v>
      </c>
      <c r="AL219" s="157">
        <f t="shared" si="151"/>
        <v>1389.6874043140208</v>
      </c>
      <c r="AM219" s="158">
        <f t="shared" si="152"/>
        <v>2200</v>
      </c>
      <c r="AN219" s="159">
        <v>0.2</v>
      </c>
      <c r="AO219" s="160">
        <f t="shared" si="153"/>
        <v>36924501.167763293</v>
      </c>
      <c r="AP219" s="161">
        <f t="shared" si="154"/>
        <v>10256.806700478719</v>
      </c>
      <c r="AQ219" s="162">
        <f t="shared" si="155"/>
        <v>2051.3613400957438</v>
      </c>
      <c r="AR219" s="580">
        <f t="shared" si="156"/>
        <v>0.29271708620087666</v>
      </c>
      <c r="AS219" s="582">
        <f t="shared" si="157"/>
        <v>0.29271708620087666</v>
      </c>
      <c r="AT219" s="588"/>
      <c r="AU219" s="166"/>
      <c r="AV219" s="167"/>
      <c r="AW219" s="146"/>
      <c r="AX219" s="168"/>
    </row>
    <row r="220" spans="1:50" ht="11.25" x14ac:dyDescent="0.25">
      <c r="A220" s="140">
        <v>8</v>
      </c>
      <c r="B220" s="302" t="s">
        <v>259</v>
      </c>
      <c r="C220" s="235"/>
      <c r="D220" s="236"/>
      <c r="E220" s="236"/>
      <c r="F220" s="236"/>
      <c r="G220" s="236"/>
      <c r="H220" s="236"/>
      <c r="I220" s="236"/>
      <c r="J220" s="236">
        <f t="shared" si="158"/>
        <v>151487.40082019687</v>
      </c>
      <c r="K220" s="236">
        <f t="shared" si="159"/>
        <v>145430.39923959837</v>
      </c>
      <c r="L220" s="236">
        <f t="shared" si="160"/>
        <v>142044.49923220661</v>
      </c>
      <c r="M220" s="236">
        <f t="shared" si="161"/>
        <v>140220.07682786975</v>
      </c>
      <c r="N220" s="236">
        <v>142275</v>
      </c>
      <c r="O220" s="237"/>
      <c r="P220" s="223">
        <f t="shared" si="147"/>
        <v>151487.40082019687</v>
      </c>
      <c r="Q220" s="147">
        <f t="shared" si="148"/>
        <v>16663.614090221654</v>
      </c>
      <c r="R220" s="147">
        <f t="shared" si="149"/>
        <v>45.65373723348398</v>
      </c>
      <c r="S220" s="148">
        <f t="shared" si="150"/>
        <v>9998.1684541329923</v>
      </c>
      <c r="T220" s="199"/>
      <c r="U220" s="150"/>
      <c r="V220" s="249"/>
      <c r="W220" s="249"/>
      <c r="X220" s="152"/>
      <c r="Y220" s="153"/>
      <c r="Z220" s="153"/>
      <c r="AA220" s="154"/>
      <c r="AB220" s="155">
        <f>S220*$AB$3</f>
        <v>5798.937703397135</v>
      </c>
      <c r="AC220" s="156">
        <f>S220*$AC$3</f>
        <v>1299.7618990372891</v>
      </c>
      <c r="AD220" s="156">
        <f>S220*$AD$3</f>
        <v>877.33928185016998</v>
      </c>
      <c r="AE220" s="156">
        <f>S220*$AE$3</f>
        <v>399.9267381653197</v>
      </c>
      <c r="AF220" s="156">
        <f>S220*$AF$3</f>
        <v>199.96336908265985</v>
      </c>
      <c r="AG220" s="156">
        <f>S220*$AG$3</f>
        <v>199.96336908265985</v>
      </c>
      <c r="AH220" s="156">
        <f>S220*$AH$3</f>
        <v>99.981684541329926</v>
      </c>
      <c r="AI220" s="156">
        <f>S220*$AI$3</f>
        <v>199.96336908265985</v>
      </c>
      <c r="AJ220" s="156">
        <f>S220*$AJ$3</f>
        <v>199.96336908265985</v>
      </c>
      <c r="AK220" s="156">
        <f>S220*$AK$3</f>
        <v>699.87179178930955</v>
      </c>
      <c r="AL220" s="157">
        <f t="shared" si="151"/>
        <v>3076.9363417594286</v>
      </c>
      <c r="AM220" s="158">
        <f t="shared" si="152"/>
        <v>2200</v>
      </c>
      <c r="AN220" s="159">
        <v>0.2</v>
      </c>
      <c r="AO220" s="160">
        <f t="shared" si="153"/>
        <v>81755320.794975296</v>
      </c>
      <c r="AP220" s="161">
        <f t="shared" si="154"/>
        <v>22709.813148722489</v>
      </c>
      <c r="AQ220" s="162">
        <f t="shared" si="155"/>
        <v>4541.9626297444984</v>
      </c>
      <c r="AR220" s="580">
        <f t="shared" si="156"/>
        <v>0.64811110584253684</v>
      </c>
      <c r="AS220" s="582">
        <f t="shared" si="157"/>
        <v>0.64811110584253684</v>
      </c>
      <c r="AT220" s="588"/>
      <c r="AU220" s="166"/>
      <c r="AV220" s="167"/>
      <c r="AW220" s="146"/>
      <c r="AX220" s="168"/>
    </row>
    <row r="221" spans="1:50" ht="11.25" x14ac:dyDescent="0.25">
      <c r="A221" s="140">
        <v>9</v>
      </c>
      <c r="B221" s="302" t="s">
        <v>260</v>
      </c>
      <c r="C221" s="235"/>
      <c r="D221" s="236"/>
      <c r="E221" s="236"/>
      <c r="F221" s="236"/>
      <c r="G221" s="236"/>
      <c r="H221" s="236"/>
      <c r="I221" s="236"/>
      <c r="J221" s="236">
        <f t="shared" si="158"/>
        <v>158532.85596851699</v>
      </c>
      <c r="K221" s="236">
        <f t="shared" si="159"/>
        <v>152194.15219527172</v>
      </c>
      <c r="L221" s="236">
        <f t="shared" si="160"/>
        <v>148650.77898212412</v>
      </c>
      <c r="M221" s="236">
        <f t="shared" si="161"/>
        <v>146741.50538784175</v>
      </c>
      <c r="N221" s="236">
        <v>148892</v>
      </c>
      <c r="O221" s="237"/>
      <c r="P221" s="223">
        <f t="shared" si="147"/>
        <v>158532.85596851699</v>
      </c>
      <c r="Q221" s="147">
        <f t="shared" si="148"/>
        <v>17438.614156536871</v>
      </c>
      <c r="R221" s="147">
        <f t="shared" si="149"/>
        <v>47.777025086402382</v>
      </c>
      <c r="S221" s="148">
        <f t="shared" si="150"/>
        <v>10463.168493922121</v>
      </c>
      <c r="T221" s="199"/>
      <c r="U221" s="150"/>
      <c r="V221" s="249"/>
      <c r="W221" s="249"/>
      <c r="X221" s="152"/>
      <c r="Y221" s="153"/>
      <c r="Z221" s="153"/>
      <c r="AA221" s="154"/>
      <c r="AB221" s="155">
        <f>S221*$AB$3</f>
        <v>6068.6377264748298</v>
      </c>
      <c r="AC221" s="156">
        <f>S221*$AC$3</f>
        <v>1360.2119042098759</v>
      </c>
      <c r="AD221" s="156">
        <f>S221*$AD$3</f>
        <v>918.14303534166606</v>
      </c>
      <c r="AE221" s="156">
        <f>S221*$AE$3</f>
        <v>418.52673975688487</v>
      </c>
      <c r="AF221" s="156">
        <f>S221*$AF$3</f>
        <v>209.26336987844243</v>
      </c>
      <c r="AG221" s="156">
        <f>S221*$AG$3</f>
        <v>209.26336987844243</v>
      </c>
      <c r="AH221" s="156">
        <f>S221*$AH$3</f>
        <v>104.63168493922122</v>
      </c>
      <c r="AI221" s="156">
        <f>S221*$AI$3</f>
        <v>209.26336987844243</v>
      </c>
      <c r="AJ221" s="156">
        <f>S221*$AJ$3</f>
        <v>209.26336987844243</v>
      </c>
      <c r="AK221" s="156">
        <f>S221*$AK$3</f>
        <v>732.42179457454858</v>
      </c>
      <c r="AL221" s="157">
        <f t="shared" si="151"/>
        <v>3220.0401040045331</v>
      </c>
      <c r="AM221" s="158">
        <f t="shared" si="152"/>
        <v>2200</v>
      </c>
      <c r="AN221" s="159">
        <v>0.2</v>
      </c>
      <c r="AO221" s="160">
        <f t="shared" si="153"/>
        <v>85557639.949432179</v>
      </c>
      <c r="AP221" s="161">
        <f t="shared" si="154"/>
        <v>23766.012998345381</v>
      </c>
      <c r="AQ221" s="162">
        <f t="shared" si="155"/>
        <v>4753.2025996690763</v>
      </c>
      <c r="AR221" s="580">
        <f t="shared" si="156"/>
        <v>0.67825379561487964</v>
      </c>
      <c r="AS221" s="582">
        <f t="shared" si="157"/>
        <v>0.67825379561487964</v>
      </c>
      <c r="AT221" s="588"/>
      <c r="AU221" s="166"/>
      <c r="AV221" s="167"/>
      <c r="AW221" s="146"/>
      <c r="AX221" s="168"/>
    </row>
    <row r="222" spans="1:50" ht="11.25" x14ac:dyDescent="0.25">
      <c r="A222" s="140">
        <v>10</v>
      </c>
      <c r="B222" s="302" t="s">
        <v>261</v>
      </c>
      <c r="C222" s="235"/>
      <c r="D222" s="236"/>
      <c r="E222" s="236"/>
      <c r="F222" s="236"/>
      <c r="G222" s="236"/>
      <c r="H222" s="236"/>
      <c r="I222" s="236"/>
      <c r="J222" s="236">
        <f t="shared" si="158"/>
        <v>129983.69639591505</v>
      </c>
      <c r="K222" s="236">
        <f t="shared" si="159"/>
        <v>124786.488903679</v>
      </c>
      <c r="L222" s="236">
        <f t="shared" si="160"/>
        <v>121881.21891947673</v>
      </c>
      <c r="M222" s="236">
        <f t="shared" si="161"/>
        <v>120315.77409291522</v>
      </c>
      <c r="N222" s="236">
        <v>122079</v>
      </c>
      <c r="O222" s="237"/>
      <c r="P222" s="223">
        <f t="shared" si="147"/>
        <v>129983.69639591505</v>
      </c>
      <c r="Q222" s="147">
        <f t="shared" si="148"/>
        <v>14298.206603550656</v>
      </c>
      <c r="R222" s="147">
        <f t="shared" si="149"/>
        <v>39.173168776851114</v>
      </c>
      <c r="S222" s="148">
        <f t="shared" si="150"/>
        <v>8578.9239621303932</v>
      </c>
      <c r="T222" s="199"/>
      <c r="U222" s="150"/>
      <c r="V222" s="249"/>
      <c r="W222" s="249"/>
      <c r="X222" s="152"/>
      <c r="Y222" s="153"/>
      <c r="Z222" s="153"/>
      <c r="AA222" s="154"/>
      <c r="AB222" s="155">
        <f>S222*$AB$3</f>
        <v>4975.7758980356275</v>
      </c>
      <c r="AC222" s="156">
        <f>S222*$AC$3</f>
        <v>1115.2601150769513</v>
      </c>
      <c r="AD222" s="156">
        <f>S222*$AD$3</f>
        <v>752.800577676942</v>
      </c>
      <c r="AE222" s="156">
        <f>S222*$AE$3</f>
        <v>343.15695848521574</v>
      </c>
      <c r="AF222" s="156">
        <f>S222*$AF$3</f>
        <v>171.57847924260787</v>
      </c>
      <c r="AG222" s="156">
        <f>S222*$AG$3</f>
        <v>171.57847924260787</v>
      </c>
      <c r="AH222" s="156">
        <f>S222*$AH$3</f>
        <v>85.789239621303935</v>
      </c>
      <c r="AI222" s="156">
        <f>S222*$AI$3</f>
        <v>171.57847924260787</v>
      </c>
      <c r="AJ222" s="156">
        <f>S222*$AJ$3</f>
        <v>171.57847924260787</v>
      </c>
      <c r="AK222" s="156">
        <f>S222*$AK$3</f>
        <v>600.52467734912761</v>
      </c>
      <c r="AL222" s="157">
        <f t="shared" si="151"/>
        <v>2640.1638493456289</v>
      </c>
      <c r="AM222" s="158">
        <f t="shared" si="152"/>
        <v>2200</v>
      </c>
      <c r="AN222" s="159">
        <v>0.2</v>
      </c>
      <c r="AO222" s="160">
        <f t="shared" si="153"/>
        <v>70150116.375538856</v>
      </c>
      <c r="AP222" s="161">
        <f t="shared" si="154"/>
        <v>19486.144996541156</v>
      </c>
      <c r="AQ222" s="162">
        <f t="shared" si="155"/>
        <v>3897.2289993082313</v>
      </c>
      <c r="AR222" s="580">
        <f t="shared" si="156"/>
        <v>0.55611144396521561</v>
      </c>
      <c r="AS222" s="582">
        <f t="shared" si="157"/>
        <v>0.55611144396521561</v>
      </c>
      <c r="AT222" s="588"/>
      <c r="AU222" s="166"/>
      <c r="AV222" s="167"/>
      <c r="AW222" s="146"/>
      <c r="AX222" s="168"/>
    </row>
    <row r="223" spans="1:50" ht="11.25" x14ac:dyDescent="0.25">
      <c r="A223" s="140">
        <v>11</v>
      </c>
      <c r="B223" s="302" t="s">
        <v>262</v>
      </c>
      <c r="C223" s="235"/>
      <c r="D223" s="236"/>
      <c r="E223" s="236"/>
      <c r="F223" s="236"/>
      <c r="G223" s="236"/>
      <c r="H223" s="236"/>
      <c r="I223" s="236"/>
      <c r="J223" s="236">
        <f t="shared" si="158"/>
        <v>102870.88546999346</v>
      </c>
      <c r="K223" s="236">
        <f t="shared" si="159"/>
        <v>98757.743964391469</v>
      </c>
      <c r="L223" s="236">
        <f t="shared" si="160"/>
        <v>96458.473332065652</v>
      </c>
      <c r="M223" s="236">
        <f t="shared" si="161"/>
        <v>95219.558761023625</v>
      </c>
      <c r="N223" s="236">
        <v>96615</v>
      </c>
      <c r="O223" s="237"/>
      <c r="P223" s="223">
        <f t="shared" si="147"/>
        <v>102870.88546999346</v>
      </c>
      <c r="Q223" s="147">
        <f t="shared" si="148"/>
        <v>11315.797401699281</v>
      </c>
      <c r="R223" s="147">
        <f t="shared" si="149"/>
        <v>31.002184662189812</v>
      </c>
      <c r="S223" s="148">
        <f t="shared" si="150"/>
        <v>6789.4784410195689</v>
      </c>
      <c r="T223" s="199"/>
      <c r="U223" s="150"/>
      <c r="V223" s="249"/>
      <c r="W223" s="249"/>
      <c r="X223" s="152"/>
      <c r="Y223" s="153"/>
      <c r="Z223" s="153"/>
      <c r="AA223" s="154"/>
      <c r="AB223" s="155">
        <f>S223*$AB$3</f>
        <v>3937.8974957913497</v>
      </c>
      <c r="AC223" s="156">
        <f>S223*$AC$3</f>
        <v>882.63219733254402</v>
      </c>
      <c r="AD223" s="156">
        <f>S223*$AD$3</f>
        <v>595.77673319946712</v>
      </c>
      <c r="AE223" s="156">
        <f>S223*$AE$3</f>
        <v>271.57913764078273</v>
      </c>
      <c r="AF223" s="156">
        <f>S223*$AF$3</f>
        <v>135.78956882039137</v>
      </c>
      <c r="AG223" s="156">
        <f>S223*$AG$3</f>
        <v>135.78956882039137</v>
      </c>
      <c r="AH223" s="156">
        <f>S223*$AH$3</f>
        <v>67.894784410195683</v>
      </c>
      <c r="AI223" s="156">
        <f>S223*$AI$3</f>
        <v>135.78956882039137</v>
      </c>
      <c r="AJ223" s="156">
        <f>S223*$AJ$3</f>
        <v>135.78956882039137</v>
      </c>
      <c r="AK223" s="156">
        <f>S223*$AK$3</f>
        <v>475.26349087136987</v>
      </c>
      <c r="AL223" s="157">
        <f t="shared" si="151"/>
        <v>2089.4619902237728</v>
      </c>
      <c r="AM223" s="158">
        <f t="shared" si="152"/>
        <v>2200</v>
      </c>
      <c r="AN223" s="159">
        <v>0.2</v>
      </c>
      <c r="AO223" s="160">
        <f t="shared" si="153"/>
        <v>55517767.131305851</v>
      </c>
      <c r="AP223" s="161">
        <f t="shared" si="154"/>
        <v>15421.603214646449</v>
      </c>
      <c r="AQ223" s="162">
        <f t="shared" si="155"/>
        <v>3084.32064292929</v>
      </c>
      <c r="AR223" s="580">
        <f t="shared" si="156"/>
        <v>0.44011424699333473</v>
      </c>
      <c r="AS223" s="582">
        <f t="shared" si="157"/>
        <v>0.44011424699333473</v>
      </c>
      <c r="AT223" s="588"/>
      <c r="AU223" s="166"/>
      <c r="AV223" s="167"/>
      <c r="AW223" s="146"/>
      <c r="AX223" s="168"/>
    </row>
    <row r="224" spans="1:50" ht="11.25" x14ac:dyDescent="0.25">
      <c r="A224" s="140">
        <v>12</v>
      </c>
      <c r="B224" s="302" t="s">
        <v>263</v>
      </c>
      <c r="C224" s="235"/>
      <c r="D224" s="236"/>
      <c r="E224" s="236"/>
      <c r="F224" s="236"/>
      <c r="G224" s="236"/>
      <c r="H224" s="236"/>
      <c r="I224" s="236"/>
      <c r="J224" s="236">
        <f t="shared" si="158"/>
        <v>105413.51005729713</v>
      </c>
      <c r="K224" s="236">
        <f t="shared" si="159"/>
        <v>101198.70543607771</v>
      </c>
      <c r="L224" s="236">
        <f t="shared" si="160"/>
        <v>98842.604515804953</v>
      </c>
      <c r="M224" s="236">
        <f t="shared" si="161"/>
        <v>97573.068115899412</v>
      </c>
      <c r="N224" s="236">
        <v>99003</v>
      </c>
      <c r="O224" s="237"/>
      <c r="P224" s="223">
        <f t="shared" si="147"/>
        <v>105413.51005729713</v>
      </c>
      <c r="Q224" s="147">
        <f t="shared" si="148"/>
        <v>11595.486106302684</v>
      </c>
      <c r="R224" s="147">
        <f t="shared" si="149"/>
        <v>31.768455085760777</v>
      </c>
      <c r="S224" s="148">
        <f t="shared" si="150"/>
        <v>6957.2916637816097</v>
      </c>
      <c r="T224" s="199"/>
      <c r="U224" s="150"/>
      <c r="V224" s="249"/>
      <c r="W224" s="249"/>
      <c r="X224" s="152"/>
      <c r="Y224" s="153"/>
      <c r="Z224" s="153"/>
      <c r="AA224" s="154"/>
      <c r="AB224" s="155">
        <f>S224*$AB$3</f>
        <v>4035.2291649933331</v>
      </c>
      <c r="AC224" s="156">
        <f>S224*$AC$3</f>
        <v>904.44791629160932</v>
      </c>
      <c r="AD224" s="156">
        <f>S224*$AD$3</f>
        <v>610.50234349683626</v>
      </c>
      <c r="AE224" s="156">
        <f>S224*$AE$3</f>
        <v>278.29166655126437</v>
      </c>
      <c r="AF224" s="156">
        <f>S224*$AF$3</f>
        <v>139.14583327563219</v>
      </c>
      <c r="AG224" s="156">
        <f>S224*$AG$3</f>
        <v>139.14583327563219</v>
      </c>
      <c r="AH224" s="156">
        <f>S224*$AH$3</f>
        <v>69.572916637816093</v>
      </c>
      <c r="AI224" s="156">
        <f>S224*$AI$3</f>
        <v>139.14583327563219</v>
      </c>
      <c r="AJ224" s="156">
        <f>S224*$AJ$3</f>
        <v>139.14583327563219</v>
      </c>
      <c r="AK224" s="156">
        <f>S224*$AK$3</f>
        <v>487.0104164647127</v>
      </c>
      <c r="AL224" s="157">
        <f t="shared" si="151"/>
        <v>2141.1065095287904</v>
      </c>
      <c r="AM224" s="158">
        <f t="shared" si="152"/>
        <v>2200</v>
      </c>
      <c r="AN224" s="159">
        <v>0.2</v>
      </c>
      <c r="AO224" s="160">
        <f t="shared" si="153"/>
        <v>56889980.844596297</v>
      </c>
      <c r="AP224" s="161">
        <f t="shared" si="154"/>
        <v>15802.773721054102</v>
      </c>
      <c r="AQ224" s="162">
        <f t="shared" si="155"/>
        <v>3160.5547442108204</v>
      </c>
      <c r="AR224" s="580">
        <f t="shared" si="156"/>
        <v>0.45099240071501434</v>
      </c>
      <c r="AS224" s="582">
        <f t="shared" si="157"/>
        <v>0.45099240071501434</v>
      </c>
      <c r="AT224" s="588"/>
      <c r="AU224" s="166"/>
      <c r="AV224" s="167"/>
      <c r="AW224" s="146"/>
      <c r="AX224" s="168"/>
    </row>
    <row r="225" spans="1:50" ht="11.25" x14ac:dyDescent="0.25">
      <c r="A225" s="140">
        <v>13</v>
      </c>
      <c r="B225" s="302" t="s">
        <v>264</v>
      </c>
      <c r="C225" s="235"/>
      <c r="D225" s="236"/>
      <c r="E225" s="236"/>
      <c r="F225" s="236"/>
      <c r="G225" s="236"/>
      <c r="H225" s="236"/>
      <c r="I225" s="236"/>
      <c r="J225" s="236">
        <f t="shared" si="158"/>
        <v>102727.14413025895</v>
      </c>
      <c r="K225" s="236">
        <f t="shared" si="159"/>
        <v>98619.749911343883</v>
      </c>
      <c r="L225" s="236">
        <f t="shared" si="160"/>
        <v>96323.692046552751</v>
      </c>
      <c r="M225" s="236">
        <f t="shared" si="161"/>
        <v>95086.508609052005</v>
      </c>
      <c r="N225" s="236">
        <v>96480</v>
      </c>
      <c r="O225" s="237"/>
      <c r="P225" s="223">
        <f t="shared" si="147"/>
        <v>102727.14413025895</v>
      </c>
      <c r="Q225" s="147">
        <f t="shared" si="148"/>
        <v>11299.985854328484</v>
      </c>
      <c r="R225" s="147">
        <f t="shared" si="149"/>
        <v>30.958865354324615</v>
      </c>
      <c r="S225" s="148">
        <f t="shared" si="150"/>
        <v>6779.9915125970901</v>
      </c>
      <c r="T225" s="199"/>
      <c r="U225" s="150"/>
      <c r="V225" s="249"/>
      <c r="W225" s="249"/>
      <c r="X225" s="152"/>
      <c r="Y225" s="153"/>
      <c r="Z225" s="153"/>
      <c r="AA225" s="154"/>
      <c r="AB225" s="155">
        <f>S225*$AB$3</f>
        <v>3932.395077306312</v>
      </c>
      <c r="AC225" s="156">
        <f>S225*$AC$3</f>
        <v>881.39889663762176</v>
      </c>
      <c r="AD225" s="156">
        <f>S225*$AD$3</f>
        <v>594.94425523039467</v>
      </c>
      <c r="AE225" s="156">
        <f>S225*$AE$3</f>
        <v>271.19966050388359</v>
      </c>
      <c r="AF225" s="156">
        <f>S225*$AF$3</f>
        <v>135.5998302519418</v>
      </c>
      <c r="AG225" s="156">
        <f>S225*$AG$3</f>
        <v>135.5998302519418</v>
      </c>
      <c r="AH225" s="156">
        <f>S225*$AH$3</f>
        <v>67.799915125970898</v>
      </c>
      <c r="AI225" s="156">
        <f>S225*$AI$3</f>
        <v>135.5998302519418</v>
      </c>
      <c r="AJ225" s="156">
        <f>S225*$AJ$3</f>
        <v>135.5998302519418</v>
      </c>
      <c r="AK225" s="156">
        <f>S225*$AK$3</f>
        <v>474.59940588179637</v>
      </c>
      <c r="AL225" s="157">
        <f t="shared" si="151"/>
        <v>2086.5423880017543</v>
      </c>
      <c r="AM225" s="158">
        <f t="shared" si="152"/>
        <v>2200</v>
      </c>
      <c r="AN225" s="159">
        <v>0.2</v>
      </c>
      <c r="AO225" s="160">
        <f t="shared" si="153"/>
        <v>55440192.235453986</v>
      </c>
      <c r="AP225" s="161">
        <f t="shared" si="154"/>
        <v>15400.05463074149</v>
      </c>
      <c r="AQ225" s="162">
        <f t="shared" si="155"/>
        <v>3080.010926148298</v>
      </c>
      <c r="AR225" s="580">
        <f t="shared" si="156"/>
        <v>0.43949927599148086</v>
      </c>
      <c r="AS225" s="582">
        <f t="shared" si="157"/>
        <v>0.43949927599148086</v>
      </c>
      <c r="AT225" s="588"/>
      <c r="AU225" s="166"/>
      <c r="AV225" s="167"/>
      <c r="AW225" s="146"/>
      <c r="AX225" s="168"/>
    </row>
    <row r="226" spans="1:50" ht="11.25" x14ac:dyDescent="0.25">
      <c r="A226" s="140">
        <v>14</v>
      </c>
      <c r="B226" s="302" t="s">
        <v>265</v>
      </c>
      <c r="C226" s="235"/>
      <c r="D226" s="236"/>
      <c r="E226" s="236"/>
      <c r="F226" s="236"/>
      <c r="G226" s="236"/>
      <c r="H226" s="236"/>
      <c r="I226" s="236"/>
      <c r="J226" s="236">
        <f t="shared" si="158"/>
        <v>238507.34314480098</v>
      </c>
      <c r="K226" s="236">
        <f t="shared" si="159"/>
        <v>228970.97677643827</v>
      </c>
      <c r="L226" s="236">
        <f t="shared" si="160"/>
        <v>223640.09110182378</v>
      </c>
      <c r="M226" s="236">
        <f t="shared" si="161"/>
        <v>220767.65327480802</v>
      </c>
      <c r="N226" s="236">
        <v>224003</v>
      </c>
      <c r="O226" s="237"/>
      <c r="P226" s="223">
        <f t="shared" si="147"/>
        <v>238507.34314480098</v>
      </c>
      <c r="Q226" s="147">
        <f t="shared" si="148"/>
        <v>26235.807745928108</v>
      </c>
      <c r="R226" s="147">
        <f t="shared" si="149"/>
        <v>71.878925331309887</v>
      </c>
      <c r="S226" s="148">
        <f t="shared" si="150"/>
        <v>15741.484647556865</v>
      </c>
      <c r="T226" s="199"/>
      <c r="U226" s="150"/>
      <c r="V226" s="249"/>
      <c r="W226" s="249"/>
      <c r="X226" s="152"/>
      <c r="Y226" s="153"/>
      <c r="Z226" s="153"/>
      <c r="AA226" s="154"/>
      <c r="AB226" s="155">
        <f>S226*$AB$3</f>
        <v>9130.0610955829816</v>
      </c>
      <c r="AC226" s="156">
        <f>S226*$AC$3</f>
        <v>2046.3930041823926</v>
      </c>
      <c r="AD226" s="156">
        <f>S226*$AD$3</f>
        <v>1381.3152778231147</v>
      </c>
      <c r="AE226" s="156">
        <f>S226*$AE$3</f>
        <v>629.65938590227461</v>
      </c>
      <c r="AF226" s="156">
        <f>S226*$AF$3</f>
        <v>314.8296929511373</v>
      </c>
      <c r="AG226" s="156">
        <f>S226*$AG$3</f>
        <v>314.8296929511373</v>
      </c>
      <c r="AH226" s="156">
        <f>S226*$AH$3</f>
        <v>157.41484647556865</v>
      </c>
      <c r="AI226" s="156">
        <f>S226*$AI$3</f>
        <v>314.8296929511373</v>
      </c>
      <c r="AJ226" s="156">
        <f>S226*$AJ$3</f>
        <v>314.8296929511373</v>
      </c>
      <c r="AK226" s="156">
        <f>S226*$AK$3</f>
        <v>1101.9039253289807</v>
      </c>
      <c r="AL226" s="157">
        <f t="shared" si="151"/>
        <v>4844.4419002856257</v>
      </c>
      <c r="AM226" s="158">
        <f t="shared" si="152"/>
        <v>2200</v>
      </c>
      <c r="AN226" s="159">
        <v>0.2</v>
      </c>
      <c r="AO226" s="160">
        <f t="shared" si="153"/>
        <v>128718588.11482589</v>
      </c>
      <c r="AP226" s="161">
        <f t="shared" si="154"/>
        <v>35755.166225642482</v>
      </c>
      <c r="AQ226" s="162">
        <f t="shared" si="155"/>
        <v>7151.0332451284967</v>
      </c>
      <c r="AR226" s="580">
        <f t="shared" si="156"/>
        <v>1.0204099950240435</v>
      </c>
      <c r="AS226" s="582">
        <f t="shared" si="157"/>
        <v>1.0204099950240435</v>
      </c>
      <c r="AT226" s="588"/>
      <c r="AU226" s="166"/>
      <c r="AV226" s="167"/>
      <c r="AW226" s="146"/>
      <c r="AX226" s="168"/>
    </row>
    <row r="227" spans="1:50" s="263" customFormat="1" ht="11.25" x14ac:dyDescent="0.25">
      <c r="A227" s="225"/>
      <c r="B227" s="258" t="s">
        <v>266</v>
      </c>
      <c r="C227" s="240">
        <f t="shared" ref="C227:H227" si="162">SUM(C213:C226)</f>
        <v>0</v>
      </c>
      <c r="D227" s="240">
        <f t="shared" si="162"/>
        <v>0</v>
      </c>
      <c r="E227" s="240">
        <f t="shared" si="162"/>
        <v>0</v>
      </c>
      <c r="F227" s="240">
        <f t="shared" si="162"/>
        <v>0</v>
      </c>
      <c r="G227" s="240">
        <f t="shared" si="162"/>
        <v>0</v>
      </c>
      <c r="H227" s="240">
        <f t="shared" si="162"/>
        <v>0</v>
      </c>
      <c r="I227" s="240">
        <v>2004110</v>
      </c>
      <c r="J227" s="244">
        <v>2047550</v>
      </c>
      <c r="K227" s="244">
        <v>2132828</v>
      </c>
      <c r="L227" s="244">
        <v>2183668</v>
      </c>
      <c r="M227" s="244">
        <v>2212080</v>
      </c>
      <c r="N227" s="244">
        <f>SUM(N213:N226)</f>
        <v>2244498</v>
      </c>
      <c r="O227" s="303"/>
      <c r="P227" s="304">
        <f t="shared" si="147"/>
        <v>2244498</v>
      </c>
      <c r="Q227" s="304">
        <f>MAX(D227:P227)</f>
        <v>2244498</v>
      </c>
      <c r="R227" s="304">
        <f>MAX(E227:Q227)</f>
        <v>2244498</v>
      </c>
      <c r="S227" s="304">
        <f>MAX(F227:R227)</f>
        <v>2244498</v>
      </c>
      <c r="T227" s="199"/>
      <c r="U227" s="179"/>
      <c r="V227" s="180"/>
      <c r="W227" s="180"/>
      <c r="X227" s="227"/>
      <c r="Y227" s="181"/>
      <c r="Z227" s="181"/>
      <c r="AA227" s="182"/>
      <c r="AB227" s="240">
        <f>SUM(AB213:AB226)</f>
        <v>91482.720628356779</v>
      </c>
      <c r="AC227" s="244">
        <f t="shared" ref="AC227:AL227" si="163">SUM(AC213:AC226)</f>
        <v>20504.747727045491</v>
      </c>
      <c r="AD227" s="244">
        <f t="shared" si="163"/>
        <v>13840.704715755706</v>
      </c>
      <c r="AE227" s="244">
        <f t="shared" si="163"/>
        <v>6309.1531467832283</v>
      </c>
      <c r="AF227" s="244">
        <f t="shared" si="163"/>
        <v>3154.5765733916141</v>
      </c>
      <c r="AG227" s="244">
        <f t="shared" si="163"/>
        <v>3154.5765733916141</v>
      </c>
      <c r="AH227" s="244">
        <f t="shared" si="163"/>
        <v>1577.2882866958071</v>
      </c>
      <c r="AI227" s="244">
        <f t="shared" si="163"/>
        <v>3154.5765733916141</v>
      </c>
      <c r="AJ227" s="244">
        <f t="shared" si="163"/>
        <v>3154.5765733916141</v>
      </c>
      <c r="AK227" s="244">
        <f t="shared" si="163"/>
        <v>11041.018006870652</v>
      </c>
      <c r="AL227" s="245">
        <f t="shared" si="163"/>
        <v>48541.04702306346</v>
      </c>
      <c r="AM227" s="261"/>
      <c r="AN227" s="262"/>
      <c r="AO227" s="184">
        <f>SUM(AO213:AO226)</f>
        <v>1289753322.8865259</v>
      </c>
      <c r="AP227" s="184">
        <f t="shared" ref="AP227:AW227" si="164">SUM(AP213:AP226)</f>
        <v>358264.84057410882</v>
      </c>
      <c r="AQ227" s="184">
        <f t="shared" si="164"/>
        <v>71652.968114821764</v>
      </c>
      <c r="AR227" s="186">
        <f t="shared" si="164"/>
        <v>10.224453212731415</v>
      </c>
      <c r="AS227" s="435">
        <f t="shared" si="164"/>
        <v>10.224453212731415</v>
      </c>
      <c r="AT227" s="589"/>
      <c r="AU227" s="246">
        <f t="shared" si="164"/>
        <v>0</v>
      </c>
      <c r="AV227" s="246"/>
      <c r="AW227" s="185">
        <f t="shared" si="164"/>
        <v>0</v>
      </c>
      <c r="AX227" s="189"/>
    </row>
    <row r="228" spans="1:50" s="139" customFormat="1" ht="11.25" x14ac:dyDescent="0.25">
      <c r="A228" s="247"/>
      <c r="B228" s="152"/>
      <c r="C228" s="247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248"/>
      <c r="P228" s="249"/>
      <c r="Q228" s="250"/>
      <c r="R228" s="250"/>
      <c r="S228" s="251"/>
      <c r="T228" s="199"/>
      <c r="U228" s="179"/>
      <c r="V228" s="249"/>
      <c r="W228" s="249"/>
      <c r="X228" s="152"/>
      <c r="Y228" s="153"/>
      <c r="Z228" s="153"/>
      <c r="AA228" s="154"/>
      <c r="AB228" s="247"/>
      <c r="AC228" s="252"/>
      <c r="AD228" s="252"/>
      <c r="AE228" s="252"/>
      <c r="AF228" s="252"/>
      <c r="AG228" s="252"/>
      <c r="AH228" s="252"/>
      <c r="AI228" s="252"/>
      <c r="AJ228" s="252"/>
      <c r="AK228" s="252"/>
      <c r="AL228" s="214"/>
      <c r="AM228" s="203"/>
      <c r="AN228" s="204"/>
      <c r="AO228" s="203"/>
      <c r="AP228" s="205"/>
      <c r="AQ228" s="206"/>
      <c r="AR228" s="457"/>
      <c r="AS228" s="565"/>
      <c r="AT228" s="255"/>
      <c r="AU228" s="256"/>
      <c r="AV228" s="257"/>
      <c r="AW228" s="214"/>
      <c r="AX228" s="212"/>
    </row>
    <row r="229" spans="1:50" s="139" customFormat="1" ht="11.25" x14ac:dyDescent="0.25">
      <c r="A229" s="120"/>
      <c r="B229" s="258" t="s">
        <v>267</v>
      </c>
      <c r="C229" s="122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213"/>
      <c r="P229" s="76"/>
      <c r="Q229" s="108"/>
      <c r="R229" s="108"/>
      <c r="S229" s="94"/>
      <c r="T229" s="199"/>
      <c r="U229" s="179"/>
      <c r="V229" s="180"/>
      <c r="W229" s="180"/>
      <c r="X229" s="214"/>
      <c r="Y229" s="181"/>
      <c r="Z229" s="181"/>
      <c r="AA229" s="182"/>
      <c r="AB229" s="62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125"/>
      <c r="AM229" s="75"/>
      <c r="AN229" s="216"/>
      <c r="AO229" s="75"/>
      <c r="AP229" s="51"/>
      <c r="AQ229" s="259"/>
      <c r="AR229" s="583"/>
      <c r="AS229" s="584"/>
      <c r="AT229" s="587"/>
      <c r="AU229" s="135"/>
      <c r="AV229" s="136"/>
      <c r="AW229" s="137"/>
      <c r="AX229" s="138"/>
    </row>
    <row r="230" spans="1:50" ht="11.25" x14ac:dyDescent="0.25">
      <c r="A230" s="140">
        <v>1</v>
      </c>
      <c r="B230" s="302" t="s">
        <v>268</v>
      </c>
      <c r="C230" s="235"/>
      <c r="D230" s="236"/>
      <c r="E230" s="236"/>
      <c r="F230" s="236"/>
      <c r="G230" s="236"/>
      <c r="H230" s="236"/>
      <c r="I230" s="236"/>
      <c r="J230" s="236"/>
      <c r="K230" s="236"/>
      <c r="L230" s="236"/>
      <c r="M230" s="236">
        <v>230316</v>
      </c>
      <c r="N230" s="236"/>
      <c r="O230" s="237"/>
      <c r="P230" s="223">
        <f t="shared" ref="P230:P241" si="165">MAX(C230:O230)</f>
        <v>230316</v>
      </c>
      <c r="Q230" s="147">
        <f t="shared" ref="Q230:Q238" si="166">P230*$Q$8</f>
        <v>25334.76</v>
      </c>
      <c r="R230" s="147">
        <f t="shared" ref="R230:R241" si="167">Q230/$R$3</f>
        <v>69.410301369863006</v>
      </c>
      <c r="S230" s="148">
        <f t="shared" ref="S230:S238" si="168">R230*$S$3*$S$8</f>
        <v>15200.855999999998</v>
      </c>
      <c r="T230" s="199"/>
      <c r="U230" s="150"/>
      <c r="V230" s="249"/>
      <c r="W230" s="249"/>
      <c r="X230" s="152"/>
      <c r="Y230" s="153"/>
      <c r="Z230" s="153"/>
      <c r="AA230" s="154"/>
      <c r="AB230" s="155">
        <f>S230*$AB$3</f>
        <v>8816.496479999998</v>
      </c>
      <c r="AC230" s="156">
        <f>S230*$AC$3</f>
        <v>1976.1112799999999</v>
      </c>
      <c r="AD230" s="156">
        <f>S230*$AD$3</f>
        <v>1333.8751139999997</v>
      </c>
      <c r="AE230" s="156">
        <f>S230*$AE$3</f>
        <v>608.03423999999995</v>
      </c>
      <c r="AF230" s="156">
        <f>S230*$AF$3</f>
        <v>304.01711999999998</v>
      </c>
      <c r="AG230" s="156">
        <f>S230*$AG$3</f>
        <v>304.01711999999998</v>
      </c>
      <c r="AH230" s="156">
        <f>S230*$AH$3</f>
        <v>152.00855999999999</v>
      </c>
      <c r="AI230" s="156">
        <f>S230*$AI$3</f>
        <v>304.01711999999998</v>
      </c>
      <c r="AJ230" s="156">
        <f>S230*$AJ$3</f>
        <v>304.01711999999998</v>
      </c>
      <c r="AK230" s="156">
        <f>S230*$AK$3</f>
        <v>1064.0599199999999</v>
      </c>
      <c r="AL230" s="157">
        <f t="shared" ref="AL230:AL241" si="169">SUM(AC230:AH230)</f>
        <v>4678.0634339999997</v>
      </c>
      <c r="AM230" s="158">
        <f t="shared" ref="AM230:AM241" si="170">$AM$3</f>
        <v>2200</v>
      </c>
      <c r="AN230" s="159">
        <v>0.2</v>
      </c>
      <c r="AO230" s="160">
        <f t="shared" ref="AO230:AO241" si="171">(AB230+AL230)*AM230*$AO$3</f>
        <v>124297851.58545741</v>
      </c>
      <c r="AP230" s="161">
        <f t="shared" ref="AP230:AP241" si="172">AO230*$AP$3</f>
        <v>34527.183758134874</v>
      </c>
      <c r="AQ230" s="162">
        <f t="shared" ref="AQ230:AQ241" si="173">AP230*$AQ$3</f>
        <v>6905.4367516269749</v>
      </c>
      <c r="AR230" s="580">
        <f t="shared" ref="AR230:AR241" si="174">AQ230/$AR$3</f>
        <v>0.98536483328010482</v>
      </c>
      <c r="AS230" s="582">
        <f t="shared" ref="AS230:AS241" si="175">AR230</f>
        <v>0.98536483328010482</v>
      </c>
      <c r="AT230" s="588"/>
      <c r="AU230" s="166"/>
      <c r="AV230" s="167"/>
      <c r="AW230" s="146"/>
      <c r="AX230" s="168"/>
    </row>
    <row r="231" spans="1:50" ht="11.25" x14ac:dyDescent="0.25">
      <c r="A231" s="140">
        <v>2</v>
      </c>
      <c r="B231" s="302" t="s">
        <v>269</v>
      </c>
      <c r="C231" s="235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>
        <v>165091</v>
      </c>
      <c r="N231" s="236"/>
      <c r="O231" s="237"/>
      <c r="P231" s="223">
        <f t="shared" si="165"/>
        <v>165091</v>
      </c>
      <c r="Q231" s="147">
        <f t="shared" si="166"/>
        <v>18160.009999999998</v>
      </c>
      <c r="R231" s="147">
        <f t="shared" si="167"/>
        <v>49.753452054794515</v>
      </c>
      <c r="S231" s="148">
        <f t="shared" si="168"/>
        <v>10896.005999999999</v>
      </c>
      <c r="T231" s="199"/>
      <c r="U231" s="150"/>
      <c r="V231" s="249"/>
      <c r="W231" s="249"/>
      <c r="X231" s="152"/>
      <c r="Y231" s="153"/>
      <c r="Z231" s="153"/>
      <c r="AA231" s="154"/>
      <c r="AB231" s="155">
        <f>S231*$AB$3</f>
        <v>6319.6834799999988</v>
      </c>
      <c r="AC231" s="156">
        <f>S231*$AC$3</f>
        <v>1416.4807799999999</v>
      </c>
      <c r="AD231" s="156">
        <f>S231*$AD$3</f>
        <v>956.12452649999989</v>
      </c>
      <c r="AE231" s="156">
        <f>S231*$AE$3</f>
        <v>435.84023999999999</v>
      </c>
      <c r="AF231" s="156">
        <f>S231*$AF$3</f>
        <v>217.92012</v>
      </c>
      <c r="AG231" s="156">
        <f>S231*$AG$3</f>
        <v>217.92012</v>
      </c>
      <c r="AH231" s="156">
        <f>S231*$AH$3</f>
        <v>108.96006</v>
      </c>
      <c r="AI231" s="156">
        <f>S231*$AI$3</f>
        <v>217.92012</v>
      </c>
      <c r="AJ231" s="156">
        <f>S231*$AJ$3</f>
        <v>217.92012</v>
      </c>
      <c r="AK231" s="156">
        <f>S231*$AK$3</f>
        <v>762.72041999999999</v>
      </c>
      <c r="AL231" s="157">
        <f t="shared" si="169"/>
        <v>3353.2458464999995</v>
      </c>
      <c r="AM231" s="158">
        <f t="shared" si="170"/>
        <v>2200</v>
      </c>
      <c r="AN231" s="159">
        <v>0.2</v>
      </c>
      <c r="AO231" s="160">
        <f t="shared" si="171"/>
        <v>89096965.109218419</v>
      </c>
      <c r="AP231" s="161">
        <f t="shared" si="172"/>
        <v>24749.158954715451</v>
      </c>
      <c r="AQ231" s="162">
        <f t="shared" si="173"/>
        <v>4949.8317909430907</v>
      </c>
      <c r="AR231" s="580">
        <f t="shared" si="174"/>
        <v>0.70631161400443643</v>
      </c>
      <c r="AS231" s="582">
        <f t="shared" si="175"/>
        <v>0.70631161400443643</v>
      </c>
      <c r="AT231" s="588"/>
      <c r="AU231" s="166"/>
      <c r="AV231" s="167"/>
      <c r="AW231" s="146"/>
      <c r="AX231" s="168"/>
    </row>
    <row r="232" spans="1:50" ht="11.25" x14ac:dyDescent="0.25">
      <c r="A232" s="140">
        <v>3</v>
      </c>
      <c r="B232" s="302" t="s">
        <v>270</v>
      </c>
      <c r="C232" s="235"/>
      <c r="D232" s="236"/>
      <c r="E232" s="236"/>
      <c r="F232" s="236"/>
      <c r="G232" s="236"/>
      <c r="H232" s="236"/>
      <c r="I232" s="236"/>
      <c r="J232" s="236"/>
      <c r="K232" s="236"/>
      <c r="L232" s="236"/>
      <c r="M232" s="236">
        <v>255637</v>
      </c>
      <c r="N232" s="236"/>
      <c r="O232" s="237"/>
      <c r="P232" s="223">
        <f t="shared" si="165"/>
        <v>255637</v>
      </c>
      <c r="Q232" s="147">
        <f t="shared" si="166"/>
        <v>28120.07</v>
      </c>
      <c r="R232" s="147">
        <f t="shared" si="167"/>
        <v>77.04128767123288</v>
      </c>
      <c r="S232" s="148">
        <f t="shared" si="168"/>
        <v>16872.041999999998</v>
      </c>
      <c r="T232" s="199"/>
      <c r="U232" s="150"/>
      <c r="V232" s="249"/>
      <c r="W232" s="249"/>
      <c r="X232" s="152"/>
      <c r="Y232" s="153"/>
      <c r="Z232" s="153"/>
      <c r="AA232" s="154"/>
      <c r="AB232" s="155">
        <f>S232*$AB$3</f>
        <v>9785.7843599999978</v>
      </c>
      <c r="AC232" s="156">
        <f>S232*$AC$3</f>
        <v>2193.36546</v>
      </c>
      <c r="AD232" s="156">
        <f>S232*$AD$3</f>
        <v>1480.5216854999996</v>
      </c>
      <c r="AE232" s="156">
        <f>S232*$AE$3</f>
        <v>674.88167999999996</v>
      </c>
      <c r="AF232" s="156">
        <f>S232*$AF$3</f>
        <v>337.44083999999998</v>
      </c>
      <c r="AG232" s="156">
        <f>S232*$AG$3</f>
        <v>337.44083999999998</v>
      </c>
      <c r="AH232" s="156">
        <f>S232*$AH$3</f>
        <v>168.72041999999999</v>
      </c>
      <c r="AI232" s="156">
        <f>S232*$AI$3</f>
        <v>337.44083999999998</v>
      </c>
      <c r="AJ232" s="156">
        <f>S232*$AJ$3</f>
        <v>337.44083999999998</v>
      </c>
      <c r="AK232" s="156">
        <f>S232*$AK$3</f>
        <v>1181.04294</v>
      </c>
      <c r="AL232" s="157">
        <f t="shared" si="169"/>
        <v>5192.3709254999994</v>
      </c>
      <c r="AM232" s="158">
        <f t="shared" si="170"/>
        <v>2200</v>
      </c>
      <c r="AN232" s="159">
        <v>0.2</v>
      </c>
      <c r="AO232" s="160">
        <f t="shared" si="171"/>
        <v>137963189.20852906</v>
      </c>
      <c r="AP232" s="161">
        <f t="shared" si="172"/>
        <v>38323.111179328938</v>
      </c>
      <c r="AQ232" s="162">
        <f t="shared" si="173"/>
        <v>7664.6222358657878</v>
      </c>
      <c r="AR232" s="580">
        <f t="shared" si="174"/>
        <v>1.0936960953004835</v>
      </c>
      <c r="AS232" s="582">
        <f t="shared" si="175"/>
        <v>1.0936960953004835</v>
      </c>
      <c r="AT232" s="588"/>
      <c r="AU232" s="166"/>
      <c r="AV232" s="167"/>
      <c r="AW232" s="146"/>
      <c r="AX232" s="168"/>
    </row>
    <row r="233" spans="1:50" ht="11.25" x14ac:dyDescent="0.25">
      <c r="A233" s="140">
        <v>4</v>
      </c>
      <c r="B233" s="302" t="s">
        <v>271</v>
      </c>
      <c r="C233" s="235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>
        <v>179079</v>
      </c>
      <c r="N233" s="236"/>
      <c r="O233" s="237"/>
      <c r="P233" s="223">
        <f t="shared" si="165"/>
        <v>179079</v>
      </c>
      <c r="Q233" s="147">
        <f t="shared" si="166"/>
        <v>19698.689999999999</v>
      </c>
      <c r="R233" s="147">
        <f t="shared" si="167"/>
        <v>53.969013698630135</v>
      </c>
      <c r="S233" s="148">
        <f t="shared" si="168"/>
        <v>11819.213999999998</v>
      </c>
      <c r="T233" s="199"/>
      <c r="U233" s="150"/>
      <c r="V233" s="249"/>
      <c r="W233" s="249"/>
      <c r="X233" s="152"/>
      <c r="Y233" s="153"/>
      <c r="Z233" s="153"/>
      <c r="AA233" s="154"/>
      <c r="AB233" s="155">
        <f>S233*$AB$3</f>
        <v>6855.1441199999981</v>
      </c>
      <c r="AC233" s="156">
        <f>S233*$AC$3</f>
        <v>1536.4978199999998</v>
      </c>
      <c r="AD233" s="156">
        <f>S233*$AD$3</f>
        <v>1037.1360284999998</v>
      </c>
      <c r="AE233" s="156">
        <f>S233*$AE$3</f>
        <v>472.76855999999992</v>
      </c>
      <c r="AF233" s="156">
        <f>S233*$AF$3</f>
        <v>236.38427999999996</v>
      </c>
      <c r="AG233" s="156">
        <f>S233*$AG$3</f>
        <v>236.38427999999996</v>
      </c>
      <c r="AH233" s="156">
        <f>S233*$AH$3</f>
        <v>118.19213999999998</v>
      </c>
      <c r="AI233" s="156">
        <f>S233*$AI$3</f>
        <v>236.38427999999996</v>
      </c>
      <c r="AJ233" s="156">
        <f>S233*$AJ$3</f>
        <v>236.38427999999996</v>
      </c>
      <c r="AK233" s="156">
        <f>S233*$AK$3</f>
        <v>827.34497999999996</v>
      </c>
      <c r="AL233" s="157">
        <f t="shared" si="169"/>
        <v>3637.3631084999993</v>
      </c>
      <c r="AM233" s="158">
        <f t="shared" si="170"/>
        <v>2200</v>
      </c>
      <c r="AN233" s="159">
        <v>0.2</v>
      </c>
      <c r="AO233" s="160">
        <f t="shared" si="171"/>
        <v>96646064.381424323</v>
      </c>
      <c r="AP233" s="161">
        <f t="shared" si="172"/>
        <v>26846.131142530408</v>
      </c>
      <c r="AQ233" s="162">
        <f t="shared" si="173"/>
        <v>5369.2262285060824</v>
      </c>
      <c r="AR233" s="580">
        <f t="shared" si="174"/>
        <v>0.76615671068865332</v>
      </c>
      <c r="AS233" s="582">
        <f t="shared" si="175"/>
        <v>0.76615671068865332</v>
      </c>
      <c r="AT233" s="588"/>
      <c r="AU233" s="166"/>
      <c r="AV233" s="167"/>
      <c r="AW233" s="146"/>
      <c r="AX233" s="168"/>
    </row>
    <row r="234" spans="1:50" ht="11.25" x14ac:dyDescent="0.25">
      <c r="A234" s="140">
        <v>5</v>
      </c>
      <c r="B234" s="302" t="s">
        <v>272</v>
      </c>
      <c r="C234" s="235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>
        <v>62580</v>
      </c>
      <c r="N234" s="236"/>
      <c r="O234" s="237"/>
      <c r="P234" s="223">
        <f t="shared" si="165"/>
        <v>62580</v>
      </c>
      <c r="Q234" s="147">
        <f t="shared" si="166"/>
        <v>6883.8</v>
      </c>
      <c r="R234" s="147">
        <f t="shared" si="167"/>
        <v>18.859726027397262</v>
      </c>
      <c r="S234" s="148">
        <f t="shared" si="168"/>
        <v>4130.28</v>
      </c>
      <c r="T234" s="199"/>
      <c r="U234" s="150"/>
      <c r="V234" s="249"/>
      <c r="W234" s="249"/>
      <c r="X234" s="152"/>
      <c r="Y234" s="153"/>
      <c r="Z234" s="153"/>
      <c r="AA234" s="154"/>
      <c r="AB234" s="155">
        <f>S234*$AB$3</f>
        <v>2395.5623999999998</v>
      </c>
      <c r="AC234" s="156">
        <f>S234*$AC$3</f>
        <v>536.93639999999994</v>
      </c>
      <c r="AD234" s="156">
        <f>S234*$AD$3</f>
        <v>362.43206999999995</v>
      </c>
      <c r="AE234" s="156">
        <f>S234*$AE$3</f>
        <v>165.21119999999999</v>
      </c>
      <c r="AF234" s="156">
        <f>S234*$AF$3</f>
        <v>82.605599999999995</v>
      </c>
      <c r="AG234" s="156">
        <f>S234*$AG$3</f>
        <v>82.605599999999995</v>
      </c>
      <c r="AH234" s="156">
        <f>S234*$AH$3</f>
        <v>41.302799999999998</v>
      </c>
      <c r="AI234" s="156">
        <f>S234*$AI$3</f>
        <v>82.605599999999995</v>
      </c>
      <c r="AJ234" s="156">
        <f>S234*$AJ$3</f>
        <v>82.605599999999995</v>
      </c>
      <c r="AK234" s="156">
        <f>S234*$AK$3</f>
        <v>289.11959999999999</v>
      </c>
      <c r="AL234" s="157">
        <f t="shared" si="169"/>
        <v>1271.09367</v>
      </c>
      <c r="AM234" s="158">
        <f t="shared" si="170"/>
        <v>2200</v>
      </c>
      <c r="AN234" s="159">
        <v>0.2</v>
      </c>
      <c r="AO234" s="160">
        <f t="shared" si="171"/>
        <v>33773422.394527197</v>
      </c>
      <c r="AP234" s="161">
        <f t="shared" si="172"/>
        <v>9381.5069712224958</v>
      </c>
      <c r="AQ234" s="162">
        <f t="shared" si="173"/>
        <v>1876.3013942444993</v>
      </c>
      <c r="AR234" s="580">
        <f t="shared" si="174"/>
        <v>0.26773707109653244</v>
      </c>
      <c r="AS234" s="582">
        <f t="shared" si="175"/>
        <v>0.26773707109653244</v>
      </c>
      <c r="AT234" s="588"/>
      <c r="AU234" s="166"/>
      <c r="AV234" s="167"/>
      <c r="AW234" s="146"/>
      <c r="AX234" s="168"/>
    </row>
    <row r="235" spans="1:50" ht="11.25" x14ac:dyDescent="0.25">
      <c r="A235" s="140">
        <v>6</v>
      </c>
      <c r="B235" s="302" t="s">
        <v>273</v>
      </c>
      <c r="C235" s="235"/>
      <c r="D235" s="236"/>
      <c r="E235" s="236"/>
      <c r="F235" s="236"/>
      <c r="G235" s="236"/>
      <c r="H235" s="236"/>
      <c r="I235" s="236"/>
      <c r="J235" s="236"/>
      <c r="K235" s="236"/>
      <c r="L235" s="236"/>
      <c r="M235" s="236">
        <v>112663</v>
      </c>
      <c r="N235" s="236"/>
      <c r="O235" s="237"/>
      <c r="P235" s="223">
        <f t="shared" si="165"/>
        <v>112663</v>
      </c>
      <c r="Q235" s="147">
        <f t="shared" si="166"/>
        <v>12392.93</v>
      </c>
      <c r="R235" s="147">
        <f t="shared" si="167"/>
        <v>33.953232876712327</v>
      </c>
      <c r="S235" s="148">
        <f t="shared" si="168"/>
        <v>7435.7579999999998</v>
      </c>
      <c r="T235" s="199"/>
      <c r="U235" s="150"/>
      <c r="V235" s="249"/>
      <c r="W235" s="249"/>
      <c r="X235" s="152"/>
      <c r="Y235" s="153"/>
      <c r="Z235" s="153"/>
      <c r="AA235" s="154"/>
      <c r="AB235" s="155">
        <f>S235*$AB$3</f>
        <v>4312.7396399999998</v>
      </c>
      <c r="AC235" s="156">
        <f>S235*$AC$3</f>
        <v>966.64854000000003</v>
      </c>
      <c r="AD235" s="156">
        <f>S235*$AD$3</f>
        <v>652.48776449999991</v>
      </c>
      <c r="AE235" s="156">
        <f>S235*$AE$3</f>
        <v>297.43031999999999</v>
      </c>
      <c r="AF235" s="156">
        <f>S235*$AF$3</f>
        <v>148.71516</v>
      </c>
      <c r="AG235" s="156">
        <f>S235*$AG$3</f>
        <v>148.71516</v>
      </c>
      <c r="AH235" s="156">
        <f>S235*$AH$3</f>
        <v>74.357579999999999</v>
      </c>
      <c r="AI235" s="156">
        <f>S235*$AI$3</f>
        <v>148.71516</v>
      </c>
      <c r="AJ235" s="156">
        <f>S235*$AJ$3</f>
        <v>148.71516</v>
      </c>
      <c r="AK235" s="156">
        <f>S235*$AK$3</f>
        <v>520.50306</v>
      </c>
      <c r="AL235" s="157">
        <f t="shared" si="169"/>
        <v>2288.3545245</v>
      </c>
      <c r="AM235" s="158">
        <f t="shared" si="170"/>
        <v>2200</v>
      </c>
      <c r="AN235" s="159">
        <v>0.2</v>
      </c>
      <c r="AO235" s="160">
        <f t="shared" si="171"/>
        <v>60802414.305442922</v>
      </c>
      <c r="AP235" s="161">
        <f t="shared" si="172"/>
        <v>16889.560880454461</v>
      </c>
      <c r="AQ235" s="162">
        <f t="shared" si="173"/>
        <v>3377.9121760908924</v>
      </c>
      <c r="AR235" s="580">
        <f t="shared" si="174"/>
        <v>0.482008015994705</v>
      </c>
      <c r="AS235" s="582">
        <f t="shared" si="175"/>
        <v>0.482008015994705</v>
      </c>
      <c r="AT235" s="588"/>
      <c r="AU235" s="166"/>
      <c r="AV235" s="167"/>
      <c r="AW235" s="146"/>
      <c r="AX235" s="168"/>
    </row>
    <row r="236" spans="1:50" ht="11.25" x14ac:dyDescent="0.25">
      <c r="A236" s="140">
        <v>7</v>
      </c>
      <c r="B236" s="302" t="s">
        <v>274</v>
      </c>
      <c r="C236" s="235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>
        <v>140841</v>
      </c>
      <c r="N236" s="236"/>
      <c r="O236" s="237"/>
      <c r="P236" s="223">
        <f t="shared" si="165"/>
        <v>140841</v>
      </c>
      <c r="Q236" s="147">
        <f t="shared" si="166"/>
        <v>15492.51</v>
      </c>
      <c r="R236" s="147">
        <f t="shared" si="167"/>
        <v>42.445232876712332</v>
      </c>
      <c r="S236" s="148">
        <f t="shared" si="168"/>
        <v>9295.5060000000012</v>
      </c>
      <c r="T236" s="199"/>
      <c r="U236" s="150"/>
      <c r="V236" s="249"/>
      <c r="W236" s="249"/>
      <c r="X236" s="152"/>
      <c r="Y236" s="153"/>
      <c r="Z236" s="153"/>
      <c r="AA236" s="154"/>
      <c r="AB236" s="155">
        <f>S236*$AB$3</f>
        <v>5391.3934800000006</v>
      </c>
      <c r="AC236" s="156">
        <f>S236*$AC$3</f>
        <v>1208.4157800000003</v>
      </c>
      <c r="AD236" s="156">
        <f>S236*$AD$3</f>
        <v>815.68065150000007</v>
      </c>
      <c r="AE236" s="156">
        <f>S236*$AE$3</f>
        <v>371.82024000000007</v>
      </c>
      <c r="AF236" s="156">
        <f>S236*$AF$3</f>
        <v>185.91012000000003</v>
      </c>
      <c r="AG236" s="156">
        <f>S236*$AG$3</f>
        <v>185.91012000000003</v>
      </c>
      <c r="AH236" s="156">
        <f>S236*$AH$3</f>
        <v>92.955060000000017</v>
      </c>
      <c r="AI236" s="156">
        <f>S236*$AI$3</f>
        <v>185.91012000000003</v>
      </c>
      <c r="AJ236" s="156">
        <f>S236*$AJ$3</f>
        <v>185.91012000000003</v>
      </c>
      <c r="AK236" s="156">
        <f>S236*$AK$3</f>
        <v>650.68542000000014</v>
      </c>
      <c r="AL236" s="157">
        <f t="shared" si="169"/>
        <v>2860.6919715000008</v>
      </c>
      <c r="AM236" s="158">
        <f t="shared" si="170"/>
        <v>2200</v>
      </c>
      <c r="AN236" s="159">
        <v>0.2</v>
      </c>
      <c r="AO236" s="160">
        <f t="shared" si="171"/>
        <v>76009629.010348439</v>
      </c>
      <c r="AP236" s="161">
        <f t="shared" si="172"/>
        <v>21113.787525310767</v>
      </c>
      <c r="AQ236" s="162">
        <f t="shared" si="173"/>
        <v>4222.7575050621535</v>
      </c>
      <c r="AR236" s="580">
        <f t="shared" si="174"/>
        <v>0.60256242937530735</v>
      </c>
      <c r="AS236" s="582">
        <f t="shared" si="175"/>
        <v>0.60256242937530735</v>
      </c>
      <c r="AT236" s="588"/>
      <c r="AU236" s="166"/>
      <c r="AV236" s="167"/>
      <c r="AW236" s="146"/>
      <c r="AX236" s="168"/>
    </row>
    <row r="237" spans="1:50" ht="11.25" x14ac:dyDescent="0.25">
      <c r="A237" s="140">
        <v>8</v>
      </c>
      <c r="B237" s="302" t="s">
        <v>275</v>
      </c>
      <c r="C237" s="235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>
        <v>142922</v>
      </c>
      <c r="N237" s="236"/>
      <c r="O237" s="237"/>
      <c r="P237" s="223">
        <f t="shared" si="165"/>
        <v>142922</v>
      </c>
      <c r="Q237" s="147">
        <f t="shared" si="166"/>
        <v>15721.42</v>
      </c>
      <c r="R237" s="147">
        <f t="shared" si="167"/>
        <v>43.072383561643839</v>
      </c>
      <c r="S237" s="148">
        <f t="shared" si="168"/>
        <v>9432.8520000000008</v>
      </c>
      <c r="T237" s="199"/>
      <c r="U237" s="150"/>
      <c r="V237" s="249"/>
      <c r="W237" s="249"/>
      <c r="X237" s="152"/>
      <c r="Y237" s="153"/>
      <c r="Z237" s="153"/>
      <c r="AA237" s="154"/>
      <c r="AB237" s="155">
        <f>S237*$AB$3</f>
        <v>5471.0541599999997</v>
      </c>
      <c r="AC237" s="156">
        <f>S237*$AC$3</f>
        <v>1226.2707600000001</v>
      </c>
      <c r="AD237" s="156">
        <f>S237*$AD$3</f>
        <v>827.73276299999998</v>
      </c>
      <c r="AE237" s="156">
        <f>S237*$AE$3</f>
        <v>377.31408000000005</v>
      </c>
      <c r="AF237" s="156">
        <f>S237*$AF$3</f>
        <v>188.65704000000002</v>
      </c>
      <c r="AG237" s="156">
        <f>S237*$AG$3</f>
        <v>188.65704000000002</v>
      </c>
      <c r="AH237" s="156">
        <f>S237*$AH$3</f>
        <v>94.328520000000012</v>
      </c>
      <c r="AI237" s="156">
        <f>S237*$AI$3</f>
        <v>188.65704000000002</v>
      </c>
      <c r="AJ237" s="156">
        <f>S237*$AJ$3</f>
        <v>188.65704000000002</v>
      </c>
      <c r="AK237" s="156">
        <f>S237*$AK$3</f>
        <v>660.29964000000007</v>
      </c>
      <c r="AL237" s="157">
        <f t="shared" si="169"/>
        <v>2902.9602030000005</v>
      </c>
      <c r="AM237" s="158">
        <f t="shared" si="170"/>
        <v>2200</v>
      </c>
      <c r="AN237" s="159">
        <v>0.2</v>
      </c>
      <c r="AO237" s="160">
        <f t="shared" si="171"/>
        <v>77132711.337018475</v>
      </c>
      <c r="AP237" s="161">
        <f t="shared" si="172"/>
        <v>21425.75486323205</v>
      </c>
      <c r="AQ237" s="162">
        <f t="shared" si="173"/>
        <v>4285.1509726464101</v>
      </c>
      <c r="AR237" s="580">
        <f t="shared" si="174"/>
        <v>0.6114656068273987</v>
      </c>
      <c r="AS237" s="582">
        <f t="shared" si="175"/>
        <v>0.6114656068273987</v>
      </c>
      <c r="AT237" s="588"/>
      <c r="AU237" s="166"/>
      <c r="AV237" s="167"/>
      <c r="AW237" s="146"/>
      <c r="AX237" s="168"/>
    </row>
    <row r="238" spans="1:50" ht="11.25" x14ac:dyDescent="0.25">
      <c r="A238" s="140">
        <v>9</v>
      </c>
      <c r="B238" s="302" t="s">
        <v>276</v>
      </c>
      <c r="C238" s="235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>
        <v>15202</v>
      </c>
      <c r="N238" s="236"/>
      <c r="O238" s="237"/>
      <c r="P238" s="223">
        <f t="shared" si="165"/>
        <v>15202</v>
      </c>
      <c r="Q238" s="147">
        <f t="shared" si="166"/>
        <v>1672.22</v>
      </c>
      <c r="R238" s="147">
        <f t="shared" si="167"/>
        <v>4.5814246575342468</v>
      </c>
      <c r="S238" s="148">
        <f t="shared" si="168"/>
        <v>1003.332</v>
      </c>
      <c r="T238" s="199"/>
      <c r="U238" s="150"/>
      <c r="V238" s="249"/>
      <c r="W238" s="249"/>
      <c r="X238" s="152"/>
      <c r="Y238" s="153"/>
      <c r="Z238" s="153"/>
      <c r="AA238" s="154"/>
      <c r="AB238" s="155">
        <f>S238*$AB$3</f>
        <v>581.93255999999997</v>
      </c>
      <c r="AC238" s="156">
        <f>S238*$AC$3</f>
        <v>130.43316000000002</v>
      </c>
      <c r="AD238" s="156">
        <f>S238*$AD$3</f>
        <v>88.042383000000001</v>
      </c>
      <c r="AE238" s="156">
        <f>S238*$AE$3</f>
        <v>40.133279999999999</v>
      </c>
      <c r="AF238" s="156">
        <f>S238*$AF$3</f>
        <v>20.06664</v>
      </c>
      <c r="AG238" s="156">
        <f>S238*$AG$3</f>
        <v>20.06664</v>
      </c>
      <c r="AH238" s="156">
        <f>S238*$AH$3</f>
        <v>10.03332</v>
      </c>
      <c r="AI238" s="156">
        <f>S238*$AI$3</f>
        <v>20.06664</v>
      </c>
      <c r="AJ238" s="156">
        <f>S238*$AJ$3</f>
        <v>20.06664</v>
      </c>
      <c r="AK238" s="156">
        <f>S238*$AK$3</f>
        <v>70.233240000000009</v>
      </c>
      <c r="AL238" s="157">
        <f t="shared" si="169"/>
        <v>308.77542300000005</v>
      </c>
      <c r="AM238" s="158">
        <f t="shared" si="170"/>
        <v>2200</v>
      </c>
      <c r="AN238" s="159">
        <v>0.2</v>
      </c>
      <c r="AO238" s="160">
        <f t="shared" si="171"/>
        <v>8204275.60309368</v>
      </c>
      <c r="AP238" s="161">
        <f t="shared" si="172"/>
        <v>2278.9656276210358</v>
      </c>
      <c r="AQ238" s="162">
        <f t="shared" si="173"/>
        <v>455.7931255242072</v>
      </c>
      <c r="AR238" s="580">
        <f t="shared" si="174"/>
        <v>6.5038973391011307E-2</v>
      </c>
      <c r="AS238" s="582">
        <f t="shared" si="175"/>
        <v>6.5038973391011307E-2</v>
      </c>
      <c r="AT238" s="588"/>
      <c r="AU238" s="166"/>
      <c r="AV238" s="167"/>
      <c r="AW238" s="146"/>
      <c r="AX238" s="168"/>
    </row>
    <row r="239" spans="1:50" ht="11.25" x14ac:dyDescent="0.25">
      <c r="A239" s="140">
        <v>10</v>
      </c>
      <c r="B239" s="302" t="s">
        <v>277</v>
      </c>
      <c r="C239" s="235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>
        <v>557579</v>
      </c>
      <c r="N239" s="236"/>
      <c r="O239" s="237"/>
      <c r="P239" s="223">
        <f t="shared" si="165"/>
        <v>557579</v>
      </c>
      <c r="Q239" s="147">
        <f>P239*$Q$7</f>
        <v>81406.534</v>
      </c>
      <c r="R239" s="147">
        <f t="shared" si="167"/>
        <v>223.0316</v>
      </c>
      <c r="S239" s="148">
        <f>R239*$S$3*$S$7</f>
        <v>56984.573799999998</v>
      </c>
      <c r="T239" s="199"/>
      <c r="U239" s="150"/>
      <c r="V239" s="249"/>
      <c r="W239" s="249"/>
      <c r="X239" s="152"/>
      <c r="Y239" s="153"/>
      <c r="Z239" s="153"/>
      <c r="AA239" s="154"/>
      <c r="AB239" s="155">
        <f>S239*$AB$3</f>
        <v>33051.052803999999</v>
      </c>
      <c r="AC239" s="156">
        <f>S239*$AC$3</f>
        <v>7407.9945939999998</v>
      </c>
      <c r="AD239" s="156">
        <f>S239*$AD$3</f>
        <v>5000.3963509499999</v>
      </c>
      <c r="AE239" s="156">
        <f>S239*$AE$3</f>
        <v>2279.3829519999999</v>
      </c>
      <c r="AF239" s="156">
        <f>S239*$AF$3</f>
        <v>1139.691476</v>
      </c>
      <c r="AG239" s="156">
        <f>S239*$AG$3</f>
        <v>1139.691476</v>
      </c>
      <c r="AH239" s="156">
        <f>S239*$AH$3</f>
        <v>569.84573799999998</v>
      </c>
      <c r="AI239" s="156">
        <f>S239*$AI$3</f>
        <v>1139.691476</v>
      </c>
      <c r="AJ239" s="156">
        <f>S239*$AJ$3</f>
        <v>1139.691476</v>
      </c>
      <c r="AK239" s="156">
        <f>S239*$AK$3</f>
        <v>3988.9201660000003</v>
      </c>
      <c r="AL239" s="157">
        <f t="shared" si="169"/>
        <v>17537.002586949999</v>
      </c>
      <c r="AM239" s="158">
        <f t="shared" si="170"/>
        <v>2200</v>
      </c>
      <c r="AN239" s="159">
        <v>0.2</v>
      </c>
      <c r="AO239" s="160">
        <f t="shared" si="171"/>
        <v>465964554.68382478</v>
      </c>
      <c r="AP239" s="161">
        <f t="shared" si="172"/>
        <v>129434.60887805255</v>
      </c>
      <c r="AQ239" s="162">
        <f t="shared" si="173"/>
        <v>25886.92177561051</v>
      </c>
      <c r="AR239" s="580">
        <f t="shared" si="174"/>
        <v>3.693910070720678</v>
      </c>
      <c r="AS239" s="582">
        <f t="shared" si="175"/>
        <v>3.693910070720678</v>
      </c>
      <c r="AT239" s="588"/>
      <c r="AU239" s="166"/>
      <c r="AV239" s="167"/>
      <c r="AW239" s="146"/>
      <c r="AX239" s="168"/>
    </row>
    <row r="240" spans="1:50" ht="11.25" x14ac:dyDescent="0.25">
      <c r="A240" s="140">
        <v>11</v>
      </c>
      <c r="B240" s="302" t="s">
        <v>278</v>
      </c>
      <c r="C240" s="235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>
        <v>727500</v>
      </c>
      <c r="N240" s="236"/>
      <c r="O240" s="237"/>
      <c r="P240" s="223">
        <f t="shared" si="165"/>
        <v>727500</v>
      </c>
      <c r="Q240" s="147">
        <f>P240*$Q$7</f>
        <v>106215</v>
      </c>
      <c r="R240" s="147">
        <f t="shared" si="167"/>
        <v>291</v>
      </c>
      <c r="S240" s="148">
        <f>R240*$S$3*$S$7</f>
        <v>74350.5</v>
      </c>
      <c r="T240" s="199"/>
      <c r="U240" s="150"/>
      <c r="V240" s="249"/>
      <c r="W240" s="249"/>
      <c r="X240" s="152"/>
      <c r="Y240" s="153"/>
      <c r="Z240" s="153"/>
      <c r="AA240" s="154"/>
      <c r="AB240" s="155">
        <f>S240*$AB$3</f>
        <v>43123.289999999994</v>
      </c>
      <c r="AC240" s="156">
        <f>S240*$AC$3</f>
        <v>9665.5650000000005</v>
      </c>
      <c r="AD240" s="156">
        <f>S240*$AD$3</f>
        <v>6524.2563749999999</v>
      </c>
      <c r="AE240" s="156">
        <f>S240*$AE$3</f>
        <v>2974.02</v>
      </c>
      <c r="AF240" s="156">
        <f>S240*$AF$3</f>
        <v>1487.01</v>
      </c>
      <c r="AG240" s="156">
        <f>S240*$AG$3</f>
        <v>1487.01</v>
      </c>
      <c r="AH240" s="156">
        <f>S240*$AH$3</f>
        <v>743.505</v>
      </c>
      <c r="AI240" s="156">
        <f>S240*$AI$3</f>
        <v>1487.01</v>
      </c>
      <c r="AJ240" s="156">
        <f>S240*$AJ$3</f>
        <v>1487.01</v>
      </c>
      <c r="AK240" s="156">
        <f>S240*$AK$3</f>
        <v>5204.5350000000008</v>
      </c>
      <c r="AL240" s="157">
        <f t="shared" si="169"/>
        <v>22881.366374999998</v>
      </c>
      <c r="AM240" s="158">
        <f t="shared" si="170"/>
        <v>2200</v>
      </c>
      <c r="AN240" s="159">
        <v>0.2</v>
      </c>
      <c r="AO240" s="160">
        <f t="shared" si="171"/>
        <v>607966249.68386984</v>
      </c>
      <c r="AP240" s="161">
        <f t="shared" si="172"/>
        <v>168879.52731143605</v>
      </c>
      <c r="AQ240" s="162">
        <f t="shared" si="173"/>
        <v>33775.905462287214</v>
      </c>
      <c r="AR240" s="580">
        <f t="shared" si="174"/>
        <v>4.8196212132259149</v>
      </c>
      <c r="AS240" s="582">
        <f t="shared" si="175"/>
        <v>4.8196212132259149</v>
      </c>
      <c r="AT240" s="588"/>
      <c r="AU240" s="166"/>
      <c r="AV240" s="167"/>
      <c r="AW240" s="146"/>
      <c r="AX240" s="168"/>
    </row>
    <row r="241" spans="1:50" ht="11.25" x14ac:dyDescent="0.25">
      <c r="A241" s="140">
        <v>12</v>
      </c>
      <c r="B241" s="305" t="s">
        <v>279</v>
      </c>
      <c r="C241" s="235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>
        <v>143683</v>
      </c>
      <c r="N241" s="236"/>
      <c r="O241" s="237"/>
      <c r="P241" s="223">
        <f t="shared" si="165"/>
        <v>143683</v>
      </c>
      <c r="Q241" s="147">
        <f>P241*$Q$8</f>
        <v>15805.13</v>
      </c>
      <c r="R241" s="147">
        <f t="shared" si="167"/>
        <v>43.301726027397258</v>
      </c>
      <c r="S241" s="148">
        <f>R241*$S$3*$S$8</f>
        <v>9483.0779999999995</v>
      </c>
      <c r="T241" s="199"/>
      <c r="U241" s="150"/>
      <c r="V241" s="249"/>
      <c r="W241" s="249"/>
      <c r="X241" s="152"/>
      <c r="Y241" s="153"/>
      <c r="Z241" s="153"/>
      <c r="AA241" s="154"/>
      <c r="AB241" s="155">
        <f>S241*$AB$3</f>
        <v>5500.1852399999998</v>
      </c>
      <c r="AC241" s="156">
        <f>S241*$AC$3</f>
        <v>1232.8001400000001</v>
      </c>
      <c r="AD241" s="156">
        <f>S241*$AD$3</f>
        <v>832.14009449999992</v>
      </c>
      <c r="AE241" s="156">
        <f>S241*$AE$3</f>
        <v>379.32311999999996</v>
      </c>
      <c r="AF241" s="156">
        <f>S241*$AF$3</f>
        <v>189.66155999999998</v>
      </c>
      <c r="AG241" s="156">
        <f>S241*$AG$3</f>
        <v>189.66155999999998</v>
      </c>
      <c r="AH241" s="156">
        <f>S241*$AH$3</f>
        <v>94.83077999999999</v>
      </c>
      <c r="AI241" s="156">
        <f>S241*$AI$3</f>
        <v>189.66155999999998</v>
      </c>
      <c r="AJ241" s="156">
        <f>S241*$AJ$3</f>
        <v>189.66155999999998</v>
      </c>
      <c r="AK241" s="156">
        <f>S241*$AK$3</f>
        <v>663.81546000000003</v>
      </c>
      <c r="AL241" s="157">
        <f t="shared" si="169"/>
        <v>2918.4172544999997</v>
      </c>
      <c r="AM241" s="158">
        <f t="shared" si="170"/>
        <v>2200</v>
      </c>
      <c r="AN241" s="159">
        <v>0.2</v>
      </c>
      <c r="AO241" s="160">
        <f t="shared" si="171"/>
        <v>77543410.832739696</v>
      </c>
      <c r="AP241" s="161">
        <f t="shared" si="172"/>
        <v>21539.8380656146</v>
      </c>
      <c r="AQ241" s="162">
        <f t="shared" si="173"/>
        <v>4307.9676131229198</v>
      </c>
      <c r="AR241" s="580">
        <f t="shared" si="174"/>
        <v>0.61472140598215175</v>
      </c>
      <c r="AS241" s="582">
        <f t="shared" si="175"/>
        <v>0.61472140598215175</v>
      </c>
      <c r="AT241" s="588"/>
      <c r="AU241" s="166"/>
      <c r="AV241" s="167"/>
      <c r="AW241" s="167"/>
      <c r="AX241" s="168"/>
    </row>
    <row r="242" spans="1:50" s="263" customFormat="1" ht="11.25" x14ac:dyDescent="0.25">
      <c r="A242" s="225"/>
      <c r="B242" s="258" t="s">
        <v>280</v>
      </c>
      <c r="C242" s="240">
        <f>SUM(C230:C241)</f>
        <v>0</v>
      </c>
      <c r="D242" s="240">
        <f t="shared" ref="D242:AL242" si="176">SUM(D230:D241)</f>
        <v>0</v>
      </c>
      <c r="E242" s="240">
        <f t="shared" si="176"/>
        <v>0</v>
      </c>
      <c r="F242" s="240">
        <f t="shared" si="176"/>
        <v>0</v>
      </c>
      <c r="G242" s="240">
        <f t="shared" si="176"/>
        <v>0</v>
      </c>
      <c r="H242" s="240">
        <f t="shared" si="176"/>
        <v>0</v>
      </c>
      <c r="I242" s="240">
        <f t="shared" si="176"/>
        <v>0</v>
      </c>
      <c r="J242" s="240">
        <f t="shared" si="176"/>
        <v>0</v>
      </c>
      <c r="K242" s="240">
        <f t="shared" si="176"/>
        <v>0</v>
      </c>
      <c r="L242" s="240">
        <f t="shared" si="176"/>
        <v>0</v>
      </c>
      <c r="M242" s="240">
        <f>SUM(M230:M241)</f>
        <v>2733093</v>
      </c>
      <c r="N242" s="240">
        <f t="shared" si="176"/>
        <v>0</v>
      </c>
      <c r="O242" s="240">
        <f t="shared" si="176"/>
        <v>0</v>
      </c>
      <c r="P242" s="240">
        <f t="shared" si="176"/>
        <v>2733093</v>
      </c>
      <c r="Q242" s="240">
        <f t="shared" si="176"/>
        <v>346903.07400000002</v>
      </c>
      <c r="R242" s="240">
        <f t="shared" si="176"/>
        <v>950.4193808219178</v>
      </c>
      <c r="S242" s="240">
        <f t="shared" si="176"/>
        <v>226903.99779999998</v>
      </c>
      <c r="T242" s="199">
        <f t="shared" si="176"/>
        <v>0</v>
      </c>
      <c r="U242" s="241"/>
      <c r="V242" s="242">
        <f t="shared" si="176"/>
        <v>0</v>
      </c>
      <c r="W242" s="242">
        <f>SUM(W230:W241)</f>
        <v>0</v>
      </c>
      <c r="X242" s="242">
        <f>SUM(X230:X241)</f>
        <v>0</v>
      </c>
      <c r="Y242" s="199"/>
      <c r="Z242" s="199"/>
      <c r="AA242" s="243"/>
      <c r="AB242" s="240">
        <f t="shared" si="176"/>
        <v>131604.31872399998</v>
      </c>
      <c r="AC242" s="244">
        <f>SUM(AC230:AC241)</f>
        <v>29497.519714000002</v>
      </c>
      <c r="AD242" s="244">
        <f>SUM(AD230:AD241)</f>
        <v>19910.825806949997</v>
      </c>
      <c r="AE242" s="244">
        <f>SUM(AE230:AE241)</f>
        <v>9076.1599119999992</v>
      </c>
      <c r="AF242" s="244">
        <f>SUM(AF230:AF241)</f>
        <v>4538.0799559999996</v>
      </c>
      <c r="AG242" s="244">
        <f t="shared" si="176"/>
        <v>4538.0799559999996</v>
      </c>
      <c r="AH242" s="244">
        <f>SUM(AH230:AH241)</f>
        <v>2269.0399779999998</v>
      </c>
      <c r="AI242" s="244">
        <f t="shared" si="176"/>
        <v>4538.0799559999996</v>
      </c>
      <c r="AJ242" s="244">
        <f t="shared" si="176"/>
        <v>4538.0799559999996</v>
      </c>
      <c r="AK242" s="244">
        <f t="shared" si="176"/>
        <v>15883.279845999999</v>
      </c>
      <c r="AL242" s="245">
        <f t="shared" si="176"/>
        <v>69829.705322950002</v>
      </c>
      <c r="AM242" s="158"/>
      <c r="AN242" s="183"/>
      <c r="AO242" s="160">
        <f>SUM(AO230:AO241)</f>
        <v>1855400738.135494</v>
      </c>
      <c r="AP242" s="160">
        <f t="shared" ref="AP242:AW242" si="177">SUM(AP230:AP241)</f>
        <v>515389.13515765371</v>
      </c>
      <c r="AQ242" s="160">
        <f t="shared" si="177"/>
        <v>103077.82703153076</v>
      </c>
      <c r="AR242" s="186">
        <f t="shared" si="177"/>
        <v>14.708594039887378</v>
      </c>
      <c r="AS242" s="435">
        <f t="shared" si="177"/>
        <v>14.708594039887378</v>
      </c>
      <c r="AT242" s="589"/>
      <c r="AU242" s="246">
        <f t="shared" si="177"/>
        <v>0</v>
      </c>
      <c r="AV242" s="246"/>
      <c r="AW242" s="185">
        <f t="shared" si="177"/>
        <v>0</v>
      </c>
      <c r="AX242" s="189"/>
    </row>
    <row r="243" spans="1:50" s="139" customFormat="1" ht="11.25" x14ac:dyDescent="0.25">
      <c r="A243" s="247"/>
      <c r="B243" s="152"/>
      <c r="C243" s="247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248"/>
      <c r="P243" s="249"/>
      <c r="Q243" s="250"/>
      <c r="R243" s="250"/>
      <c r="S243" s="251"/>
      <c r="T243" s="199"/>
      <c r="U243" s="179"/>
      <c r="V243" s="249"/>
      <c r="W243" s="249"/>
      <c r="X243" s="152"/>
      <c r="Y243" s="153"/>
      <c r="Z243" s="153"/>
      <c r="AA243" s="154"/>
      <c r="AB243" s="247"/>
      <c r="AC243" s="252"/>
      <c r="AD243" s="252"/>
      <c r="AE243" s="252"/>
      <c r="AF243" s="252"/>
      <c r="AG243" s="252"/>
      <c r="AH243" s="252"/>
      <c r="AI243" s="252"/>
      <c r="AJ243" s="252"/>
      <c r="AK243" s="252"/>
      <c r="AL243" s="214"/>
      <c r="AM243" s="203"/>
      <c r="AN243" s="204"/>
      <c r="AO243" s="203"/>
      <c r="AP243" s="205"/>
      <c r="AQ243" s="206"/>
      <c r="AR243" s="457"/>
      <c r="AS243" s="565"/>
      <c r="AT243" s="255"/>
      <c r="AU243" s="256"/>
      <c r="AV243" s="257"/>
      <c r="AW243" s="214"/>
      <c r="AX243" s="212"/>
    </row>
    <row r="244" spans="1:50" s="139" customFormat="1" ht="11.25" x14ac:dyDescent="0.25">
      <c r="A244" s="120"/>
      <c r="B244" s="258" t="s">
        <v>281</v>
      </c>
      <c r="C244" s="122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213"/>
      <c r="P244" s="76"/>
      <c r="Q244" s="108"/>
      <c r="R244" s="108"/>
      <c r="S244" s="94"/>
      <c r="T244" s="199"/>
      <c r="U244" s="179"/>
      <c r="V244" s="180"/>
      <c r="W244" s="180"/>
      <c r="X244" s="214"/>
      <c r="Y244" s="181"/>
      <c r="Z244" s="181"/>
      <c r="AA244" s="182"/>
      <c r="AB244" s="62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125"/>
      <c r="AM244" s="75"/>
      <c r="AN244" s="216"/>
      <c r="AO244" s="75"/>
      <c r="AP244" s="51"/>
      <c r="AQ244" s="259"/>
      <c r="AR244" s="583"/>
      <c r="AS244" s="584"/>
      <c r="AT244" s="587"/>
      <c r="AU244" s="135"/>
      <c r="AV244" s="136"/>
      <c r="AW244" s="137"/>
      <c r="AX244" s="138"/>
    </row>
    <row r="245" spans="1:50" ht="11.25" x14ac:dyDescent="0.2">
      <c r="A245" s="140">
        <v>1</v>
      </c>
      <c r="B245" s="302" t="s">
        <v>282</v>
      </c>
      <c r="C245" s="235"/>
      <c r="D245" s="236"/>
      <c r="E245" s="236"/>
      <c r="F245" s="236"/>
      <c r="G245" s="236"/>
      <c r="H245" s="236"/>
      <c r="I245" s="306">
        <v>260640</v>
      </c>
      <c r="J245" s="306">
        <v>265629</v>
      </c>
      <c r="K245" s="306">
        <v>270091</v>
      </c>
      <c r="L245" s="306">
        <v>274526</v>
      </c>
      <c r="M245" s="306">
        <v>296333</v>
      </c>
      <c r="N245" s="306">
        <v>303430</v>
      </c>
      <c r="O245" s="307"/>
      <c r="P245" s="223">
        <f t="shared" ref="P245:P257" si="178">MAX(C245:O245)</f>
        <v>303430</v>
      </c>
      <c r="Q245" s="147">
        <f>P245*$Q$8</f>
        <v>33377.300000000003</v>
      </c>
      <c r="R245" s="147">
        <f t="shared" ref="R245:R257" si="179">Q245/$R$3</f>
        <v>91.444657534246588</v>
      </c>
      <c r="S245" s="148">
        <f>R245*$S$3*$S$8</f>
        <v>20026.38</v>
      </c>
      <c r="T245" s="199"/>
      <c r="U245" s="150"/>
      <c r="V245" s="249"/>
      <c r="W245" s="249"/>
      <c r="X245" s="152"/>
      <c r="Y245" s="153"/>
      <c r="Z245" s="153"/>
      <c r="AA245" s="154"/>
      <c r="AB245" s="155">
        <f>S245*$AB$3</f>
        <v>11615.3004</v>
      </c>
      <c r="AC245" s="156">
        <f>S245*$AC$3</f>
        <v>2603.4294000000004</v>
      </c>
      <c r="AD245" s="156">
        <f>S245*$AD$3</f>
        <v>1757.3148449999999</v>
      </c>
      <c r="AE245" s="156">
        <f>S245*$AE$3</f>
        <v>801.05520000000001</v>
      </c>
      <c r="AF245" s="156">
        <f>S245*$AF$3</f>
        <v>400.52760000000001</v>
      </c>
      <c r="AG245" s="156">
        <f>S245*$AG$3</f>
        <v>400.52760000000001</v>
      </c>
      <c r="AH245" s="156">
        <f>S245*$AH$3</f>
        <v>200.2638</v>
      </c>
      <c r="AI245" s="156">
        <f>S245*$AI$3</f>
        <v>400.52760000000001</v>
      </c>
      <c r="AJ245" s="156">
        <f>S245*$AJ$3</f>
        <v>400.52760000000001</v>
      </c>
      <c r="AK245" s="156">
        <f>S245*$AK$3</f>
        <v>1401.8466000000003</v>
      </c>
      <c r="AL245" s="157">
        <f>SUM(AC245:AH245)</f>
        <v>6163.1184450000001</v>
      </c>
      <c r="AM245" s="158">
        <f t="shared" ref="AM245:AM257" si="180">$AM$3</f>
        <v>2200</v>
      </c>
      <c r="AN245" s="159">
        <v>0.2</v>
      </c>
      <c r="AO245" s="160">
        <f t="shared" ref="AO245:AO257" si="181">(AB245+AL245)*AM245*$AO$3</f>
        <v>163756304.84454119</v>
      </c>
      <c r="AP245" s="161">
        <f t="shared" ref="AP245:AP257" si="182">AO245*$AP$3</f>
        <v>45487.866095845995</v>
      </c>
      <c r="AQ245" s="162">
        <f t="shared" ref="AQ245:AQ257" si="183">AP245*$AQ$3</f>
        <v>9097.5732191691986</v>
      </c>
      <c r="AR245" s="580">
        <f t="shared" ref="AR245:AR257" si="184">AQ245/$AR$3</f>
        <v>1.2981696945161527</v>
      </c>
      <c r="AS245" s="582">
        <f t="shared" ref="AS245:AS257" si="185">AR245</f>
        <v>1.2981696945161527</v>
      </c>
      <c r="AT245" s="588"/>
      <c r="AU245" s="166"/>
      <c r="AV245" s="167"/>
      <c r="AW245" s="146"/>
      <c r="AX245" s="168"/>
    </row>
    <row r="246" spans="1:50" ht="11.25" x14ac:dyDescent="0.2">
      <c r="A246" s="140">
        <v>2</v>
      </c>
      <c r="B246" s="302" t="s">
        <v>283</v>
      </c>
      <c r="C246" s="235"/>
      <c r="D246" s="236"/>
      <c r="E246" s="236"/>
      <c r="F246" s="236"/>
      <c r="G246" s="236"/>
      <c r="H246" s="236"/>
      <c r="I246" s="306">
        <v>269111</v>
      </c>
      <c r="J246" s="306">
        <v>272000</v>
      </c>
      <c r="K246" s="306">
        <v>276574</v>
      </c>
      <c r="L246" s="306">
        <v>281120</v>
      </c>
      <c r="M246" s="306">
        <v>290142</v>
      </c>
      <c r="N246" s="306">
        <v>296987</v>
      </c>
      <c r="O246" s="307"/>
      <c r="P246" s="223">
        <f t="shared" si="178"/>
        <v>296987</v>
      </c>
      <c r="Q246" s="147">
        <f>P246*$Q$8</f>
        <v>32668.57</v>
      </c>
      <c r="R246" s="147">
        <f t="shared" si="179"/>
        <v>89.502931506849308</v>
      </c>
      <c r="S246" s="148">
        <f>R246*$S$3*$S$8</f>
        <v>19601.141999999996</v>
      </c>
      <c r="T246" s="199"/>
      <c r="U246" s="150"/>
      <c r="V246" s="249"/>
      <c r="W246" s="249"/>
      <c r="X246" s="152"/>
      <c r="Y246" s="153"/>
      <c r="Z246" s="153"/>
      <c r="AA246" s="154"/>
      <c r="AB246" s="155">
        <f>S246*$AB$3</f>
        <v>11368.662359999997</v>
      </c>
      <c r="AC246" s="156">
        <f>S246*$AC$3</f>
        <v>2548.1484599999994</v>
      </c>
      <c r="AD246" s="156">
        <f>S246*$AD$3</f>
        <v>1720.0002104999996</v>
      </c>
      <c r="AE246" s="156">
        <f>S246*$AE$3</f>
        <v>784.04567999999983</v>
      </c>
      <c r="AF246" s="156">
        <f>S246*$AF$3</f>
        <v>392.02283999999992</v>
      </c>
      <c r="AG246" s="156">
        <f>S246*$AG$3</f>
        <v>392.02283999999992</v>
      </c>
      <c r="AH246" s="156">
        <f>S246*$AH$3</f>
        <v>196.01141999999996</v>
      </c>
      <c r="AI246" s="156">
        <f>S246*$AI$3</f>
        <v>392.02283999999992</v>
      </c>
      <c r="AJ246" s="156">
        <f>S246*$AJ$3</f>
        <v>392.02283999999992</v>
      </c>
      <c r="AK246" s="156">
        <f>S246*$AK$3</f>
        <v>1372.0799399999999</v>
      </c>
      <c r="AL246" s="157">
        <f t="shared" ref="AL246:AL257" si="186">SUM(AC246:AH246)</f>
        <v>6032.2514504999981</v>
      </c>
      <c r="AM246" s="158">
        <f t="shared" si="180"/>
        <v>2200</v>
      </c>
      <c r="AN246" s="159">
        <v>0.2</v>
      </c>
      <c r="AO246" s="160">
        <f t="shared" si="181"/>
        <v>160279121.07196301</v>
      </c>
      <c r="AP246" s="161">
        <f t="shared" si="182"/>
        <v>44521.981637303528</v>
      </c>
      <c r="AQ246" s="162">
        <f t="shared" si="183"/>
        <v>8904.3963274607067</v>
      </c>
      <c r="AR246" s="580">
        <f t="shared" si="184"/>
        <v>1.2706044987814935</v>
      </c>
      <c r="AS246" s="582">
        <f t="shared" si="185"/>
        <v>1.2706044987814935</v>
      </c>
      <c r="AT246" s="588"/>
      <c r="AU246" s="166"/>
      <c r="AV246" s="167"/>
      <c r="AW246" s="146"/>
      <c r="AX246" s="168"/>
    </row>
    <row r="247" spans="1:50" ht="11.25" x14ac:dyDescent="0.2">
      <c r="A247" s="140">
        <v>3</v>
      </c>
      <c r="B247" s="302" t="s">
        <v>284</v>
      </c>
      <c r="C247" s="235"/>
      <c r="D247" s="236"/>
      <c r="E247" s="236"/>
      <c r="F247" s="236"/>
      <c r="G247" s="236"/>
      <c r="H247" s="236"/>
      <c r="I247" s="306">
        <v>470048</v>
      </c>
      <c r="J247" s="306">
        <v>480010</v>
      </c>
      <c r="K247" s="306">
        <v>489056</v>
      </c>
      <c r="L247" s="306">
        <v>498088</v>
      </c>
      <c r="M247" s="306">
        <v>506839</v>
      </c>
      <c r="N247" s="306">
        <v>516663</v>
      </c>
      <c r="O247" s="307"/>
      <c r="P247" s="223">
        <f t="shared" si="178"/>
        <v>516663</v>
      </c>
      <c r="Q247" s="147">
        <f>P247*$Q$7</f>
        <v>75432.797999999995</v>
      </c>
      <c r="R247" s="147">
        <f t="shared" si="179"/>
        <v>206.6652</v>
      </c>
      <c r="S247" s="148">
        <f>R247*$S$3*$S$7</f>
        <v>52802.958599999991</v>
      </c>
      <c r="T247" s="199"/>
      <c r="U247" s="150"/>
      <c r="V247" s="249"/>
      <c r="W247" s="249"/>
      <c r="X247" s="152"/>
      <c r="Y247" s="153"/>
      <c r="Z247" s="153"/>
      <c r="AA247" s="154"/>
      <c r="AB247" s="155">
        <f>S247*$AB$3</f>
        <v>30625.715987999993</v>
      </c>
      <c r="AC247" s="156">
        <f>S247*$AC$3</f>
        <v>6864.3846179999991</v>
      </c>
      <c r="AD247" s="156">
        <f>S247*$AD$3</f>
        <v>4633.4596171499988</v>
      </c>
      <c r="AE247" s="156">
        <f>S247*$AE$3</f>
        <v>2112.1183439999995</v>
      </c>
      <c r="AF247" s="156">
        <f>S247*$AF$3</f>
        <v>1056.0591719999998</v>
      </c>
      <c r="AG247" s="156">
        <f>S247*$AG$3</f>
        <v>1056.0591719999998</v>
      </c>
      <c r="AH247" s="156">
        <f>S247*$AH$3</f>
        <v>528.02958599999988</v>
      </c>
      <c r="AI247" s="156">
        <f>S247*$AI$3</f>
        <v>1056.0591719999998</v>
      </c>
      <c r="AJ247" s="156">
        <f>S247*$AJ$3</f>
        <v>1056.0591719999998</v>
      </c>
      <c r="AK247" s="156">
        <f>S247*$AK$3</f>
        <v>3696.2071019999998</v>
      </c>
      <c r="AL247" s="157">
        <f t="shared" si="186"/>
        <v>16250.110509149996</v>
      </c>
      <c r="AM247" s="158">
        <f t="shared" si="180"/>
        <v>2200</v>
      </c>
      <c r="AN247" s="159">
        <v>0.2</v>
      </c>
      <c r="AO247" s="160">
        <f t="shared" si="181"/>
        <v>431771362.83218867</v>
      </c>
      <c r="AP247" s="161">
        <f t="shared" si="182"/>
        <v>119936.49927052713</v>
      </c>
      <c r="AQ247" s="162">
        <f t="shared" si="183"/>
        <v>23987.299854105426</v>
      </c>
      <c r="AR247" s="580">
        <f t="shared" si="184"/>
        <v>3.4228452988164135</v>
      </c>
      <c r="AS247" s="582">
        <f t="shared" si="185"/>
        <v>3.4228452988164135</v>
      </c>
      <c r="AT247" s="588"/>
      <c r="AU247" s="166"/>
      <c r="AV247" s="167"/>
      <c r="AW247" s="146"/>
      <c r="AX247" s="168"/>
    </row>
    <row r="248" spans="1:50" ht="11.25" x14ac:dyDescent="0.2">
      <c r="A248" s="140">
        <v>4</v>
      </c>
      <c r="B248" s="302" t="s">
        <v>285</v>
      </c>
      <c r="C248" s="235"/>
      <c r="D248" s="236"/>
      <c r="E248" s="236"/>
      <c r="F248" s="236"/>
      <c r="G248" s="236"/>
      <c r="H248" s="236"/>
      <c r="I248" s="306">
        <v>266313</v>
      </c>
      <c r="J248" s="306">
        <v>269448</v>
      </c>
      <c r="K248" s="306">
        <v>272332</v>
      </c>
      <c r="L248" s="306">
        <v>275145</v>
      </c>
      <c r="M248" s="306">
        <v>276147</v>
      </c>
      <c r="N248" s="306">
        <v>278678</v>
      </c>
      <c r="O248" s="307"/>
      <c r="P248" s="223">
        <f t="shared" si="178"/>
        <v>278678</v>
      </c>
      <c r="Q248" s="147">
        <f t="shared" ref="Q248:Q254" si="187">P248*$Q$8</f>
        <v>30654.58</v>
      </c>
      <c r="R248" s="147">
        <f t="shared" si="179"/>
        <v>83.985150684931511</v>
      </c>
      <c r="S248" s="148">
        <f t="shared" ref="S248:S254" si="188">R248*$S$3*$S$8</f>
        <v>18392.748</v>
      </c>
      <c r="T248" s="199"/>
      <c r="U248" s="150"/>
      <c r="V248" s="249"/>
      <c r="W248" s="249"/>
      <c r="X248" s="152"/>
      <c r="Y248" s="153"/>
      <c r="Z248" s="153"/>
      <c r="AA248" s="154"/>
      <c r="AB248" s="155">
        <f>S248*$AB$3</f>
        <v>10667.793839999998</v>
      </c>
      <c r="AC248" s="156">
        <f>S248*$AC$3</f>
        <v>2391.0572400000001</v>
      </c>
      <c r="AD248" s="156">
        <f>S248*$AD$3</f>
        <v>1613.9636369999998</v>
      </c>
      <c r="AE248" s="156">
        <f>S248*$AE$3</f>
        <v>735.70992000000001</v>
      </c>
      <c r="AF248" s="156">
        <f>S248*$AF$3</f>
        <v>367.85496000000001</v>
      </c>
      <c r="AG248" s="156">
        <f>S248*$AG$3</f>
        <v>367.85496000000001</v>
      </c>
      <c r="AH248" s="156">
        <f>S248*$AH$3</f>
        <v>183.92748</v>
      </c>
      <c r="AI248" s="156">
        <f>S248*$AI$3</f>
        <v>367.85496000000001</v>
      </c>
      <c r="AJ248" s="156">
        <f>S248*$AJ$3</f>
        <v>367.85496000000001</v>
      </c>
      <c r="AK248" s="156">
        <f>S248*$AK$3</f>
        <v>1287.4923600000002</v>
      </c>
      <c r="AL248" s="157">
        <f t="shared" si="186"/>
        <v>5660.3681969999998</v>
      </c>
      <c r="AM248" s="158">
        <f t="shared" si="180"/>
        <v>2200</v>
      </c>
      <c r="AN248" s="159">
        <v>0.2</v>
      </c>
      <c r="AO248" s="160">
        <f t="shared" si="181"/>
        <v>150398047.3963255</v>
      </c>
      <c r="AP248" s="161">
        <f t="shared" si="182"/>
        <v>41777.238730047022</v>
      </c>
      <c r="AQ248" s="162">
        <f t="shared" si="183"/>
        <v>8355.447746009404</v>
      </c>
      <c r="AR248" s="580">
        <f t="shared" si="184"/>
        <v>1.192272794807278</v>
      </c>
      <c r="AS248" s="582">
        <f t="shared" si="185"/>
        <v>1.192272794807278</v>
      </c>
      <c r="AT248" s="588"/>
      <c r="AU248" s="166"/>
      <c r="AV248" s="167"/>
      <c r="AW248" s="146"/>
      <c r="AX248" s="168"/>
    </row>
    <row r="249" spans="1:50" ht="11.25" x14ac:dyDescent="0.2">
      <c r="A249" s="140">
        <v>5</v>
      </c>
      <c r="B249" s="302" t="s">
        <v>286</v>
      </c>
      <c r="C249" s="235"/>
      <c r="D249" s="236"/>
      <c r="E249" s="236"/>
      <c r="F249" s="236"/>
      <c r="G249" s="236"/>
      <c r="H249" s="236"/>
      <c r="I249" s="306">
        <v>150587</v>
      </c>
      <c r="J249" s="306">
        <v>152077</v>
      </c>
      <c r="K249" s="306">
        <v>153066</v>
      </c>
      <c r="L249" s="306">
        <v>154005</v>
      </c>
      <c r="M249" s="306">
        <v>167877</v>
      </c>
      <c r="N249" s="306">
        <v>170468</v>
      </c>
      <c r="O249" s="307"/>
      <c r="P249" s="223">
        <f t="shared" si="178"/>
        <v>170468</v>
      </c>
      <c r="Q249" s="147">
        <f t="shared" si="187"/>
        <v>18751.48</v>
      </c>
      <c r="R249" s="147">
        <f t="shared" si="179"/>
        <v>51.373917808219176</v>
      </c>
      <c r="S249" s="148">
        <f t="shared" si="188"/>
        <v>11250.887999999999</v>
      </c>
      <c r="T249" s="199"/>
      <c r="U249" s="150"/>
      <c r="V249" s="249"/>
      <c r="W249" s="249"/>
      <c r="X249" s="152"/>
      <c r="Y249" s="153"/>
      <c r="Z249" s="153"/>
      <c r="AA249" s="154"/>
      <c r="AB249" s="155">
        <f>S249*$AB$3</f>
        <v>6525.5150399999993</v>
      </c>
      <c r="AC249" s="156">
        <f>S249*$AC$3</f>
        <v>1462.6154399999998</v>
      </c>
      <c r="AD249" s="156">
        <f>S249*$AD$3</f>
        <v>987.26542199999983</v>
      </c>
      <c r="AE249" s="156">
        <f>S249*$AE$3</f>
        <v>450.03551999999996</v>
      </c>
      <c r="AF249" s="156">
        <f>S249*$AF$3</f>
        <v>225.01775999999998</v>
      </c>
      <c r="AG249" s="156">
        <f>S249*$AG$3</f>
        <v>225.01775999999998</v>
      </c>
      <c r="AH249" s="156">
        <f>S249*$AH$3</f>
        <v>112.50887999999999</v>
      </c>
      <c r="AI249" s="156">
        <f>S249*$AI$3</f>
        <v>225.01775999999998</v>
      </c>
      <c r="AJ249" s="156">
        <f>S249*$AJ$3</f>
        <v>225.01775999999998</v>
      </c>
      <c r="AK249" s="156">
        <f>S249*$AK$3</f>
        <v>787.56215999999995</v>
      </c>
      <c r="AL249" s="157">
        <f t="shared" si="186"/>
        <v>3462.4607819999997</v>
      </c>
      <c r="AM249" s="158">
        <f t="shared" si="180"/>
        <v>2200</v>
      </c>
      <c r="AN249" s="159">
        <v>0.2</v>
      </c>
      <c r="AO249" s="160">
        <f t="shared" si="181"/>
        <v>91998845.777409106</v>
      </c>
      <c r="AP249" s="161">
        <f t="shared" si="182"/>
        <v>25555.23698258799</v>
      </c>
      <c r="AQ249" s="162">
        <f t="shared" si="183"/>
        <v>5111.0473965175988</v>
      </c>
      <c r="AR249" s="580">
        <f t="shared" si="184"/>
        <v>0.72931612393230572</v>
      </c>
      <c r="AS249" s="582">
        <f t="shared" si="185"/>
        <v>0.72931612393230572</v>
      </c>
      <c r="AT249" s="588"/>
      <c r="AU249" s="166"/>
      <c r="AV249" s="167"/>
      <c r="AW249" s="146"/>
      <c r="AX249" s="168"/>
    </row>
    <row r="250" spans="1:50" ht="11.25" x14ac:dyDescent="0.2">
      <c r="A250" s="140">
        <v>6</v>
      </c>
      <c r="B250" s="302" t="s">
        <v>287</v>
      </c>
      <c r="C250" s="235"/>
      <c r="D250" s="236"/>
      <c r="E250" s="236"/>
      <c r="F250" s="236"/>
      <c r="G250" s="236"/>
      <c r="H250" s="236"/>
      <c r="I250" s="306">
        <v>205765</v>
      </c>
      <c r="J250" s="306">
        <v>207402</v>
      </c>
      <c r="K250" s="306">
        <v>208571</v>
      </c>
      <c r="L250" s="306">
        <v>209669</v>
      </c>
      <c r="M250" s="306">
        <v>212485</v>
      </c>
      <c r="N250" s="306">
        <v>213747</v>
      </c>
      <c r="O250" s="307"/>
      <c r="P250" s="223">
        <f t="shared" si="178"/>
        <v>213747</v>
      </c>
      <c r="Q250" s="147">
        <f t="shared" si="187"/>
        <v>23512.170000000002</v>
      </c>
      <c r="R250" s="147">
        <f t="shared" si="179"/>
        <v>64.416904109589041</v>
      </c>
      <c r="S250" s="148">
        <f t="shared" si="188"/>
        <v>14107.301999999998</v>
      </c>
      <c r="T250" s="199"/>
      <c r="U250" s="150"/>
      <c r="V250" s="249"/>
      <c r="W250" s="249"/>
      <c r="X250" s="152"/>
      <c r="Y250" s="153"/>
      <c r="Z250" s="153"/>
      <c r="AA250" s="154"/>
      <c r="AB250" s="155">
        <f>S250*$AB$3</f>
        <v>8182.2351599999984</v>
      </c>
      <c r="AC250" s="156">
        <f>S250*$AC$3</f>
        <v>1833.9492599999999</v>
      </c>
      <c r="AD250" s="156">
        <f>S250*$AD$3</f>
        <v>1237.9157504999998</v>
      </c>
      <c r="AE250" s="156">
        <f>S250*$AE$3</f>
        <v>564.29207999999994</v>
      </c>
      <c r="AF250" s="156">
        <f>S250*$AF$3</f>
        <v>282.14603999999997</v>
      </c>
      <c r="AG250" s="156">
        <f>S250*$AG$3</f>
        <v>282.14603999999997</v>
      </c>
      <c r="AH250" s="156">
        <f>S250*$AH$3</f>
        <v>141.07301999999999</v>
      </c>
      <c r="AI250" s="156">
        <f>S250*$AI$3</f>
        <v>282.14603999999997</v>
      </c>
      <c r="AJ250" s="156">
        <f>S250*$AJ$3</f>
        <v>282.14603999999997</v>
      </c>
      <c r="AK250" s="156">
        <f>S250*$AK$3</f>
        <v>987.51113999999995</v>
      </c>
      <c r="AL250" s="157">
        <f t="shared" si="186"/>
        <v>4341.5221904999999</v>
      </c>
      <c r="AM250" s="158">
        <f t="shared" si="180"/>
        <v>2200</v>
      </c>
      <c r="AN250" s="159">
        <v>0.2</v>
      </c>
      <c r="AO250" s="160">
        <f t="shared" si="181"/>
        <v>115355828.00516145</v>
      </c>
      <c r="AP250" s="161">
        <f t="shared" si="182"/>
        <v>32043.288120452136</v>
      </c>
      <c r="AQ250" s="162">
        <f t="shared" si="183"/>
        <v>6408.6576240904278</v>
      </c>
      <c r="AR250" s="580">
        <f t="shared" si="184"/>
        <v>0.91447740069783501</v>
      </c>
      <c r="AS250" s="582">
        <f t="shared" si="185"/>
        <v>0.91447740069783501</v>
      </c>
      <c r="AT250" s="588"/>
      <c r="AU250" s="166"/>
      <c r="AV250" s="167"/>
      <c r="AW250" s="146"/>
      <c r="AX250" s="168"/>
    </row>
    <row r="251" spans="1:50" ht="11.25" x14ac:dyDescent="0.2">
      <c r="A251" s="140">
        <v>7</v>
      </c>
      <c r="B251" s="302" t="s">
        <v>288</v>
      </c>
      <c r="C251" s="235"/>
      <c r="D251" s="236"/>
      <c r="E251" s="236"/>
      <c r="F251" s="236"/>
      <c r="G251" s="236"/>
      <c r="H251" s="236"/>
      <c r="I251" s="306">
        <v>239650</v>
      </c>
      <c r="J251" s="306">
        <v>242189</v>
      </c>
      <c r="K251" s="306">
        <v>244192</v>
      </c>
      <c r="L251" s="306">
        <v>246120</v>
      </c>
      <c r="M251" s="306">
        <v>243460</v>
      </c>
      <c r="N251" s="306">
        <v>244889</v>
      </c>
      <c r="O251" s="307"/>
      <c r="P251" s="223">
        <f t="shared" si="178"/>
        <v>246120</v>
      </c>
      <c r="Q251" s="147">
        <f t="shared" si="187"/>
        <v>27073.200000000001</v>
      </c>
      <c r="R251" s="147">
        <f t="shared" si="179"/>
        <v>74.173150684931514</v>
      </c>
      <c r="S251" s="148">
        <f t="shared" si="188"/>
        <v>16243.920000000002</v>
      </c>
      <c r="T251" s="199"/>
      <c r="U251" s="150"/>
      <c r="V251" s="249"/>
      <c r="W251" s="249"/>
      <c r="X251" s="152"/>
      <c r="Y251" s="153"/>
      <c r="Z251" s="153"/>
      <c r="AA251" s="154"/>
      <c r="AB251" s="155">
        <f>S251*$AB$3</f>
        <v>9421.4736000000012</v>
      </c>
      <c r="AC251" s="156">
        <f>S251*$AC$3</f>
        <v>2111.7096000000001</v>
      </c>
      <c r="AD251" s="156">
        <f>S251*$AD$3</f>
        <v>1425.40398</v>
      </c>
      <c r="AE251" s="156">
        <f>S251*$AE$3</f>
        <v>649.75680000000011</v>
      </c>
      <c r="AF251" s="156">
        <f>S251*$AF$3</f>
        <v>324.87840000000006</v>
      </c>
      <c r="AG251" s="156">
        <f>S251*$AG$3</f>
        <v>324.87840000000006</v>
      </c>
      <c r="AH251" s="156">
        <f>S251*$AH$3</f>
        <v>162.43920000000003</v>
      </c>
      <c r="AI251" s="156">
        <f>S251*$AI$3</f>
        <v>324.87840000000006</v>
      </c>
      <c r="AJ251" s="156">
        <f>S251*$AJ$3</f>
        <v>324.87840000000006</v>
      </c>
      <c r="AK251" s="156">
        <f>S251*$AK$3</f>
        <v>1137.0744000000002</v>
      </c>
      <c r="AL251" s="157">
        <f t="shared" si="186"/>
        <v>4999.0663799999993</v>
      </c>
      <c r="AM251" s="158">
        <f t="shared" si="180"/>
        <v>2200</v>
      </c>
      <c r="AN251" s="159">
        <v>0.2</v>
      </c>
      <c r="AO251" s="160">
        <f t="shared" si="181"/>
        <v>132827016.93418081</v>
      </c>
      <c r="AP251" s="161">
        <f t="shared" si="182"/>
        <v>36896.396544539493</v>
      </c>
      <c r="AQ251" s="162">
        <f t="shared" si="183"/>
        <v>7379.2793089078987</v>
      </c>
      <c r="AR251" s="580">
        <f t="shared" si="184"/>
        <v>1.052979353440054</v>
      </c>
      <c r="AS251" s="582">
        <f t="shared" si="185"/>
        <v>1.052979353440054</v>
      </c>
      <c r="AT251" s="588"/>
      <c r="AU251" s="166"/>
      <c r="AV251" s="167"/>
      <c r="AW251" s="146"/>
      <c r="AX251" s="168"/>
    </row>
    <row r="252" spans="1:50" ht="11.25" x14ac:dyDescent="0.2">
      <c r="A252" s="140">
        <v>8</v>
      </c>
      <c r="B252" s="302" t="s">
        <v>289</v>
      </c>
      <c r="C252" s="235"/>
      <c r="D252" s="236"/>
      <c r="E252" s="236"/>
      <c r="F252" s="236"/>
      <c r="G252" s="236"/>
      <c r="H252" s="236"/>
      <c r="I252" s="306">
        <v>211731</v>
      </c>
      <c r="J252" s="306">
        <v>214191</v>
      </c>
      <c r="K252" s="306">
        <v>216181</v>
      </c>
      <c r="L252" s="306">
        <v>218109</v>
      </c>
      <c r="M252" s="306">
        <v>209246</v>
      </c>
      <c r="N252" s="306">
        <v>209979</v>
      </c>
      <c r="O252" s="307"/>
      <c r="P252" s="223">
        <f t="shared" si="178"/>
        <v>218109</v>
      </c>
      <c r="Q252" s="147">
        <f t="shared" si="187"/>
        <v>23991.99</v>
      </c>
      <c r="R252" s="147">
        <f t="shared" si="179"/>
        <v>65.731479452054799</v>
      </c>
      <c r="S252" s="148">
        <f t="shared" si="188"/>
        <v>14395.194000000001</v>
      </c>
      <c r="T252" s="199"/>
      <c r="U252" s="150"/>
      <c r="V252" s="249"/>
      <c r="W252" s="249"/>
      <c r="X252" s="152"/>
      <c r="Y252" s="153"/>
      <c r="Z252" s="153"/>
      <c r="AA252" s="154"/>
      <c r="AB252" s="155">
        <f>S252*$AB$3</f>
        <v>8349.2125200000009</v>
      </c>
      <c r="AC252" s="156">
        <f>S252*$AC$3</f>
        <v>1871.3752200000001</v>
      </c>
      <c r="AD252" s="156">
        <f>S252*$AD$3</f>
        <v>1263.1782734999999</v>
      </c>
      <c r="AE252" s="156">
        <f>S252*$AE$3</f>
        <v>575.80776000000003</v>
      </c>
      <c r="AF252" s="156">
        <f>S252*$AF$3</f>
        <v>287.90388000000002</v>
      </c>
      <c r="AG252" s="156">
        <f>S252*$AG$3</f>
        <v>287.90388000000002</v>
      </c>
      <c r="AH252" s="156">
        <f>S252*$AH$3</f>
        <v>143.95194000000001</v>
      </c>
      <c r="AI252" s="156">
        <f>S252*$AI$3</f>
        <v>287.90388000000002</v>
      </c>
      <c r="AJ252" s="156">
        <f>S252*$AJ$3</f>
        <v>287.90388000000002</v>
      </c>
      <c r="AK252" s="156">
        <f>S252*$AK$3</f>
        <v>1007.6635800000001</v>
      </c>
      <c r="AL252" s="157">
        <f t="shared" si="186"/>
        <v>4430.1209534999998</v>
      </c>
      <c r="AM252" s="158">
        <f t="shared" si="180"/>
        <v>2200</v>
      </c>
      <c r="AN252" s="159">
        <v>0.2</v>
      </c>
      <c r="AO252" s="160">
        <f t="shared" si="181"/>
        <v>117709929.45106956</v>
      </c>
      <c r="AP252" s="161">
        <f t="shared" si="182"/>
        <v>32697.205241073312</v>
      </c>
      <c r="AQ252" s="162">
        <f t="shared" si="183"/>
        <v>6539.4410482146632</v>
      </c>
      <c r="AR252" s="580">
        <f t="shared" si="184"/>
        <v>0.93313941898040287</v>
      </c>
      <c r="AS252" s="582">
        <f t="shared" si="185"/>
        <v>0.93313941898040287</v>
      </c>
      <c r="AT252" s="588"/>
      <c r="AU252" s="166"/>
      <c r="AV252" s="167"/>
      <c r="AW252" s="146"/>
      <c r="AX252" s="168"/>
    </row>
    <row r="253" spans="1:50" ht="11.25" x14ac:dyDescent="0.2">
      <c r="A253" s="140">
        <v>9</v>
      </c>
      <c r="B253" s="302" t="s">
        <v>290</v>
      </c>
      <c r="C253" s="235"/>
      <c r="D253" s="236"/>
      <c r="E253" s="236"/>
      <c r="F253" s="236"/>
      <c r="G253" s="236"/>
      <c r="H253" s="236"/>
      <c r="I253" s="306">
        <v>189009</v>
      </c>
      <c r="J253" s="306">
        <v>191000</v>
      </c>
      <c r="K253" s="306">
        <v>193082</v>
      </c>
      <c r="L253" s="306">
        <v>195114</v>
      </c>
      <c r="M253" s="306">
        <v>218620</v>
      </c>
      <c r="N253" s="306">
        <v>223813</v>
      </c>
      <c r="O253" s="307"/>
      <c r="P253" s="223">
        <f t="shared" si="178"/>
        <v>223813</v>
      </c>
      <c r="Q253" s="147">
        <f t="shared" si="187"/>
        <v>24619.43</v>
      </c>
      <c r="R253" s="147">
        <f t="shared" si="179"/>
        <v>67.450493150684935</v>
      </c>
      <c r="S253" s="148">
        <f t="shared" si="188"/>
        <v>14771.657999999999</v>
      </c>
      <c r="T253" s="199"/>
      <c r="U253" s="150"/>
      <c r="V253" s="249"/>
      <c r="W253" s="249"/>
      <c r="X253" s="152"/>
      <c r="Y253" s="153"/>
      <c r="Z253" s="153"/>
      <c r="AA253" s="154"/>
      <c r="AB253" s="155">
        <f>S253*$AB$3</f>
        <v>8567.5616399999999</v>
      </c>
      <c r="AC253" s="156">
        <f>S253*$AC$3</f>
        <v>1920.3155400000001</v>
      </c>
      <c r="AD253" s="156">
        <f>S253*$AD$3</f>
        <v>1296.2129894999998</v>
      </c>
      <c r="AE253" s="156">
        <f>S253*$AE$3</f>
        <v>590.86631999999997</v>
      </c>
      <c r="AF253" s="156">
        <f>S253*$AF$3</f>
        <v>295.43315999999999</v>
      </c>
      <c r="AG253" s="156">
        <f>S253*$AG$3</f>
        <v>295.43315999999999</v>
      </c>
      <c r="AH253" s="156">
        <f>S253*$AH$3</f>
        <v>147.71657999999999</v>
      </c>
      <c r="AI253" s="156">
        <f>S253*$AI$3</f>
        <v>295.43315999999999</v>
      </c>
      <c r="AJ253" s="156">
        <f>S253*$AJ$3</f>
        <v>295.43315999999999</v>
      </c>
      <c r="AK253" s="156">
        <f>S253*$AK$3</f>
        <v>1034.0160600000002</v>
      </c>
      <c r="AL253" s="157">
        <f t="shared" si="186"/>
        <v>4545.9777494999998</v>
      </c>
      <c r="AM253" s="158">
        <f t="shared" si="180"/>
        <v>2200</v>
      </c>
      <c r="AN253" s="159">
        <v>0.2</v>
      </c>
      <c r="AO253" s="160">
        <f t="shared" si="181"/>
        <v>120788286.77510892</v>
      </c>
      <c r="AP253" s="161">
        <f t="shared" si="182"/>
        <v>33552.304566158848</v>
      </c>
      <c r="AQ253" s="162">
        <f t="shared" si="183"/>
        <v>6710.4609132317701</v>
      </c>
      <c r="AR253" s="580">
        <f t="shared" si="184"/>
        <v>0.95754293853193062</v>
      </c>
      <c r="AS253" s="582">
        <f t="shared" si="185"/>
        <v>0.95754293853193062</v>
      </c>
      <c r="AT253" s="588"/>
      <c r="AU253" s="166"/>
      <c r="AV253" s="167"/>
      <c r="AW253" s="146"/>
      <c r="AX253" s="168"/>
    </row>
    <row r="254" spans="1:50" ht="11.25" x14ac:dyDescent="0.2">
      <c r="A254" s="140">
        <v>10</v>
      </c>
      <c r="B254" s="302" t="s">
        <v>291</v>
      </c>
      <c r="C254" s="235"/>
      <c r="D254" s="236"/>
      <c r="E254" s="236"/>
      <c r="F254" s="236"/>
      <c r="G254" s="236"/>
      <c r="H254" s="236"/>
      <c r="I254" s="306">
        <v>216008</v>
      </c>
      <c r="J254" s="306">
        <v>221304</v>
      </c>
      <c r="K254" s="306">
        <v>226208</v>
      </c>
      <c r="L254" s="306">
        <v>231135</v>
      </c>
      <c r="M254" s="306">
        <v>267929</v>
      </c>
      <c r="N254" s="306">
        <v>277924</v>
      </c>
      <c r="O254" s="307"/>
      <c r="P254" s="223">
        <f t="shared" si="178"/>
        <v>277924</v>
      </c>
      <c r="Q254" s="147">
        <f t="shared" si="187"/>
        <v>30571.64</v>
      </c>
      <c r="R254" s="147">
        <f t="shared" si="179"/>
        <v>83.757917808219176</v>
      </c>
      <c r="S254" s="148">
        <f t="shared" si="188"/>
        <v>18342.984</v>
      </c>
      <c r="T254" s="199"/>
      <c r="U254" s="150"/>
      <c r="V254" s="249"/>
      <c r="W254" s="249"/>
      <c r="X254" s="152"/>
      <c r="Y254" s="153"/>
      <c r="Z254" s="153"/>
      <c r="AA254" s="154"/>
      <c r="AB254" s="155">
        <f>S254*$AB$3</f>
        <v>10638.93072</v>
      </c>
      <c r="AC254" s="156">
        <f>S254*$AC$3</f>
        <v>2384.5879199999999</v>
      </c>
      <c r="AD254" s="156">
        <f>S254*$AD$3</f>
        <v>1609.5968459999999</v>
      </c>
      <c r="AE254" s="156">
        <f>S254*$AE$3</f>
        <v>733.71936000000005</v>
      </c>
      <c r="AF254" s="156">
        <f>S254*$AF$3</f>
        <v>366.85968000000003</v>
      </c>
      <c r="AG254" s="156">
        <f>S254*$AG$3</f>
        <v>366.85968000000003</v>
      </c>
      <c r="AH254" s="156">
        <f>S254*$AH$3</f>
        <v>183.42984000000001</v>
      </c>
      <c r="AI254" s="156">
        <f>S254*$AI$3</f>
        <v>366.85968000000003</v>
      </c>
      <c r="AJ254" s="156">
        <f>S254*$AJ$3</f>
        <v>366.85968000000003</v>
      </c>
      <c r="AK254" s="156">
        <f>S254*$AK$3</f>
        <v>1284.0088800000001</v>
      </c>
      <c r="AL254" s="157">
        <f t="shared" si="186"/>
        <v>5645.0533259999984</v>
      </c>
      <c r="AM254" s="158">
        <f t="shared" si="180"/>
        <v>2200</v>
      </c>
      <c r="AN254" s="159">
        <v>0.2</v>
      </c>
      <c r="AO254" s="160">
        <f t="shared" si="181"/>
        <v>149991125.68834415</v>
      </c>
      <c r="AP254" s="161">
        <f t="shared" si="182"/>
        <v>41664.204913231726</v>
      </c>
      <c r="AQ254" s="162">
        <f t="shared" si="183"/>
        <v>8332.8409826463449</v>
      </c>
      <c r="AR254" s="580">
        <f t="shared" si="184"/>
        <v>1.1890469438707685</v>
      </c>
      <c r="AS254" s="582">
        <f t="shared" si="185"/>
        <v>1.1890469438707685</v>
      </c>
      <c r="AT254" s="588"/>
      <c r="AU254" s="166"/>
      <c r="AV254" s="167"/>
      <c r="AW254" s="146"/>
      <c r="AX254" s="168"/>
    </row>
    <row r="255" spans="1:50" ht="11.25" x14ac:dyDescent="0.2">
      <c r="A255" s="140">
        <v>11</v>
      </c>
      <c r="B255" s="302" t="s">
        <v>292</v>
      </c>
      <c r="C255" s="235"/>
      <c r="D255" s="236"/>
      <c r="E255" s="236"/>
      <c r="F255" s="236"/>
      <c r="G255" s="236"/>
      <c r="H255" s="236"/>
      <c r="I255" s="306">
        <v>602725</v>
      </c>
      <c r="J255" s="306">
        <v>615570</v>
      </c>
      <c r="K255" s="306">
        <v>627245</v>
      </c>
      <c r="L255" s="306">
        <v>638902</v>
      </c>
      <c r="M255" s="306">
        <v>625481</v>
      </c>
      <c r="N255" s="306">
        <v>634990</v>
      </c>
      <c r="O255" s="307"/>
      <c r="P255" s="223">
        <f t="shared" si="178"/>
        <v>638902</v>
      </c>
      <c r="Q255" s="147">
        <f>P255*$Q$7</f>
        <v>93279.691999999995</v>
      </c>
      <c r="R255" s="147">
        <f t="shared" si="179"/>
        <v>255.5608</v>
      </c>
      <c r="S255" s="148">
        <f>R255*$S$3*$S$7</f>
        <v>65295.78439999999</v>
      </c>
      <c r="T255" s="199"/>
      <c r="U255" s="150"/>
      <c r="V255" s="249"/>
      <c r="W255" s="249"/>
      <c r="X255" s="152"/>
      <c r="Y255" s="153"/>
      <c r="Z255" s="153"/>
      <c r="AA255" s="154"/>
      <c r="AB255" s="155">
        <f>S255*$AB$3</f>
        <v>37871.554951999991</v>
      </c>
      <c r="AC255" s="156">
        <f>S255*$AC$3</f>
        <v>8488.4519719999989</v>
      </c>
      <c r="AD255" s="156">
        <f>S255*$AD$3</f>
        <v>5729.705081099999</v>
      </c>
      <c r="AE255" s="156">
        <f>S255*$AE$3</f>
        <v>2611.8313759999996</v>
      </c>
      <c r="AF255" s="156">
        <f>S255*$AF$3</f>
        <v>1305.9156879999998</v>
      </c>
      <c r="AG255" s="156">
        <f>S255*$AG$3</f>
        <v>1305.9156879999998</v>
      </c>
      <c r="AH255" s="156">
        <f>S255*$AH$3</f>
        <v>652.95784399999991</v>
      </c>
      <c r="AI255" s="156">
        <f>S255*$AI$3</f>
        <v>1305.9156879999998</v>
      </c>
      <c r="AJ255" s="156">
        <f>S255*$AJ$3</f>
        <v>1305.9156879999998</v>
      </c>
      <c r="AK255" s="156">
        <f>S255*$AK$3</f>
        <v>4570.7049079999997</v>
      </c>
      <c r="AL255" s="157">
        <f t="shared" si="186"/>
        <v>20094.7776491</v>
      </c>
      <c r="AM255" s="158">
        <f t="shared" si="180"/>
        <v>2200</v>
      </c>
      <c r="AN255" s="159">
        <v>0.2</v>
      </c>
      <c r="AO255" s="160">
        <f t="shared" si="181"/>
        <v>533925570.93542796</v>
      </c>
      <c r="AP255" s="161">
        <f t="shared" si="182"/>
        <v>148312.67045818712</v>
      </c>
      <c r="AQ255" s="162">
        <f t="shared" si="183"/>
        <v>29662.534091637426</v>
      </c>
      <c r="AR255" s="580">
        <f t="shared" si="184"/>
        <v>4.2326675359071668</v>
      </c>
      <c r="AS255" s="582">
        <f t="shared" si="185"/>
        <v>4.2326675359071668</v>
      </c>
      <c r="AT255" s="588"/>
      <c r="AU255" s="166"/>
      <c r="AV255" s="167"/>
      <c r="AW255" s="146"/>
      <c r="AX255" s="168"/>
    </row>
    <row r="256" spans="1:50" ht="11.25" x14ac:dyDescent="0.2">
      <c r="A256" s="140">
        <v>12</v>
      </c>
      <c r="B256" s="302" t="s">
        <v>293</v>
      </c>
      <c r="C256" s="235"/>
      <c r="D256" s="236"/>
      <c r="E256" s="236"/>
      <c r="F256" s="236"/>
      <c r="G256" s="236"/>
      <c r="H256" s="236"/>
      <c r="I256" s="306">
        <v>163175</v>
      </c>
      <c r="J256" s="306">
        <v>164000</v>
      </c>
      <c r="K256" s="306">
        <v>167737</v>
      </c>
      <c r="L256" s="306">
        <v>171496</v>
      </c>
      <c r="M256" s="306">
        <v>199627</v>
      </c>
      <c r="N256" s="306">
        <v>209547</v>
      </c>
      <c r="O256" s="307"/>
      <c r="P256" s="223">
        <f t="shared" si="178"/>
        <v>209547</v>
      </c>
      <c r="Q256" s="147">
        <f>P256*$Q$8</f>
        <v>23050.170000000002</v>
      </c>
      <c r="R256" s="147">
        <f t="shared" si="179"/>
        <v>63.151150684931515</v>
      </c>
      <c r="S256" s="148">
        <f>R256*$S$3*$S$8</f>
        <v>13830.102000000001</v>
      </c>
      <c r="T256" s="199"/>
      <c r="U256" s="150"/>
      <c r="V256" s="249"/>
      <c r="W256" s="249"/>
      <c r="X256" s="152"/>
      <c r="Y256" s="153"/>
      <c r="Z256" s="153"/>
      <c r="AA256" s="154"/>
      <c r="AB256" s="155">
        <f>S256*$AB$3</f>
        <v>8021.4591600000003</v>
      </c>
      <c r="AC256" s="156">
        <f>S256*$AC$3</f>
        <v>1797.9132600000003</v>
      </c>
      <c r="AD256" s="156">
        <f>S256*$AD$3</f>
        <v>1213.5914505000001</v>
      </c>
      <c r="AE256" s="156">
        <f>S256*$AE$3</f>
        <v>553.20408000000009</v>
      </c>
      <c r="AF256" s="156">
        <f>S256*$AF$3</f>
        <v>276.60204000000004</v>
      </c>
      <c r="AG256" s="156">
        <f>S256*$AG$3</f>
        <v>276.60204000000004</v>
      </c>
      <c r="AH256" s="156">
        <f>S256*$AH$3</f>
        <v>138.30102000000002</v>
      </c>
      <c r="AI256" s="156">
        <f>S256*$AI$3</f>
        <v>276.60204000000004</v>
      </c>
      <c r="AJ256" s="156">
        <f>S256*$AJ$3</f>
        <v>276.60204000000004</v>
      </c>
      <c r="AK256" s="156">
        <f>S256*$AK$3</f>
        <v>968.10714000000019</v>
      </c>
      <c r="AL256" s="157">
        <f t="shared" si="186"/>
        <v>4256.2138905000002</v>
      </c>
      <c r="AM256" s="158">
        <f t="shared" si="180"/>
        <v>2200</v>
      </c>
      <c r="AN256" s="159">
        <v>0.2</v>
      </c>
      <c r="AO256" s="160">
        <f t="shared" si="181"/>
        <v>113089155.3612335</v>
      </c>
      <c r="AP256" s="161">
        <f t="shared" si="182"/>
        <v>31413.656780101646</v>
      </c>
      <c r="AQ256" s="162">
        <f t="shared" si="183"/>
        <v>6282.7313560203293</v>
      </c>
      <c r="AR256" s="580">
        <f t="shared" si="184"/>
        <v>0.89650846975175935</v>
      </c>
      <c r="AS256" s="582">
        <f t="shared" si="185"/>
        <v>0.89650846975175935</v>
      </c>
      <c r="AT256" s="588"/>
      <c r="AU256" s="166"/>
      <c r="AV256" s="167"/>
      <c r="AW256" s="146"/>
      <c r="AX256" s="168"/>
    </row>
    <row r="257" spans="1:50" ht="11.25" x14ac:dyDescent="0.2">
      <c r="A257" s="140">
        <v>13</v>
      </c>
      <c r="B257" s="305" t="s">
        <v>294</v>
      </c>
      <c r="C257" s="235"/>
      <c r="D257" s="236"/>
      <c r="E257" s="236"/>
      <c r="F257" s="236"/>
      <c r="G257" s="236"/>
      <c r="H257" s="236"/>
      <c r="I257" s="306">
        <v>101022</v>
      </c>
      <c r="J257" s="306">
        <v>101860</v>
      </c>
      <c r="K257" s="306">
        <v>102296</v>
      </c>
      <c r="L257" s="306">
        <v>102696</v>
      </c>
      <c r="M257" s="306">
        <v>112430</v>
      </c>
      <c r="N257" s="306">
        <v>114009</v>
      </c>
      <c r="O257" s="307"/>
      <c r="P257" s="223">
        <f t="shared" si="178"/>
        <v>114009</v>
      </c>
      <c r="Q257" s="147">
        <f>P257*$Q$8</f>
        <v>12540.99</v>
      </c>
      <c r="R257" s="147">
        <f t="shared" si="179"/>
        <v>34.358876712328765</v>
      </c>
      <c r="S257" s="148">
        <f>R257*$S$3*$S$8</f>
        <v>7524.5939999999991</v>
      </c>
      <c r="T257" s="199"/>
      <c r="U257" s="150"/>
      <c r="V257" s="249"/>
      <c r="W257" s="249"/>
      <c r="X257" s="152"/>
      <c r="Y257" s="153"/>
      <c r="Z257" s="153"/>
      <c r="AA257" s="154"/>
      <c r="AB257" s="155">
        <f>S257*$AB$3</f>
        <v>4364.2645199999988</v>
      </c>
      <c r="AC257" s="156">
        <f>S257*$AC$3</f>
        <v>978.1972199999999</v>
      </c>
      <c r="AD257" s="156">
        <f>S257*$AD$3</f>
        <v>660.28312349999987</v>
      </c>
      <c r="AE257" s="156">
        <f>S257*$AE$3</f>
        <v>300.98375999999996</v>
      </c>
      <c r="AF257" s="156">
        <f>S257*$AF$3</f>
        <v>150.49187999999998</v>
      </c>
      <c r="AG257" s="156">
        <f>S257*$AG$3</f>
        <v>150.49187999999998</v>
      </c>
      <c r="AH257" s="156">
        <f>S257*$AH$3</f>
        <v>75.24593999999999</v>
      </c>
      <c r="AI257" s="156">
        <f>S257*$AI$3</f>
        <v>150.49187999999998</v>
      </c>
      <c r="AJ257" s="156">
        <f>S257*$AJ$3</f>
        <v>150.49187999999998</v>
      </c>
      <c r="AK257" s="156">
        <f>S257*$AK$3</f>
        <v>526.72158000000002</v>
      </c>
      <c r="AL257" s="157">
        <f t="shared" si="186"/>
        <v>2315.6938034999998</v>
      </c>
      <c r="AM257" s="158">
        <f t="shared" si="180"/>
        <v>2200</v>
      </c>
      <c r="AN257" s="159">
        <v>0.2</v>
      </c>
      <c r="AO257" s="160">
        <f t="shared" si="181"/>
        <v>61528828.919425547</v>
      </c>
      <c r="AP257" s="161">
        <f t="shared" si="182"/>
        <v>17091.342733814407</v>
      </c>
      <c r="AQ257" s="162">
        <f t="shared" si="183"/>
        <v>3418.2685467628817</v>
      </c>
      <c r="AR257" s="580">
        <f t="shared" si="184"/>
        <v>0.48776663053123309</v>
      </c>
      <c r="AS257" s="582">
        <f t="shared" si="185"/>
        <v>0.48776663053123309</v>
      </c>
      <c r="AT257" s="588"/>
      <c r="AU257" s="166"/>
      <c r="AV257" s="167"/>
      <c r="AW257" s="167"/>
      <c r="AX257" s="168"/>
    </row>
    <row r="258" spans="1:50" s="263" customFormat="1" ht="11.25" x14ac:dyDescent="0.25">
      <c r="A258" s="308"/>
      <c r="B258" s="258" t="s">
        <v>295</v>
      </c>
      <c r="C258" s="240">
        <f>SUM(C245:C257)</f>
        <v>0</v>
      </c>
      <c r="D258" s="240">
        <f t="shared" ref="D258:AK258" si="189">SUM(D245:D257)</f>
        <v>0</v>
      </c>
      <c r="E258" s="240">
        <f t="shared" si="189"/>
        <v>0</v>
      </c>
      <c r="F258" s="240">
        <f t="shared" si="189"/>
        <v>0</v>
      </c>
      <c r="G258" s="240">
        <f t="shared" si="189"/>
        <v>0</v>
      </c>
      <c r="H258" s="240">
        <f t="shared" si="189"/>
        <v>0</v>
      </c>
      <c r="I258" s="240">
        <f t="shared" si="189"/>
        <v>3345784</v>
      </c>
      <c r="J258" s="240">
        <f t="shared" si="189"/>
        <v>3396680</v>
      </c>
      <c r="K258" s="240">
        <f t="shared" si="189"/>
        <v>3446631</v>
      </c>
      <c r="L258" s="240">
        <f t="shared" si="189"/>
        <v>3496125</v>
      </c>
      <c r="M258" s="240">
        <f t="shared" si="189"/>
        <v>3626616</v>
      </c>
      <c r="N258" s="240">
        <f t="shared" si="189"/>
        <v>3695124</v>
      </c>
      <c r="O258" s="240">
        <f>SUM(O245:O257)</f>
        <v>0</v>
      </c>
      <c r="P258" s="240">
        <f t="shared" si="189"/>
        <v>3708397</v>
      </c>
      <c r="Q258" s="240">
        <f t="shared" si="189"/>
        <v>449524.01</v>
      </c>
      <c r="R258" s="240">
        <f t="shared" si="189"/>
        <v>1231.5726301369864</v>
      </c>
      <c r="S258" s="240">
        <f t="shared" si="189"/>
        <v>286585.65499999997</v>
      </c>
      <c r="T258" s="199">
        <f t="shared" si="189"/>
        <v>0</v>
      </c>
      <c r="U258" s="241"/>
      <c r="V258" s="242">
        <f t="shared" si="189"/>
        <v>0</v>
      </c>
      <c r="W258" s="242">
        <f>SUM(W245:W257)</f>
        <v>0</v>
      </c>
      <c r="X258" s="242">
        <f>SUM(X245:X257)</f>
        <v>0</v>
      </c>
      <c r="Y258" s="199"/>
      <c r="Z258" s="199"/>
      <c r="AA258" s="243"/>
      <c r="AB258" s="240">
        <f>SUM(AB245:AB257)</f>
        <v>166219.67989999999</v>
      </c>
      <c r="AC258" s="244">
        <f>SUM(AC245:AC257)</f>
        <v>37256.135150000002</v>
      </c>
      <c r="AD258" s="244">
        <f>SUM(AD245:AD257)</f>
        <v>25147.891226249994</v>
      </c>
      <c r="AE258" s="244">
        <f>SUM(AE245:AE257)</f>
        <v>11463.426199999998</v>
      </c>
      <c r="AF258" s="244">
        <f>SUM(AF245:AF257)</f>
        <v>5731.713099999999</v>
      </c>
      <c r="AG258" s="244">
        <f t="shared" si="189"/>
        <v>5731.713099999999</v>
      </c>
      <c r="AH258" s="244">
        <f>SUM(AH245:AH257)</f>
        <v>2865.8565499999995</v>
      </c>
      <c r="AI258" s="244">
        <f t="shared" si="189"/>
        <v>5731.713099999999</v>
      </c>
      <c r="AJ258" s="244">
        <f t="shared" si="189"/>
        <v>5731.713099999999</v>
      </c>
      <c r="AK258" s="244">
        <f t="shared" si="189"/>
        <v>20060.995850000003</v>
      </c>
      <c r="AL258" s="245">
        <f>SUM(AL245:AL257)</f>
        <v>88196.735326250011</v>
      </c>
      <c r="AM258" s="158"/>
      <c r="AN258" s="183"/>
      <c r="AO258" s="160">
        <f>SUM(AO245:AO257)</f>
        <v>2343419423.9923797</v>
      </c>
      <c r="AP258" s="160">
        <f t="shared" ref="AP258:AW258" si="190">SUM(AP245:AP257)</f>
        <v>650949.89207387029</v>
      </c>
      <c r="AQ258" s="160">
        <f t="shared" si="190"/>
        <v>130189.97841477407</v>
      </c>
      <c r="AR258" s="186">
        <f t="shared" si="190"/>
        <v>18.577337102564798</v>
      </c>
      <c r="AS258" s="435">
        <f t="shared" si="190"/>
        <v>18.577337102564798</v>
      </c>
      <c r="AT258" s="589"/>
      <c r="AU258" s="246">
        <f t="shared" si="190"/>
        <v>0</v>
      </c>
      <c r="AV258" s="246"/>
      <c r="AW258" s="185">
        <f t="shared" si="190"/>
        <v>0</v>
      </c>
      <c r="AX258" s="189"/>
    </row>
    <row r="259" spans="1:50" s="139" customFormat="1" ht="11.25" x14ac:dyDescent="0.25">
      <c r="A259" s="247"/>
      <c r="B259" s="152"/>
      <c r="C259" s="247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248"/>
      <c r="P259" s="249"/>
      <c r="Q259" s="250"/>
      <c r="R259" s="250"/>
      <c r="S259" s="251"/>
      <c r="T259" s="199"/>
      <c r="U259" s="179"/>
      <c r="V259" s="249"/>
      <c r="W259" s="249"/>
      <c r="X259" s="152"/>
      <c r="Y259" s="153"/>
      <c r="Z259" s="153"/>
      <c r="AA259" s="154"/>
      <c r="AB259" s="247"/>
      <c r="AC259" s="252"/>
      <c r="AD259" s="252"/>
      <c r="AE259" s="252"/>
      <c r="AF259" s="252"/>
      <c r="AG259" s="252"/>
      <c r="AH259" s="252"/>
      <c r="AI259" s="252"/>
      <c r="AJ259" s="252"/>
      <c r="AK259" s="252"/>
      <c r="AL259" s="214"/>
      <c r="AM259" s="203"/>
      <c r="AN259" s="204"/>
      <c r="AO259" s="203"/>
      <c r="AP259" s="205"/>
      <c r="AQ259" s="206"/>
      <c r="AR259" s="457"/>
      <c r="AS259" s="565"/>
      <c r="AT259" s="255"/>
      <c r="AU259" s="256"/>
      <c r="AV259" s="257"/>
      <c r="AW259" s="214"/>
      <c r="AX259" s="212"/>
    </row>
    <row r="260" spans="1:50" s="289" customFormat="1" ht="15.75" x14ac:dyDescent="0.25">
      <c r="A260" s="309"/>
      <c r="B260" s="271" t="s">
        <v>296</v>
      </c>
      <c r="C260" s="272"/>
      <c r="D260" s="273"/>
      <c r="E260" s="273"/>
      <c r="F260" s="273"/>
      <c r="G260" s="273"/>
      <c r="H260" s="273"/>
      <c r="I260" s="273"/>
      <c r="J260" s="273"/>
      <c r="K260" s="273"/>
      <c r="L260" s="273"/>
      <c r="M260" s="273"/>
      <c r="N260" s="273"/>
      <c r="O260" s="274"/>
      <c r="P260" s="275">
        <f>P210+P227+P242+P258</f>
        <v>13163336</v>
      </c>
      <c r="Q260" s="275">
        <f>Q210+Q227+Q242+Q258</f>
        <v>3590218.9720000001</v>
      </c>
      <c r="R260" s="275">
        <f>R210+R227+R242+R258</f>
        <v>2248184.9067726028</v>
      </c>
      <c r="S260" s="275">
        <f>S210+S227+S242+S258</f>
        <v>3110593.7043999997</v>
      </c>
      <c r="T260" s="276"/>
      <c r="U260" s="277"/>
      <c r="V260" s="278"/>
      <c r="W260" s="278"/>
      <c r="X260" s="279"/>
      <c r="Y260" s="280"/>
      <c r="Z260" s="280"/>
      <c r="AA260" s="281"/>
      <c r="AB260" s="282">
        <f t="shared" ref="AB260:AJ260" si="191">AB210+AB227+AB242+AB258</f>
        <v>593818.22918035672</v>
      </c>
      <c r="AC260" s="283">
        <f t="shared" si="191"/>
        <v>133097.18929904548</v>
      </c>
      <c r="AD260" s="283">
        <f t="shared" si="191"/>
        <v>89840.602776855696</v>
      </c>
      <c r="AE260" s="283">
        <f t="shared" si="191"/>
        <v>40952.98132278322</v>
      </c>
      <c r="AF260" s="283">
        <f t="shared" si="191"/>
        <v>20476.49066139161</v>
      </c>
      <c r="AG260" s="283">
        <f t="shared" si="191"/>
        <v>20476.49066139161</v>
      </c>
      <c r="AH260" s="283">
        <f t="shared" si="191"/>
        <v>10238.245330695805</v>
      </c>
      <c r="AI260" s="283">
        <f t="shared" si="191"/>
        <v>20476.49066139161</v>
      </c>
      <c r="AJ260" s="283">
        <f t="shared" si="191"/>
        <v>20476.49066139161</v>
      </c>
      <c r="AK260" s="283">
        <f>AK210+AK227+AK242+AK258</f>
        <v>71667.71731487065</v>
      </c>
      <c r="AL260" s="275">
        <f>AL210+AL227+AL242+AL258</f>
        <v>315082.00005216349</v>
      </c>
      <c r="AM260" s="284"/>
      <c r="AN260" s="285"/>
      <c r="AO260" s="283">
        <f t="shared" ref="AO260:AW260" si="192">AO210+AO227+AO242+AO258</f>
        <v>8371843655.4515743</v>
      </c>
      <c r="AP260" s="283">
        <f t="shared" si="192"/>
        <v>2325512.3125552959</v>
      </c>
      <c r="AQ260" s="283">
        <f t="shared" si="192"/>
        <v>465102.46251105925</v>
      </c>
      <c r="AR260" s="585">
        <f t="shared" si="192"/>
        <v>66.36736051813061</v>
      </c>
      <c r="AS260" s="286">
        <f t="shared" si="192"/>
        <v>66.36736051813061</v>
      </c>
      <c r="AT260" s="590"/>
      <c r="AU260" s="286">
        <f t="shared" si="192"/>
        <v>0</v>
      </c>
      <c r="AV260" s="286"/>
      <c r="AW260" s="286">
        <f t="shared" si="192"/>
        <v>0</v>
      </c>
      <c r="AX260" s="288"/>
    </row>
    <row r="261" spans="1:50" s="139" customFormat="1" ht="11.25" x14ac:dyDescent="0.25">
      <c r="A261" s="247"/>
      <c r="B261" s="152"/>
      <c r="C261" s="247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248"/>
      <c r="P261" s="249"/>
      <c r="Q261" s="250"/>
      <c r="R261" s="250"/>
      <c r="S261" s="251"/>
      <c r="T261" s="199"/>
      <c r="U261" s="150"/>
      <c r="V261" s="249"/>
      <c r="W261" s="249"/>
      <c r="X261" s="152"/>
      <c r="Y261" s="153"/>
      <c r="Z261" s="153"/>
      <c r="AA261" s="154"/>
      <c r="AB261" s="247"/>
      <c r="AC261" s="252"/>
      <c r="AD261" s="252"/>
      <c r="AE261" s="252"/>
      <c r="AF261" s="252"/>
      <c r="AG261" s="252"/>
      <c r="AH261" s="252"/>
      <c r="AI261" s="252"/>
      <c r="AJ261" s="252"/>
      <c r="AK261" s="252"/>
      <c r="AL261" s="214"/>
      <c r="AM261" s="203"/>
      <c r="AN261" s="204"/>
      <c r="AO261" s="203"/>
      <c r="AP261" s="205"/>
      <c r="AQ261" s="206"/>
      <c r="AR261" s="457"/>
      <c r="AS261" s="565"/>
      <c r="AT261" s="255"/>
      <c r="AU261" s="203"/>
      <c r="AV261" s="267"/>
      <c r="AW261" s="251"/>
      <c r="AX261" s="268"/>
    </row>
    <row r="262" spans="1:50" s="139" customFormat="1" ht="11.25" x14ac:dyDescent="0.25">
      <c r="P262" s="310"/>
      <c r="Q262" s="310"/>
      <c r="R262" s="310"/>
      <c r="S262" s="310"/>
      <c r="T262" s="311"/>
      <c r="U262" s="312"/>
      <c r="V262" s="310"/>
      <c r="W262" s="310"/>
      <c r="Y262" s="86"/>
      <c r="Z262" s="86"/>
      <c r="AA262" s="313"/>
      <c r="AC262" s="314"/>
      <c r="AD262" s="314"/>
      <c r="AE262" s="314"/>
      <c r="AF262" s="314"/>
      <c r="AG262" s="314"/>
      <c r="AH262" s="314"/>
      <c r="AI262" s="314"/>
      <c r="AJ262" s="314"/>
      <c r="AK262" s="314"/>
      <c r="AL262" s="315"/>
      <c r="AM262" s="310"/>
      <c r="AN262" s="316"/>
      <c r="AO262" s="310"/>
      <c r="AP262" s="317"/>
      <c r="AQ262" s="317"/>
      <c r="AR262" s="318"/>
      <c r="AS262" s="565"/>
      <c r="AT262" s="319"/>
      <c r="AU262" s="310"/>
      <c r="AV262" s="310"/>
      <c r="AW262" s="310"/>
      <c r="AX262" s="310"/>
    </row>
    <row r="263" spans="1:50" s="326" customFormat="1" ht="18.75" x14ac:dyDescent="0.25">
      <c r="A263" s="291" t="s">
        <v>297</v>
      </c>
      <c r="B263" s="320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2"/>
      <c r="S263" s="321"/>
      <c r="T263" s="321"/>
      <c r="U263" s="321"/>
      <c r="V263" s="321"/>
      <c r="W263" s="321"/>
      <c r="X263" s="321"/>
      <c r="Y263" s="321"/>
      <c r="Z263" s="321"/>
      <c r="AA263" s="323"/>
      <c r="AB263" s="323"/>
      <c r="AC263" s="323"/>
      <c r="AD263" s="323"/>
      <c r="AE263" s="323"/>
      <c r="AF263" s="323"/>
      <c r="AG263" s="323"/>
      <c r="AH263" s="323"/>
      <c r="AI263" s="323"/>
      <c r="AJ263" s="323"/>
      <c r="AK263" s="323"/>
      <c r="AL263" s="323"/>
      <c r="AM263" s="324"/>
      <c r="AN263" s="321"/>
      <c r="AO263" s="325"/>
      <c r="AP263" s="325"/>
      <c r="AQ263" s="325"/>
      <c r="AR263" s="586"/>
      <c r="AS263" s="325"/>
      <c r="AT263" s="591"/>
      <c r="AU263" s="325"/>
      <c r="AV263" s="325"/>
      <c r="AW263" s="325"/>
      <c r="AX263" s="325"/>
    </row>
    <row r="264" spans="1:50" s="139" customFormat="1" ht="11.25" x14ac:dyDescent="0.25">
      <c r="A264" s="120"/>
      <c r="B264" s="121" t="s">
        <v>298</v>
      </c>
      <c r="C264" s="122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213"/>
      <c r="P264" s="76"/>
      <c r="Q264" s="108"/>
      <c r="R264" s="108"/>
      <c r="S264" s="94"/>
      <c r="T264" s="199"/>
      <c r="U264" s="179"/>
      <c r="V264" s="180"/>
      <c r="W264" s="180"/>
      <c r="X264" s="214"/>
      <c r="Y264" s="181"/>
      <c r="Z264" s="181"/>
      <c r="AA264" s="182"/>
      <c r="AB264" s="62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125"/>
      <c r="AM264" s="75"/>
      <c r="AN264" s="216"/>
      <c r="AO264" s="75"/>
      <c r="AP264" s="51"/>
      <c r="AQ264" s="217"/>
      <c r="AR264" s="583"/>
      <c r="AS264" s="584"/>
      <c r="AT264" s="587"/>
      <c r="AU264" s="135"/>
      <c r="AV264" s="136"/>
      <c r="AW264" s="137"/>
      <c r="AX264" s="138"/>
    </row>
    <row r="265" spans="1:50" s="139" customFormat="1" ht="11.25" x14ac:dyDescent="0.2">
      <c r="A265" s="140">
        <v>1</v>
      </c>
      <c r="B265" s="327" t="s">
        <v>299</v>
      </c>
      <c r="C265" s="142"/>
      <c r="D265" s="143"/>
      <c r="E265" s="143"/>
      <c r="F265" s="143"/>
      <c r="G265" s="143"/>
      <c r="H265" s="143"/>
      <c r="I265" s="143"/>
      <c r="J265" s="143"/>
      <c r="K265" s="143"/>
      <c r="L265" s="143"/>
      <c r="M265" s="328">
        <v>2062232</v>
      </c>
      <c r="N265" s="143"/>
      <c r="O265" s="145"/>
      <c r="P265" s="223">
        <f t="shared" ref="P265:P270" si="193">MAX(C265:O265)</f>
        <v>2062232</v>
      </c>
      <c r="Q265" s="147">
        <f>P265*$Q$5</f>
        <v>488748.984</v>
      </c>
      <c r="R265" s="147">
        <f t="shared" ref="R265:R270" si="194">Q265/$R$3</f>
        <v>1339.038312328767</v>
      </c>
      <c r="S265" s="148">
        <f>R265*$S$3*$S$5</f>
        <v>439874.08559999993</v>
      </c>
      <c r="T265" s="199"/>
      <c r="U265" s="150"/>
      <c r="V265" s="151"/>
      <c r="W265" s="151"/>
      <c r="X265" s="152"/>
      <c r="Y265" s="153"/>
      <c r="Z265" s="153"/>
      <c r="AA265" s="154"/>
      <c r="AB265" s="155">
        <f>S265*$AB$3</f>
        <v>255126.96964799994</v>
      </c>
      <c r="AC265" s="156">
        <f>S265*$AC$3</f>
        <v>57183.631127999994</v>
      </c>
      <c r="AD265" s="156">
        <f>S265*$AD$3</f>
        <v>38598.951011399993</v>
      </c>
      <c r="AE265" s="156">
        <f>S265*$AE$3</f>
        <v>17594.963423999998</v>
      </c>
      <c r="AF265" s="156">
        <f>S265*$AF$3</f>
        <v>8797.4817119999989</v>
      </c>
      <c r="AG265" s="156">
        <f>S265*$AG$3</f>
        <v>8797.4817119999989</v>
      </c>
      <c r="AH265" s="156">
        <f>S265*$AH$3</f>
        <v>4398.7408559999994</v>
      </c>
      <c r="AI265" s="156">
        <f>S265*$AI$3</f>
        <v>8797.4817119999989</v>
      </c>
      <c r="AJ265" s="156">
        <f>S265*$AJ$3</f>
        <v>8797.4817119999989</v>
      </c>
      <c r="AK265" s="156">
        <f>S265*$AK$3</f>
        <v>30791.185991999999</v>
      </c>
      <c r="AL265" s="157">
        <f t="shared" ref="AL265:AL270" si="195">SUM(AC265:AH265)</f>
        <v>135371.24984339997</v>
      </c>
      <c r="AM265" s="158">
        <f t="shared" ref="AM265:AM270" si="196">$AM$3</f>
        <v>2200</v>
      </c>
      <c r="AN265" s="159">
        <v>0.2</v>
      </c>
      <c r="AO265" s="160">
        <f t="shared" ref="AO265:AO270" si="197">(AB265+AL265)*AM265*$AO$3</f>
        <v>3596863479.8065052</v>
      </c>
      <c r="AP265" s="161">
        <f t="shared" ref="AP265:AP270" si="198">AO265*$AP$3</f>
        <v>999128.82432099548</v>
      </c>
      <c r="AQ265" s="162">
        <f t="shared" ref="AQ265:AQ270" si="199">AP265*$AQ$3</f>
        <v>199825.7648641991</v>
      </c>
      <c r="AR265" s="580">
        <f t="shared" ref="AR265:AR270" si="200">AQ265/$AR$3</f>
        <v>28.513950465781836</v>
      </c>
      <c r="AS265" s="582">
        <f t="shared" ref="AS265:AS270" si="201">AR265</f>
        <v>28.513950465781836</v>
      </c>
      <c r="AT265" s="588"/>
      <c r="AU265" s="166"/>
      <c r="AV265" s="167"/>
      <c r="AW265" s="146"/>
      <c r="AX265" s="168"/>
    </row>
    <row r="266" spans="1:50" s="139" customFormat="1" ht="11.25" x14ac:dyDescent="0.2">
      <c r="A266" s="140">
        <v>2</v>
      </c>
      <c r="B266" s="329" t="s">
        <v>300</v>
      </c>
      <c r="C266" s="142"/>
      <c r="D266" s="143"/>
      <c r="E266" s="143"/>
      <c r="F266" s="143"/>
      <c r="G266" s="143"/>
      <c r="H266" s="143"/>
      <c r="I266" s="143"/>
      <c r="J266" s="143"/>
      <c r="K266" s="143"/>
      <c r="L266" s="143"/>
      <c r="M266" s="328">
        <v>2693896</v>
      </c>
      <c r="N266" s="143"/>
      <c r="O266" s="145"/>
      <c r="P266" s="223">
        <f t="shared" si="193"/>
        <v>2693896</v>
      </c>
      <c r="Q266" s="147">
        <f>P266*$Q$5</f>
        <v>638453.35199999996</v>
      </c>
      <c r="R266" s="147">
        <f t="shared" si="194"/>
        <v>1749.1872657534245</v>
      </c>
      <c r="S266" s="148">
        <f>R266*$S$3*$S$5</f>
        <v>574608.01679999998</v>
      </c>
      <c r="T266" s="199"/>
      <c r="U266" s="150"/>
      <c r="V266" s="151"/>
      <c r="W266" s="151"/>
      <c r="X266" s="152"/>
      <c r="Y266" s="153"/>
      <c r="Z266" s="153"/>
      <c r="AA266" s="154"/>
      <c r="AB266" s="155">
        <f>S266*$AB$3</f>
        <v>333272.64974399999</v>
      </c>
      <c r="AC266" s="156">
        <f>S266*$AC$3</f>
        <v>74699.042184000005</v>
      </c>
      <c r="AD266" s="156">
        <f>S266*$AD$3</f>
        <v>50421.853474199997</v>
      </c>
      <c r="AE266" s="156">
        <f>S266*$AE$3</f>
        <v>22984.320671999998</v>
      </c>
      <c r="AF266" s="156">
        <f>S266*$AF$3</f>
        <v>11492.160335999999</v>
      </c>
      <c r="AG266" s="156">
        <f>S266*$AG$3</f>
        <v>11492.160335999999</v>
      </c>
      <c r="AH266" s="156">
        <f>S266*$AH$3</f>
        <v>5746.0801679999995</v>
      </c>
      <c r="AI266" s="156">
        <f>S266*$AI$3</f>
        <v>11492.160335999999</v>
      </c>
      <c r="AJ266" s="156">
        <f>S266*$AJ$3</f>
        <v>11492.160335999999</v>
      </c>
      <c r="AK266" s="156">
        <f>S266*$AK$3</f>
        <v>40222.561176000003</v>
      </c>
      <c r="AL266" s="157">
        <f t="shared" si="195"/>
        <v>176835.61717019998</v>
      </c>
      <c r="AM266" s="158">
        <f t="shared" si="196"/>
        <v>2200</v>
      </c>
      <c r="AN266" s="159">
        <v>0.2</v>
      </c>
      <c r="AO266" s="160">
        <f t="shared" si="197"/>
        <v>4698586842.2160196</v>
      </c>
      <c r="AP266" s="161">
        <f t="shared" si="198"/>
        <v>1305163.116139713</v>
      </c>
      <c r="AQ266" s="162">
        <f t="shared" si="199"/>
        <v>261032.62322794262</v>
      </c>
      <c r="AR266" s="580">
        <f t="shared" si="200"/>
        <v>37.247805825905054</v>
      </c>
      <c r="AS266" s="582">
        <f t="shared" si="201"/>
        <v>37.247805825905054</v>
      </c>
      <c r="AT266" s="588"/>
      <c r="AU266" s="166"/>
      <c r="AV266" s="167"/>
      <c r="AW266" s="146"/>
      <c r="AX266" s="168"/>
    </row>
    <row r="267" spans="1:50" s="139" customFormat="1" ht="11.25" x14ac:dyDescent="0.2">
      <c r="A267" s="140">
        <v>3</v>
      </c>
      <c r="B267" s="330" t="s">
        <v>301</v>
      </c>
      <c r="C267" s="142"/>
      <c r="D267" s="143"/>
      <c r="E267" s="143"/>
      <c r="F267" s="143"/>
      <c r="G267" s="143"/>
      <c r="H267" s="143"/>
      <c r="I267" s="143"/>
      <c r="J267" s="143"/>
      <c r="K267" s="143"/>
      <c r="L267" s="143"/>
      <c r="M267" s="328">
        <v>899515</v>
      </c>
      <c r="N267" s="143"/>
      <c r="O267" s="145"/>
      <c r="P267" s="223">
        <f t="shared" si="193"/>
        <v>899515</v>
      </c>
      <c r="Q267" s="147">
        <f>P267*$Q$7</f>
        <v>131329.19</v>
      </c>
      <c r="R267" s="147">
        <f t="shared" si="194"/>
        <v>359.80599999999998</v>
      </c>
      <c r="S267" s="148">
        <f>R267*$S$3*$S$7</f>
        <v>91930.43299999999</v>
      </c>
      <c r="T267" s="199"/>
      <c r="U267" s="150"/>
      <c r="V267" s="151"/>
      <c r="W267" s="151"/>
      <c r="X267" s="152"/>
      <c r="Y267" s="153"/>
      <c r="Z267" s="153"/>
      <c r="AA267" s="154"/>
      <c r="AB267" s="155">
        <f>S267*$AB$3</f>
        <v>53319.651139999987</v>
      </c>
      <c r="AC267" s="156">
        <f>S267*$AC$3</f>
        <v>11950.956289999998</v>
      </c>
      <c r="AD267" s="156">
        <f>S267*$AD$3</f>
        <v>8066.8954957499982</v>
      </c>
      <c r="AE267" s="156">
        <f>S267*$AE$3</f>
        <v>3677.2173199999997</v>
      </c>
      <c r="AF267" s="156">
        <f>S267*$AF$3</f>
        <v>1838.6086599999999</v>
      </c>
      <c r="AG267" s="156">
        <f>S267*$AG$3</f>
        <v>1838.6086599999999</v>
      </c>
      <c r="AH267" s="156">
        <f>S267*$AH$3</f>
        <v>919.30432999999994</v>
      </c>
      <c r="AI267" s="156">
        <f>S267*$AI$3</f>
        <v>1838.6086599999999</v>
      </c>
      <c r="AJ267" s="156">
        <f>S267*$AJ$3</f>
        <v>1838.6086599999999</v>
      </c>
      <c r="AK267" s="156">
        <f>S267*$AK$3</f>
        <v>6435.1303099999996</v>
      </c>
      <c r="AL267" s="157">
        <f t="shared" si="195"/>
        <v>28291.590755749996</v>
      </c>
      <c r="AM267" s="158">
        <f t="shared" si="196"/>
        <v>2200</v>
      </c>
      <c r="AN267" s="159">
        <v>0.2</v>
      </c>
      <c r="AO267" s="160">
        <f t="shared" si="197"/>
        <v>751717884.65207732</v>
      </c>
      <c r="AP267" s="161">
        <f t="shared" si="198"/>
        <v>208810.54021930779</v>
      </c>
      <c r="AQ267" s="162">
        <f t="shared" si="199"/>
        <v>41762.108043861561</v>
      </c>
      <c r="AR267" s="580">
        <f t="shared" si="200"/>
        <v>5.9592049149345838</v>
      </c>
      <c r="AS267" s="582">
        <f t="shared" si="201"/>
        <v>5.9592049149345838</v>
      </c>
      <c r="AT267" s="588"/>
      <c r="AU267" s="166"/>
      <c r="AV267" s="167"/>
      <c r="AW267" s="146"/>
      <c r="AX267" s="168"/>
    </row>
    <row r="268" spans="1:50" s="139" customFormat="1" ht="11.25" x14ac:dyDescent="0.2">
      <c r="A268" s="140">
        <v>4</v>
      </c>
      <c r="B268" s="330" t="s">
        <v>302</v>
      </c>
      <c r="C268" s="142"/>
      <c r="D268" s="143"/>
      <c r="E268" s="143"/>
      <c r="F268" s="143"/>
      <c r="G268" s="143"/>
      <c r="H268" s="143"/>
      <c r="I268" s="143"/>
      <c r="J268" s="143"/>
      <c r="K268" s="143"/>
      <c r="L268" s="143"/>
      <c r="M268" s="328">
        <v>2281945</v>
      </c>
      <c r="N268" s="143"/>
      <c r="O268" s="145"/>
      <c r="P268" s="223">
        <f t="shared" si="193"/>
        <v>2281945</v>
      </c>
      <c r="Q268" s="147">
        <f>P268*$Q$5</f>
        <v>540820.96499999997</v>
      </c>
      <c r="R268" s="147">
        <f t="shared" si="194"/>
        <v>1481.7012739726026</v>
      </c>
      <c r="S268" s="148">
        <f>R268*$S$3*$S$5</f>
        <v>486738.86849999998</v>
      </c>
      <c r="T268" s="199"/>
      <c r="U268" s="150"/>
      <c r="V268" s="151"/>
      <c r="W268" s="151"/>
      <c r="X268" s="152"/>
      <c r="Y268" s="153"/>
      <c r="Z268" s="153"/>
      <c r="AA268" s="154"/>
      <c r="AB268" s="155">
        <f>S268*$AB$3</f>
        <v>282308.54372999998</v>
      </c>
      <c r="AC268" s="156">
        <f>S268*$AC$3</f>
        <v>63276.052904999997</v>
      </c>
      <c r="AD268" s="156">
        <f>S268*$AD$3</f>
        <v>42711.335710874999</v>
      </c>
      <c r="AE268" s="156">
        <f>S268*$AE$3</f>
        <v>19469.55474</v>
      </c>
      <c r="AF268" s="156">
        <f>S268*$AF$3</f>
        <v>9734.7773699999998</v>
      </c>
      <c r="AG268" s="156">
        <f>S268*$AG$3</f>
        <v>9734.7773699999998</v>
      </c>
      <c r="AH268" s="156">
        <f>S268*$AH$3</f>
        <v>4867.3886849999999</v>
      </c>
      <c r="AI268" s="156">
        <f>S268*$AI$3</f>
        <v>9734.7773699999998</v>
      </c>
      <c r="AJ268" s="156">
        <f>S268*$AJ$3</f>
        <v>9734.7773699999998</v>
      </c>
      <c r="AK268" s="156">
        <f>S268*$AK$3</f>
        <v>34071.720795000001</v>
      </c>
      <c r="AL268" s="157">
        <f t="shared" si="195"/>
        <v>149793.88678087501</v>
      </c>
      <c r="AM268" s="158">
        <f t="shared" si="196"/>
        <v>2200</v>
      </c>
      <c r="AN268" s="159">
        <v>0.2</v>
      </c>
      <c r="AO268" s="160">
        <f t="shared" si="197"/>
        <v>3980078203.3384485</v>
      </c>
      <c r="AP268" s="161">
        <f t="shared" si="198"/>
        <v>1105577.3671513069</v>
      </c>
      <c r="AQ268" s="162">
        <f t="shared" si="199"/>
        <v>221115.47343026139</v>
      </c>
      <c r="AR268" s="580">
        <f t="shared" si="200"/>
        <v>31.551865500893463</v>
      </c>
      <c r="AS268" s="582">
        <f t="shared" si="201"/>
        <v>31.551865500893463</v>
      </c>
      <c r="AT268" s="588"/>
      <c r="AU268" s="166"/>
      <c r="AV268" s="167"/>
      <c r="AW268" s="146"/>
      <c r="AX268" s="168"/>
    </row>
    <row r="269" spans="1:50" s="139" customFormat="1" ht="11.25" x14ac:dyDescent="0.2">
      <c r="A269" s="140">
        <v>5</v>
      </c>
      <c r="B269" s="330" t="s">
        <v>303</v>
      </c>
      <c r="C269" s="142"/>
      <c r="D269" s="143"/>
      <c r="E269" s="143"/>
      <c r="F269" s="143"/>
      <c r="G269" s="143"/>
      <c r="H269" s="143"/>
      <c r="I269" s="143"/>
      <c r="J269" s="143"/>
      <c r="K269" s="143"/>
      <c r="L269" s="143"/>
      <c r="M269" s="328">
        <v>1645659</v>
      </c>
      <c r="N269" s="143"/>
      <c r="O269" s="145"/>
      <c r="P269" s="223">
        <f t="shared" si="193"/>
        <v>1645659</v>
      </c>
      <c r="Q269" s="147">
        <f>P269*$Q$5</f>
        <v>390021.18299999996</v>
      </c>
      <c r="R269" s="147">
        <f t="shared" si="194"/>
        <v>1068.5511863013699</v>
      </c>
      <c r="S269" s="148">
        <f>R269*$S$3*$S$5</f>
        <v>351019.06470000005</v>
      </c>
      <c r="T269" s="199"/>
      <c r="U269" s="150"/>
      <c r="V269" s="151"/>
      <c r="W269" s="151"/>
      <c r="X269" s="152"/>
      <c r="Y269" s="153"/>
      <c r="Z269" s="153"/>
      <c r="AA269" s="154"/>
      <c r="AB269" s="155">
        <f>S269*$AB$3</f>
        <v>203591.05752600002</v>
      </c>
      <c r="AC269" s="156">
        <f>S269*$AC$3</f>
        <v>45632.478411000011</v>
      </c>
      <c r="AD269" s="156">
        <f>S269*$AD$3</f>
        <v>30801.922927425003</v>
      </c>
      <c r="AE269" s="156">
        <f>S269*$AE$3</f>
        <v>14040.762588000001</v>
      </c>
      <c r="AF269" s="156">
        <f>S269*$AF$3</f>
        <v>7020.3812940000007</v>
      </c>
      <c r="AG269" s="156">
        <f>S269*$AG$3</f>
        <v>7020.3812940000007</v>
      </c>
      <c r="AH269" s="156">
        <f>S269*$AH$3</f>
        <v>3510.1906470000004</v>
      </c>
      <c r="AI269" s="156">
        <f>S269*$AI$3</f>
        <v>7020.3812940000007</v>
      </c>
      <c r="AJ269" s="156">
        <f>S269*$AJ$3</f>
        <v>7020.3812940000007</v>
      </c>
      <c r="AK269" s="156">
        <f>S269*$AK$3</f>
        <v>24571.334529000007</v>
      </c>
      <c r="AL269" s="157">
        <f t="shared" si="195"/>
        <v>108026.11716142502</v>
      </c>
      <c r="AM269" s="158">
        <f t="shared" si="196"/>
        <v>2200</v>
      </c>
      <c r="AN269" s="159">
        <v>0.2</v>
      </c>
      <c r="AO269" s="160">
        <f t="shared" si="197"/>
        <v>2870293331.3588843</v>
      </c>
      <c r="AP269" s="161">
        <f t="shared" si="198"/>
        <v>797303.76693954191</v>
      </c>
      <c r="AQ269" s="162">
        <f t="shared" si="199"/>
        <v>159460.75338790839</v>
      </c>
      <c r="AR269" s="580">
        <f t="shared" si="200"/>
        <v>22.754102937772316</v>
      </c>
      <c r="AS269" s="582">
        <f t="shared" si="201"/>
        <v>22.754102937772316</v>
      </c>
      <c r="AT269" s="588"/>
      <c r="AU269" s="166"/>
      <c r="AV269" s="167"/>
      <c r="AW269" s="146"/>
      <c r="AX269" s="168"/>
    </row>
    <row r="270" spans="1:50" s="139" customFormat="1" ht="11.25" x14ac:dyDescent="0.2">
      <c r="A270" s="140">
        <v>6</v>
      </c>
      <c r="B270" s="330" t="s">
        <v>304</v>
      </c>
      <c r="C270" s="142"/>
      <c r="D270" s="143"/>
      <c r="E270" s="143"/>
      <c r="F270" s="143"/>
      <c r="G270" s="143"/>
      <c r="H270" s="143"/>
      <c r="I270" s="143"/>
      <c r="J270" s="143"/>
      <c r="K270" s="143"/>
      <c r="L270" s="143"/>
      <c r="M270" s="328">
        <v>21082</v>
      </c>
      <c r="N270" s="143"/>
      <c r="O270" s="145"/>
      <c r="P270" s="223">
        <f t="shared" si="193"/>
        <v>21082</v>
      </c>
      <c r="Q270" s="147">
        <f>P270*$Q$8</f>
        <v>2319.02</v>
      </c>
      <c r="R270" s="147">
        <f t="shared" si="194"/>
        <v>6.3534794520547946</v>
      </c>
      <c r="S270" s="148">
        <f>R270*$S$3*$S$8</f>
        <v>1391.412</v>
      </c>
      <c r="T270" s="199"/>
      <c r="U270" s="150"/>
      <c r="V270" s="151"/>
      <c r="W270" s="151"/>
      <c r="X270" s="152"/>
      <c r="Y270" s="153"/>
      <c r="Z270" s="153"/>
      <c r="AA270" s="154"/>
      <c r="AB270" s="155">
        <f>S270*$AB$3</f>
        <v>807.01895999999999</v>
      </c>
      <c r="AC270" s="156">
        <f>S270*$AC$3</f>
        <v>180.88356000000002</v>
      </c>
      <c r="AD270" s="156">
        <f>S270*$AD$3</f>
        <v>122.096403</v>
      </c>
      <c r="AE270" s="156">
        <f>S270*$AE$3</f>
        <v>55.656480000000002</v>
      </c>
      <c r="AF270" s="156">
        <f>S270*$AF$3</f>
        <v>27.828240000000001</v>
      </c>
      <c r="AG270" s="156">
        <f>S270*$AG$3</f>
        <v>27.828240000000001</v>
      </c>
      <c r="AH270" s="156">
        <f>S270*$AH$3</f>
        <v>13.91412</v>
      </c>
      <c r="AI270" s="156">
        <f>S270*$AI$3</f>
        <v>27.828240000000001</v>
      </c>
      <c r="AJ270" s="156">
        <f>S270*$AJ$3</f>
        <v>27.828240000000001</v>
      </c>
      <c r="AK270" s="156">
        <f>S270*$AK$3</f>
        <v>97.398840000000007</v>
      </c>
      <c r="AL270" s="157">
        <f t="shared" si="195"/>
        <v>428.207043</v>
      </c>
      <c r="AM270" s="158">
        <f t="shared" si="196"/>
        <v>2200</v>
      </c>
      <c r="AN270" s="159">
        <v>0.2</v>
      </c>
      <c r="AO270" s="160">
        <f t="shared" si="197"/>
        <v>11377617.304592879</v>
      </c>
      <c r="AP270" s="161">
        <f t="shared" si="198"/>
        <v>3160.4495041117398</v>
      </c>
      <c r="AQ270" s="162">
        <f t="shared" si="199"/>
        <v>632.089900822348</v>
      </c>
      <c r="AR270" s="580">
        <f t="shared" si="200"/>
        <v>9.0195476715517697E-2</v>
      </c>
      <c r="AS270" s="582">
        <f t="shared" si="201"/>
        <v>9.0195476715517697E-2</v>
      </c>
      <c r="AT270" s="588"/>
      <c r="AU270" s="166"/>
      <c r="AV270" s="167"/>
      <c r="AW270" s="146"/>
      <c r="AX270" s="168"/>
    </row>
    <row r="271" spans="1:50" s="190" customFormat="1" ht="11.25" x14ac:dyDescent="0.25">
      <c r="A271" s="120"/>
      <c r="B271" s="121" t="s">
        <v>305</v>
      </c>
      <c r="C271" s="240">
        <f t="shared" ref="C271:T271" si="202">SUM(C265:C270)</f>
        <v>0</v>
      </c>
      <c r="D271" s="240">
        <f t="shared" si="202"/>
        <v>0</v>
      </c>
      <c r="E271" s="240">
        <f t="shared" si="202"/>
        <v>0</v>
      </c>
      <c r="F271" s="240">
        <f t="shared" si="202"/>
        <v>0</v>
      </c>
      <c r="G271" s="240">
        <f t="shared" si="202"/>
        <v>0</v>
      </c>
      <c r="H271" s="240">
        <f t="shared" si="202"/>
        <v>0</v>
      </c>
      <c r="I271" s="240">
        <f t="shared" si="202"/>
        <v>0</v>
      </c>
      <c r="J271" s="240">
        <f t="shared" si="202"/>
        <v>0</v>
      </c>
      <c r="K271" s="240">
        <f t="shared" si="202"/>
        <v>0</v>
      </c>
      <c r="L271" s="240">
        <f t="shared" si="202"/>
        <v>0</v>
      </c>
      <c r="M271" s="240">
        <f t="shared" si="202"/>
        <v>9604329</v>
      </c>
      <c r="N271" s="240">
        <f t="shared" si="202"/>
        <v>0</v>
      </c>
      <c r="O271" s="240">
        <f t="shared" si="202"/>
        <v>0</v>
      </c>
      <c r="P271" s="240">
        <f t="shared" si="202"/>
        <v>9604329</v>
      </c>
      <c r="Q271" s="240">
        <f t="shared" si="202"/>
        <v>2191692.6939999997</v>
      </c>
      <c r="R271" s="240">
        <f t="shared" si="202"/>
        <v>6004.6375178082189</v>
      </c>
      <c r="S271" s="240">
        <f t="shared" si="202"/>
        <v>1945561.8805999998</v>
      </c>
      <c r="T271" s="199">
        <f t="shared" si="202"/>
        <v>0</v>
      </c>
      <c r="U271" s="241"/>
      <c r="V271" s="242">
        <f>SUM(V265:V270)</f>
        <v>0</v>
      </c>
      <c r="W271" s="242">
        <f>SUM(W265:W270)</f>
        <v>0</v>
      </c>
      <c r="X271" s="242">
        <f>SUM(X265:X270)</f>
        <v>0</v>
      </c>
      <c r="Y271" s="199"/>
      <c r="Z271" s="199"/>
      <c r="AA271" s="243"/>
      <c r="AB271" s="240">
        <f t="shared" ref="AB271:AL271" si="203">SUM(AB265:AB270)</f>
        <v>1128425.890748</v>
      </c>
      <c r="AC271" s="244">
        <f t="shared" si="203"/>
        <v>252923.044478</v>
      </c>
      <c r="AD271" s="244">
        <f t="shared" si="203"/>
        <v>170723.05502264999</v>
      </c>
      <c r="AE271" s="244">
        <f t="shared" si="203"/>
        <v>77822.475224000009</v>
      </c>
      <c r="AF271" s="244">
        <f t="shared" si="203"/>
        <v>38911.237612000004</v>
      </c>
      <c r="AG271" s="244">
        <f t="shared" si="203"/>
        <v>38911.237612000004</v>
      </c>
      <c r="AH271" s="244">
        <f t="shared" si="203"/>
        <v>19455.618806000002</v>
      </c>
      <c r="AI271" s="244">
        <f t="shared" si="203"/>
        <v>38911.237612000004</v>
      </c>
      <c r="AJ271" s="244">
        <f t="shared" si="203"/>
        <v>38911.237612000004</v>
      </c>
      <c r="AK271" s="244">
        <f t="shared" si="203"/>
        <v>136189.331642</v>
      </c>
      <c r="AL271" s="245">
        <f t="shared" si="203"/>
        <v>598746.66875465005</v>
      </c>
      <c r="AM271" s="158"/>
      <c r="AN271" s="183"/>
      <c r="AO271" s="184">
        <f>SUM(AO265:AO270)</f>
        <v>15908917358.676527</v>
      </c>
      <c r="AP271" s="184">
        <f>SUM(AP265:AP270)</f>
        <v>4419144.064274977</v>
      </c>
      <c r="AQ271" s="184">
        <f>SUM(AQ265:AQ270)</f>
        <v>883828.81285499549</v>
      </c>
      <c r="AR271" s="186">
        <f>SUM(AR265:AR270)</f>
        <v>126.11712512200279</v>
      </c>
      <c r="AS271" s="435">
        <f>SUM(AS265:AS270)</f>
        <v>126.11712512200279</v>
      </c>
      <c r="AT271" s="589"/>
      <c r="AU271" s="246">
        <f>SUM(AU269:AU270)</f>
        <v>0</v>
      </c>
      <c r="AV271" s="246"/>
      <c r="AW271" s="185">
        <f>SUM(AW269:AW270)</f>
        <v>0</v>
      </c>
      <c r="AX271" s="189"/>
    </row>
    <row r="272" spans="1:50" x14ac:dyDescent="0.25">
      <c r="AS272" s="592"/>
    </row>
    <row r="273" spans="1:50" s="139" customFormat="1" ht="11.25" x14ac:dyDescent="0.25">
      <c r="A273" s="120"/>
      <c r="B273" s="121" t="s">
        <v>306</v>
      </c>
      <c r="C273" s="122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213"/>
      <c r="P273" s="76"/>
      <c r="Q273" s="108"/>
      <c r="R273" s="108"/>
      <c r="S273" s="94"/>
      <c r="T273" s="199"/>
      <c r="U273" s="179"/>
      <c r="V273" s="180"/>
      <c r="W273" s="180"/>
      <c r="X273" s="214"/>
      <c r="Y273" s="181"/>
      <c r="Z273" s="181"/>
      <c r="AA273" s="182"/>
      <c r="AB273" s="62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125"/>
      <c r="AM273" s="75"/>
      <c r="AN273" s="216"/>
      <c r="AO273" s="75"/>
      <c r="AP273" s="51"/>
      <c r="AQ273" s="217"/>
      <c r="AR273" s="583"/>
      <c r="AS273" s="584"/>
      <c r="AT273" s="587"/>
      <c r="AU273" s="135"/>
      <c r="AV273" s="136"/>
      <c r="AW273" s="137"/>
      <c r="AX273" s="138"/>
    </row>
    <row r="274" spans="1:50" s="139" customFormat="1" ht="11.25" x14ac:dyDescent="0.2">
      <c r="A274" s="140">
        <v>1</v>
      </c>
      <c r="B274" s="232" t="s">
        <v>307</v>
      </c>
      <c r="C274" s="142"/>
      <c r="D274" s="143"/>
      <c r="E274" s="143"/>
      <c r="F274" s="143"/>
      <c r="G274" s="143"/>
      <c r="H274" s="143"/>
      <c r="I274" s="143"/>
      <c r="J274" s="143"/>
      <c r="K274" s="143"/>
      <c r="L274" s="143"/>
      <c r="M274" s="331">
        <v>1149610</v>
      </c>
      <c r="N274" s="331">
        <v>1172179</v>
      </c>
      <c r="O274" s="145"/>
      <c r="P274" s="223">
        <f t="shared" ref="P274:P281" si="204">MAX(C274:O274)</f>
        <v>1172179</v>
      </c>
      <c r="Q274" s="147">
        <f>P274*$Q$6</f>
        <v>192237.356</v>
      </c>
      <c r="R274" s="147">
        <f t="shared" ref="R274:R281" si="205">Q274/$R$3</f>
        <v>526.67768767123289</v>
      </c>
      <c r="S274" s="148">
        <f>R274*$S$3*$S$6</f>
        <v>153789.8848</v>
      </c>
      <c r="T274" s="199"/>
      <c r="U274" s="150"/>
      <c r="V274" s="151"/>
      <c r="W274" s="151"/>
      <c r="X274" s="152"/>
      <c r="Y274" s="153"/>
      <c r="Z274" s="153"/>
      <c r="AA274" s="154"/>
      <c r="AB274" s="155">
        <f>S274*$AB$3</f>
        <v>89198.133183999991</v>
      </c>
      <c r="AC274" s="156">
        <f>S274*$AC$3</f>
        <v>19992.685024000002</v>
      </c>
      <c r="AD274" s="156">
        <f>S274*$AD$3</f>
        <v>13495.062391199999</v>
      </c>
      <c r="AE274" s="156">
        <f>S274*$AE$3</f>
        <v>6151.5953920000002</v>
      </c>
      <c r="AF274" s="156">
        <f>S274*$AF$3</f>
        <v>3075.7976960000001</v>
      </c>
      <c r="AG274" s="156">
        <f>S274*$AG$3</f>
        <v>3075.7976960000001</v>
      </c>
      <c r="AH274" s="156">
        <f>S274*$AH$3</f>
        <v>1537.898848</v>
      </c>
      <c r="AI274" s="156">
        <f>S274*$AI$3</f>
        <v>3075.7976960000001</v>
      </c>
      <c r="AJ274" s="156">
        <f>S274*$AJ$3</f>
        <v>3075.7976960000001</v>
      </c>
      <c r="AK274" s="156">
        <f>S274*$AK$3</f>
        <v>10765.291936000001</v>
      </c>
      <c r="AL274" s="157">
        <f t="shared" ref="AL274:AL281" si="206">SUM(AC274:AH274)</f>
        <v>47328.837047200002</v>
      </c>
      <c r="AM274" s="158">
        <f t="shared" ref="AM274:AM281" si="207">$AM$3</f>
        <v>2200</v>
      </c>
      <c r="AN274" s="159">
        <v>0.2</v>
      </c>
      <c r="AO274" s="160">
        <f t="shared" ref="AO274:AO281" si="208">(AB274+AL274)*AM274*$AO$3</f>
        <v>1257544461.7207739</v>
      </c>
      <c r="AP274" s="161">
        <f t="shared" ref="AP274:AP281" si="209">AO274*$AP$3</f>
        <v>349317.93397898081</v>
      </c>
      <c r="AQ274" s="162">
        <f t="shared" ref="AQ274:AQ281" si="210">AP274*$AQ$3</f>
        <v>69863.58679579616</v>
      </c>
      <c r="AR274" s="580">
        <f t="shared" ref="AR274:AR281" si="211">AQ274/$AR$3</f>
        <v>9.969119120404704</v>
      </c>
      <c r="AS274" s="582">
        <f t="shared" ref="AS274:AS281" si="212">AR274</f>
        <v>9.969119120404704</v>
      </c>
      <c r="AT274" s="588"/>
      <c r="AU274" s="166"/>
      <c r="AV274" s="167"/>
      <c r="AW274" s="146"/>
      <c r="AX274" s="168"/>
    </row>
    <row r="275" spans="1:50" s="139" customFormat="1" ht="11.25" x14ac:dyDescent="0.2">
      <c r="A275" s="140">
        <v>2</v>
      </c>
      <c r="B275" s="232" t="s">
        <v>308</v>
      </c>
      <c r="C275" s="142"/>
      <c r="D275" s="143"/>
      <c r="E275" s="143"/>
      <c r="F275" s="143"/>
      <c r="G275" s="143"/>
      <c r="H275" s="143"/>
      <c r="I275" s="143"/>
      <c r="J275" s="143"/>
      <c r="K275" s="143"/>
      <c r="L275" s="143"/>
      <c r="M275" s="332">
        <v>1204095</v>
      </c>
      <c r="N275" s="331">
        <v>1228884</v>
      </c>
      <c r="O275" s="145"/>
      <c r="P275" s="223">
        <f t="shared" si="204"/>
        <v>1228884</v>
      </c>
      <c r="Q275" s="147">
        <f>P275*$Q$6</f>
        <v>201536.976</v>
      </c>
      <c r="R275" s="147">
        <f t="shared" si="205"/>
        <v>552.15609863013697</v>
      </c>
      <c r="S275" s="148">
        <f>R275*$S$3*$S$6</f>
        <v>161229.5808</v>
      </c>
      <c r="T275" s="199"/>
      <c r="U275" s="150"/>
      <c r="V275" s="151"/>
      <c r="W275" s="151"/>
      <c r="X275" s="152"/>
      <c r="Y275" s="153"/>
      <c r="Z275" s="153"/>
      <c r="AA275" s="154"/>
      <c r="AB275" s="155">
        <f>S275*$AB$3</f>
        <v>93513.15686399999</v>
      </c>
      <c r="AC275" s="156">
        <f>S275*$AC$3</f>
        <v>20959.845504000001</v>
      </c>
      <c r="AD275" s="156">
        <f>S275*$AD$3</f>
        <v>14147.895715199998</v>
      </c>
      <c r="AE275" s="156">
        <f>S275*$AE$3</f>
        <v>6449.1832320000003</v>
      </c>
      <c r="AF275" s="156">
        <f>S275*$AF$3</f>
        <v>3224.5916160000002</v>
      </c>
      <c r="AG275" s="156">
        <f>S275*$AG$3</f>
        <v>3224.5916160000002</v>
      </c>
      <c r="AH275" s="156">
        <f>S275*$AH$3</f>
        <v>1612.2958080000001</v>
      </c>
      <c r="AI275" s="156">
        <f>S275*$AI$3</f>
        <v>3224.5916160000002</v>
      </c>
      <c r="AJ275" s="156">
        <f>S275*$AJ$3</f>
        <v>3224.5916160000002</v>
      </c>
      <c r="AK275" s="156">
        <f>S275*$AK$3</f>
        <v>11286.070656000002</v>
      </c>
      <c r="AL275" s="157">
        <f t="shared" si="206"/>
        <v>49618.403491199999</v>
      </c>
      <c r="AM275" s="158">
        <f t="shared" si="207"/>
        <v>2200</v>
      </c>
      <c r="AN275" s="159">
        <v>0.2</v>
      </c>
      <c r="AO275" s="160">
        <f t="shared" si="208"/>
        <v>1318379077.169333</v>
      </c>
      <c r="AP275" s="161">
        <f t="shared" si="209"/>
        <v>366216.43962212751</v>
      </c>
      <c r="AQ275" s="162">
        <f t="shared" si="210"/>
        <v>73243.287924425502</v>
      </c>
      <c r="AR275" s="580">
        <f t="shared" si="211"/>
        <v>10.451382409307293</v>
      </c>
      <c r="AS275" s="582">
        <f t="shared" si="212"/>
        <v>10.451382409307293</v>
      </c>
      <c r="AT275" s="588"/>
      <c r="AU275" s="166"/>
      <c r="AV275" s="167"/>
      <c r="AW275" s="146"/>
      <c r="AX275" s="168"/>
    </row>
    <row r="276" spans="1:50" s="139" customFormat="1" ht="11.25" x14ac:dyDescent="0.2">
      <c r="A276" s="140">
        <v>3</v>
      </c>
      <c r="B276" s="232" t="s">
        <v>309</v>
      </c>
      <c r="C276" s="142"/>
      <c r="D276" s="143"/>
      <c r="E276" s="143"/>
      <c r="F276" s="143"/>
      <c r="G276" s="143"/>
      <c r="H276" s="143"/>
      <c r="I276" s="143"/>
      <c r="J276" s="143"/>
      <c r="K276" s="143"/>
      <c r="L276" s="143"/>
      <c r="M276" s="331">
        <v>2834376</v>
      </c>
      <c r="N276" s="331">
        <v>2960474</v>
      </c>
      <c r="O276" s="145"/>
      <c r="P276" s="223">
        <f t="shared" si="204"/>
        <v>2960474</v>
      </c>
      <c r="Q276" s="147">
        <f>P276*$Q$5</f>
        <v>701632.33799999999</v>
      </c>
      <c r="R276" s="147">
        <f t="shared" si="205"/>
        <v>1922.2803780821916</v>
      </c>
      <c r="S276" s="148">
        <f>R276*$S$3*$S$5</f>
        <v>631469.10420000006</v>
      </c>
      <c r="T276" s="199"/>
      <c r="U276" s="150"/>
      <c r="V276" s="151"/>
      <c r="W276" s="151"/>
      <c r="X276" s="152"/>
      <c r="Y276" s="153"/>
      <c r="Z276" s="153"/>
      <c r="AA276" s="154"/>
      <c r="AB276" s="155">
        <f>S276*$AB$3</f>
        <v>366252.08043600002</v>
      </c>
      <c r="AC276" s="156">
        <f>S276*$AC$3</f>
        <v>82090.983546000018</v>
      </c>
      <c r="AD276" s="156">
        <f>S276*$AD$3</f>
        <v>55411.413893550001</v>
      </c>
      <c r="AE276" s="156">
        <f>S276*$AE$3</f>
        <v>25258.764168000002</v>
      </c>
      <c r="AF276" s="156">
        <f>S276*$AF$3</f>
        <v>12629.382084000001</v>
      </c>
      <c r="AG276" s="156">
        <f>S276*$AG$3</f>
        <v>12629.382084000001</v>
      </c>
      <c r="AH276" s="156">
        <f>S276*$AH$3</f>
        <v>6314.6910420000004</v>
      </c>
      <c r="AI276" s="156">
        <f>S276*$AI$3</f>
        <v>12629.382084000001</v>
      </c>
      <c r="AJ276" s="156">
        <f>S276*$AJ$3</f>
        <v>12629.382084000001</v>
      </c>
      <c r="AK276" s="156">
        <f>S276*$AK$3</f>
        <v>44202.837294000012</v>
      </c>
      <c r="AL276" s="157">
        <f t="shared" si="206"/>
        <v>194334.61681755004</v>
      </c>
      <c r="AM276" s="158">
        <f t="shared" si="207"/>
        <v>2200</v>
      </c>
      <c r="AN276" s="159">
        <v>0.2</v>
      </c>
      <c r="AO276" s="160">
        <f t="shared" si="208"/>
        <v>5163541644.9345598</v>
      </c>
      <c r="AP276" s="161">
        <f t="shared" si="209"/>
        <v>1434317.2383383031</v>
      </c>
      <c r="AQ276" s="162">
        <f t="shared" si="210"/>
        <v>286863.4476676606</v>
      </c>
      <c r="AR276" s="580">
        <f t="shared" si="211"/>
        <v>40.933711139791754</v>
      </c>
      <c r="AS276" s="582">
        <f t="shared" si="212"/>
        <v>40.933711139791754</v>
      </c>
      <c r="AT276" s="588"/>
      <c r="AU276" s="166"/>
      <c r="AV276" s="167"/>
      <c r="AW276" s="146"/>
      <c r="AX276" s="168"/>
    </row>
    <row r="277" spans="1:50" s="139" customFormat="1" ht="11.25" x14ac:dyDescent="0.2">
      <c r="A277" s="140">
        <v>4</v>
      </c>
      <c r="B277" s="232" t="s">
        <v>310</v>
      </c>
      <c r="C277" s="142"/>
      <c r="D277" s="143"/>
      <c r="E277" s="143"/>
      <c r="F277" s="143"/>
      <c r="G277" s="143"/>
      <c r="H277" s="143"/>
      <c r="I277" s="143"/>
      <c r="J277" s="143"/>
      <c r="K277" s="143"/>
      <c r="L277" s="143"/>
      <c r="M277" s="331">
        <v>1402818</v>
      </c>
      <c r="N277" s="331">
        <v>1434137</v>
      </c>
      <c r="O277" s="145"/>
      <c r="P277" s="223">
        <f t="shared" si="204"/>
        <v>1434137</v>
      </c>
      <c r="Q277" s="147">
        <f>P277*$Q$6</f>
        <v>235198.46800000002</v>
      </c>
      <c r="R277" s="147">
        <f t="shared" si="205"/>
        <v>644.37936438356166</v>
      </c>
      <c r="S277" s="148">
        <f>R277*$S$3*$S$6</f>
        <v>188158.77439999999</v>
      </c>
      <c r="T277" s="199"/>
      <c r="U277" s="150"/>
      <c r="V277" s="151"/>
      <c r="W277" s="151"/>
      <c r="X277" s="152"/>
      <c r="Y277" s="153"/>
      <c r="Z277" s="153"/>
      <c r="AA277" s="154"/>
      <c r="AB277" s="155">
        <f>S277*$AB$3</f>
        <v>109132.08915199999</v>
      </c>
      <c r="AC277" s="156">
        <f>S277*$AC$3</f>
        <v>24460.640672000001</v>
      </c>
      <c r="AD277" s="156">
        <f>S277*$AD$3</f>
        <v>16510.932453599999</v>
      </c>
      <c r="AE277" s="156">
        <f>S277*$AE$3</f>
        <v>7526.3509759999997</v>
      </c>
      <c r="AF277" s="156">
        <f>S277*$AF$3</f>
        <v>3763.1754879999999</v>
      </c>
      <c r="AG277" s="156">
        <f>S277*$AG$3</f>
        <v>3763.1754879999999</v>
      </c>
      <c r="AH277" s="156">
        <f>S277*$AH$3</f>
        <v>1881.5877439999999</v>
      </c>
      <c r="AI277" s="156">
        <f>S277*$AI$3</f>
        <v>3763.1754879999999</v>
      </c>
      <c r="AJ277" s="156">
        <f>S277*$AJ$3</f>
        <v>3763.1754879999999</v>
      </c>
      <c r="AK277" s="156">
        <f>S277*$AK$3</f>
        <v>13171.114208000001</v>
      </c>
      <c r="AL277" s="157">
        <f t="shared" si="206"/>
        <v>57905.8628216</v>
      </c>
      <c r="AM277" s="158">
        <f t="shared" si="207"/>
        <v>2200</v>
      </c>
      <c r="AN277" s="159">
        <v>0.2</v>
      </c>
      <c r="AO277" s="160">
        <f t="shared" si="208"/>
        <v>1538579894.1107504</v>
      </c>
      <c r="AP277" s="161">
        <f t="shared" si="209"/>
        <v>427383.33811031719</v>
      </c>
      <c r="AQ277" s="162">
        <f t="shared" si="210"/>
        <v>85476.66762206344</v>
      </c>
      <c r="AR277" s="580">
        <f t="shared" si="211"/>
        <v>12.197013073924577</v>
      </c>
      <c r="AS277" s="582">
        <f t="shared" si="212"/>
        <v>12.197013073924577</v>
      </c>
      <c r="AT277" s="588"/>
      <c r="AU277" s="166"/>
      <c r="AV277" s="167"/>
      <c r="AW277" s="146"/>
      <c r="AX277" s="168"/>
    </row>
    <row r="278" spans="1:50" s="139" customFormat="1" ht="11.25" x14ac:dyDescent="0.2">
      <c r="A278" s="140">
        <v>5</v>
      </c>
      <c r="B278" s="232" t="s">
        <v>311</v>
      </c>
      <c r="C278" s="142"/>
      <c r="D278" s="143"/>
      <c r="E278" s="143"/>
      <c r="F278" s="143"/>
      <c r="G278" s="143"/>
      <c r="H278" s="143"/>
      <c r="I278" s="143"/>
      <c r="J278" s="143"/>
      <c r="K278" s="143"/>
      <c r="L278" s="143"/>
      <c r="M278" s="331">
        <v>1798601</v>
      </c>
      <c r="N278" s="331">
        <v>1869791</v>
      </c>
      <c r="O278" s="145"/>
      <c r="P278" s="223">
        <f t="shared" si="204"/>
        <v>1869791</v>
      </c>
      <c r="Q278" s="147">
        <f>P278*$Q$5</f>
        <v>443140.467</v>
      </c>
      <c r="R278" s="147">
        <f t="shared" si="205"/>
        <v>1214.0834712328767</v>
      </c>
      <c r="S278" s="148">
        <f>R278*$S$3*$S$5</f>
        <v>398826.4203</v>
      </c>
      <c r="T278" s="199"/>
      <c r="U278" s="150"/>
      <c r="V278" s="151"/>
      <c r="W278" s="151"/>
      <c r="X278" s="152"/>
      <c r="Y278" s="153"/>
      <c r="Z278" s="153"/>
      <c r="AA278" s="154"/>
      <c r="AB278" s="155">
        <f>S278*$AB$3</f>
        <v>231319.32377399999</v>
      </c>
      <c r="AC278" s="156">
        <f>S278*$AC$3</f>
        <v>51847.434638999999</v>
      </c>
      <c r="AD278" s="156">
        <f>S278*$AD$3</f>
        <v>34997.018381324997</v>
      </c>
      <c r="AE278" s="156">
        <f>S278*$AE$3</f>
        <v>15953.056812000001</v>
      </c>
      <c r="AF278" s="156">
        <f>S278*$AF$3</f>
        <v>7976.5284060000004</v>
      </c>
      <c r="AG278" s="156">
        <f>S278*$AG$3</f>
        <v>7976.5284060000004</v>
      </c>
      <c r="AH278" s="156">
        <f>S278*$AH$3</f>
        <v>3988.2642030000002</v>
      </c>
      <c r="AI278" s="156">
        <f>S278*$AI$3</f>
        <v>7976.5284060000004</v>
      </c>
      <c r="AJ278" s="156">
        <f>S278*$AJ$3</f>
        <v>7976.5284060000004</v>
      </c>
      <c r="AK278" s="156">
        <f>S278*$AK$3</f>
        <v>27917.849421000003</v>
      </c>
      <c r="AL278" s="157">
        <f t="shared" si="206"/>
        <v>122738.83084732498</v>
      </c>
      <c r="AM278" s="158">
        <f t="shared" si="207"/>
        <v>2200</v>
      </c>
      <c r="AN278" s="159">
        <v>0.2</v>
      </c>
      <c r="AO278" s="160">
        <f t="shared" si="208"/>
        <v>3261215499.8908396</v>
      </c>
      <c r="AP278" s="161">
        <f t="shared" si="209"/>
        <v>905893.26688557758</v>
      </c>
      <c r="AQ278" s="162">
        <f t="shared" si="210"/>
        <v>181178.65337711552</v>
      </c>
      <c r="AR278" s="580">
        <f t="shared" si="211"/>
        <v>25.853118347191142</v>
      </c>
      <c r="AS278" s="582">
        <f t="shared" si="212"/>
        <v>25.853118347191142</v>
      </c>
      <c r="AT278" s="588"/>
      <c r="AU278" s="166"/>
      <c r="AV278" s="167"/>
      <c r="AW278" s="146"/>
      <c r="AX278" s="168"/>
    </row>
    <row r="279" spans="1:50" s="139" customFormat="1" ht="11.25" x14ac:dyDescent="0.2">
      <c r="A279" s="140">
        <v>6</v>
      </c>
      <c r="B279" s="170" t="s">
        <v>312</v>
      </c>
      <c r="C279" s="142"/>
      <c r="D279" s="143"/>
      <c r="E279" s="143"/>
      <c r="F279" s="143"/>
      <c r="G279" s="143"/>
      <c r="H279" s="143"/>
      <c r="I279" s="143"/>
      <c r="J279" s="143"/>
      <c r="K279" s="143"/>
      <c r="L279" s="143"/>
      <c r="M279" s="331">
        <v>374559</v>
      </c>
      <c r="N279" s="331">
        <v>385720</v>
      </c>
      <c r="O279" s="145"/>
      <c r="P279" s="223">
        <f t="shared" si="204"/>
        <v>385720</v>
      </c>
      <c r="Q279" s="147">
        <f>P279*$Q$8</f>
        <v>42429.2</v>
      </c>
      <c r="R279" s="147">
        <f t="shared" si="205"/>
        <v>116.24438356164383</v>
      </c>
      <c r="S279" s="148">
        <f>R279*$S$3*$S$8</f>
        <v>25457.519999999997</v>
      </c>
      <c r="T279" s="199"/>
      <c r="U279" s="150"/>
      <c r="V279" s="151"/>
      <c r="W279" s="151"/>
      <c r="X279" s="152"/>
      <c r="Y279" s="153"/>
      <c r="Z279" s="153"/>
      <c r="AA279" s="154"/>
      <c r="AB279" s="155">
        <f>S279*$AB$3</f>
        <v>14765.361599999997</v>
      </c>
      <c r="AC279" s="156">
        <f>S279*$AC$3</f>
        <v>3309.4775999999997</v>
      </c>
      <c r="AD279" s="156">
        <f>S279*$AD$3</f>
        <v>2233.8973799999994</v>
      </c>
      <c r="AE279" s="156">
        <f>S279*$AE$3</f>
        <v>1018.3007999999999</v>
      </c>
      <c r="AF279" s="156">
        <f>S279*$AF$3</f>
        <v>509.15039999999993</v>
      </c>
      <c r="AG279" s="156">
        <f>S279*$AG$3</f>
        <v>509.15039999999993</v>
      </c>
      <c r="AH279" s="156">
        <f>S279*$AH$3</f>
        <v>254.57519999999997</v>
      </c>
      <c r="AI279" s="156">
        <f>S279*$AI$3</f>
        <v>509.15039999999993</v>
      </c>
      <c r="AJ279" s="156">
        <f>S279*$AJ$3</f>
        <v>509.15039999999993</v>
      </c>
      <c r="AK279" s="156">
        <f>S279*$AK$3</f>
        <v>1782.0264</v>
      </c>
      <c r="AL279" s="157">
        <f t="shared" si="206"/>
        <v>7834.551779999998</v>
      </c>
      <c r="AM279" s="158">
        <f t="shared" si="207"/>
        <v>2200</v>
      </c>
      <c r="AN279" s="159">
        <v>0.2</v>
      </c>
      <c r="AO279" s="160">
        <f t="shared" si="208"/>
        <v>208166898.14664474</v>
      </c>
      <c r="AP279" s="161">
        <f t="shared" si="209"/>
        <v>57824.142999999051</v>
      </c>
      <c r="AQ279" s="162">
        <f t="shared" si="210"/>
        <v>11564.828599999812</v>
      </c>
      <c r="AR279" s="580">
        <f t="shared" si="211"/>
        <v>1.6502323915524846</v>
      </c>
      <c r="AS279" s="582">
        <f t="shared" si="212"/>
        <v>1.6502323915524846</v>
      </c>
      <c r="AT279" s="588"/>
      <c r="AU279" s="166"/>
      <c r="AV279" s="167"/>
      <c r="AW279" s="146"/>
      <c r="AX279" s="168"/>
    </row>
    <row r="280" spans="1:50" s="139" customFormat="1" ht="11.25" x14ac:dyDescent="0.2">
      <c r="A280" s="140">
        <v>7</v>
      </c>
      <c r="B280" s="170" t="s">
        <v>313</v>
      </c>
      <c r="C280" s="142"/>
      <c r="D280" s="143"/>
      <c r="E280" s="143"/>
      <c r="F280" s="143"/>
      <c r="G280" s="143"/>
      <c r="H280" s="143"/>
      <c r="I280" s="143"/>
      <c r="J280" s="143"/>
      <c r="K280" s="143"/>
      <c r="L280" s="143"/>
      <c r="M280" s="331">
        <v>557785</v>
      </c>
      <c r="N280" s="331">
        <v>598407</v>
      </c>
      <c r="O280" s="145"/>
      <c r="P280" s="223">
        <f t="shared" si="204"/>
        <v>598407</v>
      </c>
      <c r="Q280" s="147">
        <f>P280*$Q$7</f>
        <v>87367.421999999991</v>
      </c>
      <c r="R280" s="147">
        <f t="shared" si="205"/>
        <v>239.36279999999996</v>
      </c>
      <c r="S280" s="148">
        <f>R280*$S$3*$S$7</f>
        <v>61157.19539999999</v>
      </c>
      <c r="T280" s="199"/>
      <c r="U280" s="150"/>
      <c r="V280" s="151"/>
      <c r="W280" s="151"/>
      <c r="X280" s="152"/>
      <c r="Y280" s="153"/>
      <c r="Z280" s="153"/>
      <c r="AA280" s="154"/>
      <c r="AB280" s="155">
        <f>S280*$AB$3</f>
        <v>35471.173331999991</v>
      </c>
      <c r="AC280" s="156">
        <f>S280*$AC$3</f>
        <v>7950.4354019999992</v>
      </c>
      <c r="AD280" s="156">
        <f>S280*$AD$3</f>
        <v>5366.5438963499992</v>
      </c>
      <c r="AE280" s="156">
        <f>S280*$AE$3</f>
        <v>2446.2878159999996</v>
      </c>
      <c r="AF280" s="156">
        <f>S280*$AF$3</f>
        <v>1223.1439079999998</v>
      </c>
      <c r="AG280" s="156">
        <f>S280*$AG$3</f>
        <v>1223.1439079999998</v>
      </c>
      <c r="AH280" s="156">
        <f>S280*$AH$3</f>
        <v>611.57195399999989</v>
      </c>
      <c r="AI280" s="156">
        <f>S280*$AI$3</f>
        <v>1223.1439079999998</v>
      </c>
      <c r="AJ280" s="156">
        <f>S280*$AJ$3</f>
        <v>1223.1439079999998</v>
      </c>
      <c r="AK280" s="156">
        <f>S280*$AK$3</f>
        <v>4281.003678</v>
      </c>
      <c r="AL280" s="157">
        <f t="shared" si="206"/>
        <v>18821.126884349993</v>
      </c>
      <c r="AM280" s="158">
        <f t="shared" si="207"/>
        <v>2200</v>
      </c>
      <c r="AN280" s="159">
        <v>0.2</v>
      </c>
      <c r="AO280" s="160">
        <f t="shared" si="208"/>
        <v>500084205.60079104</v>
      </c>
      <c r="AP280" s="161">
        <f t="shared" si="209"/>
        <v>138912.29044653542</v>
      </c>
      <c r="AQ280" s="162">
        <f t="shared" si="210"/>
        <v>27782.458089307085</v>
      </c>
      <c r="AR280" s="580">
        <f t="shared" si="211"/>
        <v>3.9643918506431342</v>
      </c>
      <c r="AS280" s="582">
        <f t="shared" si="212"/>
        <v>3.9643918506431342</v>
      </c>
      <c r="AT280" s="588"/>
      <c r="AU280" s="166"/>
      <c r="AV280" s="167"/>
      <c r="AW280" s="146"/>
      <c r="AX280" s="168"/>
    </row>
    <row r="281" spans="1:50" s="139" customFormat="1" ht="11.25" x14ac:dyDescent="0.2">
      <c r="A281" s="140">
        <v>8</v>
      </c>
      <c r="B281" s="232" t="s">
        <v>314</v>
      </c>
      <c r="C281" s="142"/>
      <c r="D281" s="143"/>
      <c r="E281" s="143"/>
      <c r="F281" s="143"/>
      <c r="G281" s="143"/>
      <c r="H281" s="143"/>
      <c r="I281" s="143"/>
      <c r="J281" s="143"/>
      <c r="K281" s="143"/>
      <c r="L281" s="143"/>
      <c r="M281" s="331">
        <v>1290322</v>
      </c>
      <c r="N281" s="331">
        <v>1355926</v>
      </c>
      <c r="O281" s="145"/>
      <c r="P281" s="223">
        <f t="shared" si="204"/>
        <v>1355926</v>
      </c>
      <c r="Q281" s="147">
        <f>P281*$Q$6</f>
        <v>222371.864</v>
      </c>
      <c r="R281" s="147">
        <f t="shared" si="205"/>
        <v>609.23798356164389</v>
      </c>
      <c r="S281" s="148">
        <f>R281*$S$3*$S$6</f>
        <v>177897.49120000005</v>
      </c>
      <c r="T281" s="199"/>
      <c r="U281" s="150"/>
      <c r="V281" s="151"/>
      <c r="W281" s="151"/>
      <c r="X281" s="152"/>
      <c r="Y281" s="153"/>
      <c r="Z281" s="153"/>
      <c r="AA281" s="154"/>
      <c r="AB281" s="155">
        <f>S281*$AB$3</f>
        <v>103180.54489600002</v>
      </c>
      <c r="AC281" s="156">
        <f>S281*$AC$3</f>
        <v>23126.673856000009</v>
      </c>
      <c r="AD281" s="156">
        <f>S281*$AD$3</f>
        <v>15610.504852800002</v>
      </c>
      <c r="AE281" s="156">
        <f>S281*$AE$3</f>
        <v>7115.8996480000023</v>
      </c>
      <c r="AF281" s="156">
        <f>S281*$AF$3</f>
        <v>3557.9498240000012</v>
      </c>
      <c r="AG281" s="156">
        <f>S281*$AG$3</f>
        <v>3557.9498240000012</v>
      </c>
      <c r="AH281" s="156">
        <f>S281*$AH$3</f>
        <v>1778.9749120000006</v>
      </c>
      <c r="AI281" s="156">
        <f>S281*$AI$3</f>
        <v>3557.9498240000012</v>
      </c>
      <c r="AJ281" s="156">
        <f>S281*$AJ$3</f>
        <v>3557.9498240000012</v>
      </c>
      <c r="AK281" s="156">
        <f>S281*$AK$3</f>
        <v>12452.824384000005</v>
      </c>
      <c r="AL281" s="157">
        <f t="shared" si="206"/>
        <v>54747.952916800023</v>
      </c>
      <c r="AM281" s="158">
        <f t="shared" si="207"/>
        <v>2200</v>
      </c>
      <c r="AN281" s="159">
        <v>0.2</v>
      </c>
      <c r="AO281" s="160">
        <f t="shared" si="208"/>
        <v>1454673076.2137887</v>
      </c>
      <c r="AP281" s="161">
        <f t="shared" si="209"/>
        <v>404075.88682989858</v>
      </c>
      <c r="AQ281" s="162">
        <f t="shared" si="210"/>
        <v>80815.177365979718</v>
      </c>
      <c r="AR281" s="580">
        <f t="shared" si="211"/>
        <v>11.531846085328157</v>
      </c>
      <c r="AS281" s="582">
        <f t="shared" si="212"/>
        <v>11.531846085328157</v>
      </c>
      <c r="AT281" s="588"/>
      <c r="AU281" s="166"/>
      <c r="AV281" s="167"/>
      <c r="AW281" s="146"/>
      <c r="AX281" s="168"/>
    </row>
    <row r="282" spans="1:50" s="190" customFormat="1" ht="11.25" x14ac:dyDescent="0.25">
      <c r="A282" s="120"/>
      <c r="B282" s="121" t="s">
        <v>315</v>
      </c>
      <c r="C282" s="240">
        <f t="shared" ref="C282:T282" si="213">SUM(C274:C281)</f>
        <v>0</v>
      </c>
      <c r="D282" s="240">
        <f t="shared" si="213"/>
        <v>0</v>
      </c>
      <c r="E282" s="240">
        <f t="shared" si="213"/>
        <v>0</v>
      </c>
      <c r="F282" s="240">
        <f t="shared" si="213"/>
        <v>0</v>
      </c>
      <c r="G282" s="240">
        <f t="shared" si="213"/>
        <v>0</v>
      </c>
      <c r="H282" s="240">
        <f t="shared" si="213"/>
        <v>0</v>
      </c>
      <c r="I282" s="240">
        <f t="shared" si="213"/>
        <v>0</v>
      </c>
      <c r="J282" s="240">
        <f t="shared" si="213"/>
        <v>0</v>
      </c>
      <c r="K282" s="240">
        <f t="shared" si="213"/>
        <v>0</v>
      </c>
      <c r="L282" s="240">
        <f t="shared" si="213"/>
        <v>0</v>
      </c>
      <c r="M282" s="240">
        <f t="shared" si="213"/>
        <v>10612166</v>
      </c>
      <c r="N282" s="240">
        <f t="shared" si="213"/>
        <v>11005518</v>
      </c>
      <c r="O282" s="240">
        <f t="shared" si="213"/>
        <v>0</v>
      </c>
      <c r="P282" s="240">
        <f t="shared" si="213"/>
        <v>11005518</v>
      </c>
      <c r="Q282" s="240">
        <f t="shared" si="213"/>
        <v>2125914.091</v>
      </c>
      <c r="R282" s="240">
        <f t="shared" si="213"/>
        <v>5824.4221671232881</v>
      </c>
      <c r="S282" s="240">
        <f t="shared" si="213"/>
        <v>1797985.9711000002</v>
      </c>
      <c r="T282" s="199">
        <f t="shared" si="213"/>
        <v>0</v>
      </c>
      <c r="U282" s="241"/>
      <c r="V282" s="242">
        <f>SUM(V274:V281)</f>
        <v>0</v>
      </c>
      <c r="W282" s="242">
        <f>SUM(W274:W281)</f>
        <v>0</v>
      </c>
      <c r="X282" s="242">
        <f>SUM(X274:X281)</f>
        <v>0</v>
      </c>
      <c r="Y282" s="199"/>
      <c r="Z282" s="199"/>
      <c r="AA282" s="243"/>
      <c r="AB282" s="240">
        <f t="shared" ref="AB282:AL282" si="214">SUM(AB274:AB281)</f>
        <v>1042831.8632380002</v>
      </c>
      <c r="AC282" s="244">
        <f t="shared" si="214"/>
        <v>233738.17624300002</v>
      </c>
      <c r="AD282" s="244">
        <f t="shared" si="214"/>
        <v>157773.26896402499</v>
      </c>
      <c r="AE282" s="244">
        <f t="shared" si="214"/>
        <v>71919.438844000004</v>
      </c>
      <c r="AF282" s="244">
        <f t="shared" si="214"/>
        <v>35959.719422000002</v>
      </c>
      <c r="AG282" s="244">
        <f t="shared" si="214"/>
        <v>35959.719422000002</v>
      </c>
      <c r="AH282" s="244">
        <f t="shared" si="214"/>
        <v>17979.859711000001</v>
      </c>
      <c r="AI282" s="244">
        <f t="shared" si="214"/>
        <v>35959.719422000002</v>
      </c>
      <c r="AJ282" s="244">
        <f t="shared" si="214"/>
        <v>35959.719422000002</v>
      </c>
      <c r="AK282" s="244">
        <f t="shared" si="214"/>
        <v>125859.01797700002</v>
      </c>
      <c r="AL282" s="245">
        <f t="shared" si="214"/>
        <v>553330.18260602502</v>
      </c>
      <c r="AM282" s="158"/>
      <c r="AN282" s="183"/>
      <c r="AO282" s="184">
        <f>SUM(AO274:AO281)</f>
        <v>14702184757.787481</v>
      </c>
      <c r="AP282" s="184">
        <f>SUM(AP274:AP281)</f>
        <v>4083940.5372117395</v>
      </c>
      <c r="AQ282" s="184">
        <f>SUM(AQ274:AQ281)</f>
        <v>816788.1074423478</v>
      </c>
      <c r="AR282" s="186">
        <f>SUM(AR274:AR281)</f>
        <v>116.55081441814325</v>
      </c>
      <c r="AS282" s="435">
        <f>SUM(AS274:AS281)</f>
        <v>116.55081441814325</v>
      </c>
      <c r="AT282" s="589"/>
      <c r="AU282" s="246">
        <f>SUM(AU278:AU281)</f>
        <v>0</v>
      </c>
      <c r="AV282" s="246"/>
      <c r="AW282" s="185">
        <f>SUM(AW278:AW281)</f>
        <v>0</v>
      </c>
      <c r="AX282" s="189"/>
    </row>
    <row r="283" spans="1:50" x14ac:dyDescent="0.25">
      <c r="AS283" s="592"/>
    </row>
    <row r="284" spans="1:50" s="139" customFormat="1" ht="11.25" x14ac:dyDescent="0.25">
      <c r="A284" s="120"/>
      <c r="B284" s="121" t="s">
        <v>316</v>
      </c>
      <c r="C284" s="122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213"/>
      <c r="P284" s="76"/>
      <c r="Q284" s="108"/>
      <c r="R284" s="108"/>
      <c r="S284" s="94"/>
      <c r="T284" s="199"/>
      <c r="U284" s="179"/>
      <c r="V284" s="180"/>
      <c r="W284" s="180"/>
      <c r="X284" s="214"/>
      <c r="Y284" s="181"/>
      <c r="Z284" s="181"/>
      <c r="AA284" s="182"/>
      <c r="AB284" s="62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125"/>
      <c r="AM284" s="75"/>
      <c r="AN284" s="216"/>
      <c r="AO284" s="75"/>
      <c r="AP284" s="51"/>
      <c r="AQ284" s="217"/>
      <c r="AR284" s="583"/>
      <c r="AS284" s="584"/>
      <c r="AT284" s="587"/>
      <c r="AU284" s="135"/>
      <c r="AV284" s="136"/>
      <c r="AW284" s="137"/>
      <c r="AX284" s="138"/>
    </row>
    <row r="285" spans="1:50" s="139" customFormat="1" ht="11.25" x14ac:dyDescent="0.25">
      <c r="A285" s="140">
        <v>1</v>
      </c>
      <c r="B285" s="333" t="s">
        <v>317</v>
      </c>
      <c r="C285" s="142"/>
      <c r="D285" s="143"/>
      <c r="E285" s="143"/>
      <c r="F285" s="143"/>
      <c r="G285" s="143"/>
      <c r="H285" s="143"/>
      <c r="I285" s="143"/>
      <c r="J285" s="143"/>
      <c r="K285" s="143"/>
      <c r="L285" s="143"/>
      <c r="M285" s="222"/>
      <c r="N285" s="222">
        <v>4862121</v>
      </c>
      <c r="O285" s="145"/>
      <c r="P285" s="223">
        <f t="shared" ref="P285:P310" si="215">MAX(C285:O285)</f>
        <v>4862121</v>
      </c>
      <c r="Q285" s="147">
        <f t="shared" ref="Q285:Q291" si="216">P285*$Q$5</f>
        <v>1152322.6769999999</v>
      </c>
      <c r="R285" s="147">
        <f t="shared" ref="R285:R310" si="217">Q285/$R$3</f>
        <v>3157.0484301369861</v>
      </c>
      <c r="S285" s="148">
        <f t="shared" ref="S285:S291" si="218">R285*$S$3*$S$5</f>
        <v>1037090.4092999999</v>
      </c>
      <c r="T285" s="199"/>
      <c r="U285" s="150"/>
      <c r="V285" s="151"/>
      <c r="W285" s="151"/>
      <c r="X285" s="152"/>
      <c r="Y285" s="153"/>
      <c r="Z285" s="153"/>
      <c r="AA285" s="154"/>
      <c r="AB285" s="155">
        <f>S285*$AB$3</f>
        <v>601512.43739399989</v>
      </c>
      <c r="AC285" s="156">
        <f>S285*$AC$3</f>
        <v>134821.75320899999</v>
      </c>
      <c r="AD285" s="156">
        <f>S285*$AD$3</f>
        <v>91004.683416074986</v>
      </c>
      <c r="AE285" s="156">
        <f>S285*$AE$3</f>
        <v>41483.616371999997</v>
      </c>
      <c r="AF285" s="156">
        <f>S285*$AF$3</f>
        <v>20741.808185999998</v>
      </c>
      <c r="AG285" s="156">
        <f>S285*$AG$3</f>
        <v>20741.808185999998</v>
      </c>
      <c r="AH285" s="156">
        <f>S285*$AH$3</f>
        <v>10370.904092999999</v>
      </c>
      <c r="AI285" s="156">
        <f>S285*$AI$3</f>
        <v>20741.808185999998</v>
      </c>
      <c r="AJ285" s="156">
        <f>S285*$AJ$3</f>
        <v>20741.808185999998</v>
      </c>
      <c r="AK285" s="156">
        <f>S285*$AK$3</f>
        <v>72596.328651000003</v>
      </c>
      <c r="AL285" s="157">
        <f t="shared" ref="AL285:AL310" si="219">SUM(AC285:AH285)</f>
        <v>319164.57346207491</v>
      </c>
      <c r="AM285" s="158">
        <f t="shared" ref="AM285:AM310" si="220">$AM$3</f>
        <v>2200</v>
      </c>
      <c r="AN285" s="159">
        <v>0.2</v>
      </c>
      <c r="AO285" s="160">
        <f t="shared" ref="AO285:AO310" si="221">(AB285+AL285)*AM285*$AO$3</f>
        <v>8480319119.9148703</v>
      </c>
      <c r="AP285" s="161">
        <f t="shared" ref="AP285:AP310" si="222">AO285*$AP$3</f>
        <v>2355644.388427889</v>
      </c>
      <c r="AQ285" s="162">
        <f t="shared" ref="AQ285:AQ310" si="223">AP285*$AQ$3</f>
        <v>471128.87768557784</v>
      </c>
      <c r="AR285" s="580">
        <f t="shared" ref="AR285:AR310" si="224">AQ285/$AR$3</f>
        <v>67.227294190293648</v>
      </c>
      <c r="AS285" s="582">
        <f t="shared" ref="AS285:AS310" si="225">AR285</f>
        <v>67.227294190293648</v>
      </c>
      <c r="AT285" s="588"/>
      <c r="AU285" s="166"/>
      <c r="AV285" s="167"/>
      <c r="AW285" s="146"/>
      <c r="AX285" s="168"/>
    </row>
    <row r="286" spans="1:50" s="139" customFormat="1" ht="11.25" x14ac:dyDescent="0.25">
      <c r="A286" s="140">
        <v>2</v>
      </c>
      <c r="B286" s="333" t="s">
        <v>318</v>
      </c>
      <c r="C286" s="142"/>
      <c r="D286" s="143"/>
      <c r="E286" s="143"/>
      <c r="F286" s="143"/>
      <c r="G286" s="143"/>
      <c r="H286" s="143"/>
      <c r="I286" s="143"/>
      <c r="J286" s="143"/>
      <c r="K286" s="143"/>
      <c r="L286" s="143"/>
      <c r="M286" s="222"/>
      <c r="N286" s="222">
        <v>2385663</v>
      </c>
      <c r="O286" s="145"/>
      <c r="P286" s="223">
        <f t="shared" si="215"/>
        <v>2385663</v>
      </c>
      <c r="Q286" s="147">
        <f t="shared" si="216"/>
        <v>565402.13099999994</v>
      </c>
      <c r="R286" s="147">
        <f t="shared" si="217"/>
        <v>1549.0469342465751</v>
      </c>
      <c r="S286" s="148">
        <f t="shared" si="218"/>
        <v>508861.91789999994</v>
      </c>
      <c r="T286" s="199"/>
      <c r="U286" s="150"/>
      <c r="V286" s="151"/>
      <c r="W286" s="151"/>
      <c r="X286" s="152"/>
      <c r="Y286" s="153"/>
      <c r="Z286" s="153"/>
      <c r="AA286" s="154"/>
      <c r="AB286" s="155">
        <f>S286*$AB$3</f>
        <v>295139.91238199995</v>
      </c>
      <c r="AC286" s="156">
        <f>S286*$AC$3</f>
        <v>66152.049327000001</v>
      </c>
      <c r="AD286" s="156">
        <f>S286*$AD$3</f>
        <v>44652.633295724991</v>
      </c>
      <c r="AE286" s="156">
        <f>S286*$AE$3</f>
        <v>20354.476715999997</v>
      </c>
      <c r="AF286" s="156">
        <f>S286*$AF$3</f>
        <v>10177.238357999999</v>
      </c>
      <c r="AG286" s="156">
        <f>S286*$AG$3</f>
        <v>10177.238357999999</v>
      </c>
      <c r="AH286" s="156">
        <f>S286*$AH$3</f>
        <v>5088.6191789999993</v>
      </c>
      <c r="AI286" s="156">
        <f>S286*$AI$3</f>
        <v>10177.238357999999</v>
      </c>
      <c r="AJ286" s="156">
        <f>S286*$AJ$3</f>
        <v>10177.238357999999</v>
      </c>
      <c r="AK286" s="156">
        <f>S286*$AK$3</f>
        <v>35620.334253000001</v>
      </c>
      <c r="AL286" s="157">
        <f t="shared" si="219"/>
        <v>156602.25523372501</v>
      </c>
      <c r="AM286" s="158">
        <f t="shared" si="220"/>
        <v>2200</v>
      </c>
      <c r="AN286" s="159">
        <v>0.2</v>
      </c>
      <c r="AO286" s="160">
        <f t="shared" si="221"/>
        <v>4160979036.2217379</v>
      </c>
      <c r="AP286" s="161">
        <f t="shared" si="222"/>
        <v>1155827.6025277947</v>
      </c>
      <c r="AQ286" s="162">
        <f t="shared" si="223"/>
        <v>231165.52050555893</v>
      </c>
      <c r="AR286" s="580">
        <f t="shared" si="224"/>
        <v>32.985947560724732</v>
      </c>
      <c r="AS286" s="582">
        <f t="shared" si="225"/>
        <v>32.985947560724732</v>
      </c>
      <c r="AT286" s="588"/>
      <c r="AU286" s="166"/>
      <c r="AV286" s="167"/>
      <c r="AW286" s="146"/>
      <c r="AX286" s="168"/>
    </row>
    <row r="287" spans="1:50" s="139" customFormat="1" ht="11.25" x14ac:dyDescent="0.25">
      <c r="A287" s="140">
        <v>3</v>
      </c>
      <c r="B287" s="333" t="s">
        <v>319</v>
      </c>
      <c r="C287" s="142"/>
      <c r="D287" s="143"/>
      <c r="E287" s="143"/>
      <c r="F287" s="143"/>
      <c r="G287" s="143"/>
      <c r="H287" s="143"/>
      <c r="I287" s="143"/>
      <c r="J287" s="143"/>
      <c r="K287" s="143"/>
      <c r="L287" s="143"/>
      <c r="M287" s="222"/>
      <c r="N287" s="222">
        <v>2212318</v>
      </c>
      <c r="O287" s="145"/>
      <c r="P287" s="223">
        <f t="shared" si="215"/>
        <v>2212318</v>
      </c>
      <c r="Q287" s="147">
        <f t="shared" si="216"/>
        <v>524319.36599999992</v>
      </c>
      <c r="R287" s="147">
        <f t="shared" si="217"/>
        <v>1436.4914136986299</v>
      </c>
      <c r="S287" s="148">
        <f t="shared" si="218"/>
        <v>471887.42939999996</v>
      </c>
      <c r="T287" s="199"/>
      <c r="U287" s="150"/>
      <c r="V287" s="151"/>
      <c r="W287" s="151"/>
      <c r="X287" s="152"/>
      <c r="Y287" s="153"/>
      <c r="Z287" s="153"/>
      <c r="AA287" s="154"/>
      <c r="AB287" s="155">
        <f>S287*$AB$3</f>
        <v>273694.70905199996</v>
      </c>
      <c r="AC287" s="156">
        <f>S287*$AC$3</f>
        <v>61345.365822</v>
      </c>
      <c r="AD287" s="156">
        <f>S287*$AD$3</f>
        <v>41408.121929849993</v>
      </c>
      <c r="AE287" s="156">
        <f>S287*$AE$3</f>
        <v>18875.497176000001</v>
      </c>
      <c r="AF287" s="156">
        <f>S287*$AF$3</f>
        <v>9437.7485880000004</v>
      </c>
      <c r="AG287" s="156">
        <f>S287*$AG$3</f>
        <v>9437.7485880000004</v>
      </c>
      <c r="AH287" s="156">
        <f>S287*$AH$3</f>
        <v>4718.8742940000002</v>
      </c>
      <c r="AI287" s="156">
        <f>S287*$AI$3</f>
        <v>9437.7485880000004</v>
      </c>
      <c r="AJ287" s="156">
        <f>S287*$AJ$3</f>
        <v>9437.7485880000004</v>
      </c>
      <c r="AK287" s="156">
        <f>S287*$AK$3</f>
        <v>33032.120058</v>
      </c>
      <c r="AL287" s="157">
        <f t="shared" si="219"/>
        <v>145223.35639785</v>
      </c>
      <c r="AM287" s="158">
        <f t="shared" si="220"/>
        <v>2200</v>
      </c>
      <c r="AN287" s="159">
        <v>0.2</v>
      </c>
      <c r="AO287" s="160">
        <f t="shared" si="221"/>
        <v>3858637544.1359496</v>
      </c>
      <c r="AP287" s="161">
        <f t="shared" si="222"/>
        <v>1071843.8480074869</v>
      </c>
      <c r="AQ287" s="162">
        <f t="shared" si="223"/>
        <v>214368.76960149739</v>
      </c>
      <c r="AR287" s="580">
        <f t="shared" si="224"/>
        <v>30.589150913455679</v>
      </c>
      <c r="AS287" s="582">
        <f t="shared" si="225"/>
        <v>30.589150913455679</v>
      </c>
      <c r="AT287" s="588"/>
      <c r="AU287" s="166"/>
      <c r="AV287" s="167"/>
      <c r="AW287" s="146"/>
      <c r="AX287" s="168"/>
    </row>
    <row r="288" spans="1:50" s="139" customFormat="1" ht="11.25" x14ac:dyDescent="0.25">
      <c r="A288" s="140">
        <v>4</v>
      </c>
      <c r="B288" s="333" t="s">
        <v>320</v>
      </c>
      <c r="C288" s="142"/>
      <c r="D288" s="143"/>
      <c r="E288" s="143"/>
      <c r="F288" s="143"/>
      <c r="G288" s="143"/>
      <c r="H288" s="143"/>
      <c r="I288" s="143"/>
      <c r="J288" s="143"/>
      <c r="K288" s="143"/>
      <c r="L288" s="143"/>
      <c r="M288" s="222"/>
      <c r="N288" s="222">
        <v>3238617</v>
      </c>
      <c r="O288" s="145"/>
      <c r="P288" s="223">
        <f t="shared" si="215"/>
        <v>3238617</v>
      </c>
      <c r="Q288" s="147">
        <f t="shared" si="216"/>
        <v>767552.22899999993</v>
      </c>
      <c r="R288" s="147">
        <f t="shared" si="217"/>
        <v>2102.8828191780822</v>
      </c>
      <c r="S288" s="148">
        <f t="shared" si="218"/>
        <v>690797.00610000012</v>
      </c>
      <c r="T288" s="199"/>
      <c r="U288" s="150"/>
      <c r="V288" s="151"/>
      <c r="W288" s="151"/>
      <c r="X288" s="152"/>
      <c r="Y288" s="153"/>
      <c r="Z288" s="153"/>
      <c r="AA288" s="154"/>
      <c r="AB288" s="155">
        <f>S288*$AB$3</f>
        <v>400662.26353800006</v>
      </c>
      <c r="AC288" s="156">
        <f>S288*$AC$3</f>
        <v>89803.610793000014</v>
      </c>
      <c r="AD288" s="156">
        <f>S288*$AD$3</f>
        <v>60617.437285275009</v>
      </c>
      <c r="AE288" s="156">
        <f>S288*$AE$3</f>
        <v>27631.880244000004</v>
      </c>
      <c r="AF288" s="156">
        <f>S288*$AF$3</f>
        <v>13815.940122000002</v>
      </c>
      <c r="AG288" s="156">
        <f>S288*$AG$3</f>
        <v>13815.940122000002</v>
      </c>
      <c r="AH288" s="156">
        <f>S288*$AH$3</f>
        <v>6907.9700610000009</v>
      </c>
      <c r="AI288" s="156">
        <f>S288*$AI$3</f>
        <v>13815.940122000002</v>
      </c>
      <c r="AJ288" s="156">
        <f>S288*$AJ$3</f>
        <v>13815.940122000002</v>
      </c>
      <c r="AK288" s="156">
        <f>S288*$AK$3</f>
        <v>48355.790427000014</v>
      </c>
      <c r="AL288" s="157">
        <f t="shared" si="219"/>
        <v>212592.77862727502</v>
      </c>
      <c r="AM288" s="158">
        <f t="shared" si="220"/>
        <v>2200</v>
      </c>
      <c r="AN288" s="159">
        <v>0.2</v>
      </c>
      <c r="AO288" s="160">
        <f t="shared" si="221"/>
        <v>5648667663.182662</v>
      </c>
      <c r="AP288" s="161">
        <f t="shared" si="222"/>
        <v>1569074.4764100208</v>
      </c>
      <c r="AQ288" s="162">
        <f t="shared" si="223"/>
        <v>313814.8952820042</v>
      </c>
      <c r="AR288" s="580">
        <f t="shared" si="224"/>
        <v>44.77952272859649</v>
      </c>
      <c r="AS288" s="582">
        <f t="shared" si="225"/>
        <v>44.77952272859649</v>
      </c>
      <c r="AT288" s="588"/>
      <c r="AU288" s="166"/>
      <c r="AV288" s="167"/>
      <c r="AW288" s="146"/>
      <c r="AX288" s="168"/>
    </row>
    <row r="289" spans="1:50" s="139" customFormat="1" ht="11.25" x14ac:dyDescent="0.25">
      <c r="A289" s="140">
        <v>5</v>
      </c>
      <c r="B289" s="333" t="s">
        <v>321</v>
      </c>
      <c r="C289" s="142"/>
      <c r="D289" s="143"/>
      <c r="E289" s="143"/>
      <c r="F289" s="143"/>
      <c r="G289" s="143"/>
      <c r="H289" s="143"/>
      <c r="I289" s="143"/>
      <c r="J289" s="143"/>
      <c r="K289" s="143"/>
      <c r="L289" s="143"/>
      <c r="M289" s="222"/>
      <c r="N289" s="222">
        <v>2449559</v>
      </c>
      <c r="O289" s="145"/>
      <c r="P289" s="223">
        <f t="shared" si="215"/>
        <v>2449559</v>
      </c>
      <c r="Q289" s="147">
        <f t="shared" si="216"/>
        <v>580545.48300000001</v>
      </c>
      <c r="R289" s="147">
        <f t="shared" si="217"/>
        <v>1590.5355698630137</v>
      </c>
      <c r="S289" s="148">
        <f t="shared" si="218"/>
        <v>522490.93470000004</v>
      </c>
      <c r="T289" s="199"/>
      <c r="U289" s="150"/>
      <c r="V289" s="151"/>
      <c r="W289" s="151"/>
      <c r="X289" s="152"/>
      <c r="Y289" s="153"/>
      <c r="Z289" s="153"/>
      <c r="AA289" s="154"/>
      <c r="AB289" s="155">
        <f>S289*$AB$3</f>
        <v>303044.742126</v>
      </c>
      <c r="AC289" s="156">
        <f>S289*$AC$3</f>
        <v>67923.821511000002</v>
      </c>
      <c r="AD289" s="156">
        <f>S289*$AD$3</f>
        <v>45848.579519924999</v>
      </c>
      <c r="AE289" s="156">
        <f>S289*$AE$3</f>
        <v>20899.637388000003</v>
      </c>
      <c r="AF289" s="156">
        <f>S289*$AF$3</f>
        <v>10449.818694000001</v>
      </c>
      <c r="AG289" s="156">
        <f>S289*$AG$3</f>
        <v>10449.818694000001</v>
      </c>
      <c r="AH289" s="156">
        <f>S289*$AH$3</f>
        <v>5224.9093470000007</v>
      </c>
      <c r="AI289" s="156">
        <f>S289*$AI$3</f>
        <v>10449.818694000001</v>
      </c>
      <c r="AJ289" s="156">
        <f>S289*$AJ$3</f>
        <v>10449.818694000001</v>
      </c>
      <c r="AK289" s="156">
        <f>S289*$AK$3</f>
        <v>36574.365429000005</v>
      </c>
      <c r="AL289" s="157">
        <f t="shared" si="219"/>
        <v>160796.58515392506</v>
      </c>
      <c r="AM289" s="158">
        <f t="shared" si="220"/>
        <v>2200</v>
      </c>
      <c r="AN289" s="159">
        <v>0.2</v>
      </c>
      <c r="AO289" s="160">
        <f t="shared" si="221"/>
        <v>4272423911.9222984</v>
      </c>
      <c r="AP289" s="161">
        <f t="shared" si="222"/>
        <v>1186784.5149211697</v>
      </c>
      <c r="AQ289" s="162">
        <f t="shared" si="223"/>
        <v>237356.90298423395</v>
      </c>
      <c r="AR289" s="580">
        <f t="shared" si="224"/>
        <v>33.869421087932928</v>
      </c>
      <c r="AS289" s="582">
        <f t="shared" si="225"/>
        <v>33.869421087932928</v>
      </c>
      <c r="AT289" s="588"/>
      <c r="AU289" s="166"/>
      <c r="AV289" s="167"/>
      <c r="AW289" s="146"/>
      <c r="AX289" s="168"/>
    </row>
    <row r="290" spans="1:50" s="139" customFormat="1" ht="11.25" x14ac:dyDescent="0.25">
      <c r="A290" s="140">
        <v>6</v>
      </c>
      <c r="B290" s="333" t="s">
        <v>322</v>
      </c>
      <c r="C290" s="142"/>
      <c r="D290" s="143"/>
      <c r="E290" s="143"/>
      <c r="F290" s="143"/>
      <c r="G290" s="143"/>
      <c r="H290" s="143"/>
      <c r="I290" s="143"/>
      <c r="J290" s="143"/>
      <c r="K290" s="143"/>
      <c r="L290" s="143"/>
      <c r="M290" s="222"/>
      <c r="N290" s="222">
        <v>1707344</v>
      </c>
      <c r="O290" s="145"/>
      <c r="P290" s="223">
        <f t="shared" si="215"/>
        <v>1707344</v>
      </c>
      <c r="Q290" s="147">
        <f t="shared" si="216"/>
        <v>404640.52799999999</v>
      </c>
      <c r="R290" s="147">
        <f t="shared" si="217"/>
        <v>1108.6041863013697</v>
      </c>
      <c r="S290" s="148">
        <f t="shared" si="218"/>
        <v>364176.47519999993</v>
      </c>
      <c r="T290" s="199"/>
      <c r="U290" s="150"/>
      <c r="V290" s="151"/>
      <c r="W290" s="151"/>
      <c r="X290" s="152"/>
      <c r="Y290" s="153"/>
      <c r="Z290" s="153"/>
      <c r="AA290" s="154"/>
      <c r="AB290" s="155">
        <f>S290*$AB$3</f>
        <v>211222.35561599996</v>
      </c>
      <c r="AC290" s="156">
        <f>S290*$AC$3</f>
        <v>47342.941775999992</v>
      </c>
      <c r="AD290" s="156">
        <f>S290*$AD$3</f>
        <v>31956.485698799992</v>
      </c>
      <c r="AE290" s="156">
        <f>S290*$AE$3</f>
        <v>14567.059007999997</v>
      </c>
      <c r="AF290" s="156">
        <f>S290*$AF$3</f>
        <v>7283.5295039999983</v>
      </c>
      <c r="AG290" s="156">
        <f>S290*$AG$3</f>
        <v>7283.5295039999983</v>
      </c>
      <c r="AH290" s="156">
        <f>S290*$AH$3</f>
        <v>3641.7647519999991</v>
      </c>
      <c r="AI290" s="156">
        <f>S290*$AI$3</f>
        <v>7283.5295039999983</v>
      </c>
      <c r="AJ290" s="156">
        <f>S290*$AJ$3</f>
        <v>7283.5295039999983</v>
      </c>
      <c r="AK290" s="156">
        <f>S290*$AK$3</f>
        <v>25492.353263999998</v>
      </c>
      <c r="AL290" s="157">
        <f t="shared" si="219"/>
        <v>112075.3102428</v>
      </c>
      <c r="AM290" s="158">
        <f t="shared" si="220"/>
        <v>2200</v>
      </c>
      <c r="AN290" s="159">
        <v>0.2</v>
      </c>
      <c r="AO290" s="160">
        <f t="shared" si="221"/>
        <v>2977881868.3187718</v>
      </c>
      <c r="AP290" s="161">
        <f t="shared" si="222"/>
        <v>827189.47404147813</v>
      </c>
      <c r="AQ290" s="162">
        <f t="shared" si="223"/>
        <v>165437.89480829565</v>
      </c>
      <c r="AR290" s="580">
        <f t="shared" si="224"/>
        <v>23.60700553771342</v>
      </c>
      <c r="AS290" s="582">
        <f t="shared" si="225"/>
        <v>23.60700553771342</v>
      </c>
      <c r="AT290" s="588"/>
      <c r="AU290" s="166"/>
      <c r="AV290" s="167"/>
      <c r="AW290" s="146"/>
      <c r="AX290" s="168"/>
    </row>
    <row r="291" spans="1:50" s="139" customFormat="1" ht="11.25" x14ac:dyDescent="0.25">
      <c r="A291" s="140">
        <v>7</v>
      </c>
      <c r="B291" s="333" t="s">
        <v>323</v>
      </c>
      <c r="C291" s="142"/>
      <c r="D291" s="143"/>
      <c r="E291" s="143"/>
      <c r="F291" s="143"/>
      <c r="G291" s="143"/>
      <c r="H291" s="143"/>
      <c r="I291" s="143"/>
      <c r="J291" s="143"/>
      <c r="K291" s="143"/>
      <c r="L291" s="143"/>
      <c r="M291" s="222"/>
      <c r="N291" s="222">
        <v>1561468</v>
      </c>
      <c r="O291" s="145"/>
      <c r="P291" s="223">
        <f t="shared" si="215"/>
        <v>1561468</v>
      </c>
      <c r="Q291" s="147">
        <f t="shared" si="216"/>
        <v>370067.91599999997</v>
      </c>
      <c r="R291" s="147">
        <f t="shared" si="217"/>
        <v>1013.8847013698629</v>
      </c>
      <c r="S291" s="148">
        <f t="shared" si="218"/>
        <v>333061.12439999997</v>
      </c>
      <c r="T291" s="199"/>
      <c r="U291" s="150"/>
      <c r="V291" s="151"/>
      <c r="W291" s="151"/>
      <c r="X291" s="152"/>
      <c r="Y291" s="153"/>
      <c r="Z291" s="153"/>
      <c r="AA291" s="154"/>
      <c r="AB291" s="155">
        <f>S291*$AB$3</f>
        <v>193175.45215199998</v>
      </c>
      <c r="AC291" s="156">
        <f>S291*$AC$3</f>
        <v>43297.946171999996</v>
      </c>
      <c r="AD291" s="156">
        <f>S291*$AD$3</f>
        <v>29226.113666099995</v>
      </c>
      <c r="AE291" s="156">
        <f>S291*$AE$3</f>
        <v>13322.444975999999</v>
      </c>
      <c r="AF291" s="156">
        <f>S291*$AF$3</f>
        <v>6661.2224879999994</v>
      </c>
      <c r="AG291" s="156">
        <f>S291*$AG$3</f>
        <v>6661.2224879999994</v>
      </c>
      <c r="AH291" s="156">
        <f>S291*$AH$3</f>
        <v>3330.6112439999997</v>
      </c>
      <c r="AI291" s="156">
        <f>S291*$AI$3</f>
        <v>6661.2224879999994</v>
      </c>
      <c r="AJ291" s="156">
        <f>S291*$AJ$3</f>
        <v>6661.2224879999994</v>
      </c>
      <c r="AK291" s="156">
        <f>S291*$AK$3</f>
        <v>23314.278708000002</v>
      </c>
      <c r="AL291" s="157">
        <f t="shared" si="219"/>
        <v>102499.56103409998</v>
      </c>
      <c r="AM291" s="158">
        <f t="shared" si="220"/>
        <v>2200</v>
      </c>
      <c r="AN291" s="159">
        <v>0.2</v>
      </c>
      <c r="AO291" s="160">
        <f t="shared" si="221"/>
        <v>2723450719.4566393</v>
      </c>
      <c r="AP291" s="161">
        <f t="shared" si="222"/>
        <v>756514.14925908239</v>
      </c>
      <c r="AQ291" s="162">
        <f t="shared" si="223"/>
        <v>151302.8298518165</v>
      </c>
      <c r="AR291" s="580">
        <f t="shared" si="224"/>
        <v>21.590015675202125</v>
      </c>
      <c r="AS291" s="582">
        <f t="shared" si="225"/>
        <v>21.590015675202125</v>
      </c>
      <c r="AT291" s="588"/>
      <c r="AU291" s="166"/>
      <c r="AV291" s="167"/>
      <c r="AW291" s="146"/>
      <c r="AX291" s="168"/>
    </row>
    <row r="292" spans="1:50" s="139" customFormat="1" ht="11.25" x14ac:dyDescent="0.25">
      <c r="A292" s="140">
        <v>8</v>
      </c>
      <c r="B292" s="333" t="s">
        <v>324</v>
      </c>
      <c r="C292" s="142"/>
      <c r="D292" s="143"/>
      <c r="E292" s="143"/>
      <c r="F292" s="143"/>
      <c r="G292" s="143"/>
      <c r="H292" s="143"/>
      <c r="I292" s="143"/>
      <c r="J292" s="143"/>
      <c r="K292" s="143"/>
      <c r="L292" s="143"/>
      <c r="M292" s="222"/>
      <c r="N292" s="222">
        <v>1055162</v>
      </c>
      <c r="O292" s="145"/>
      <c r="P292" s="223">
        <f t="shared" si="215"/>
        <v>1055162</v>
      </c>
      <c r="Q292" s="147">
        <f>P292*$Q$6</f>
        <v>173046.568</v>
      </c>
      <c r="R292" s="147">
        <f t="shared" si="217"/>
        <v>474.10018630136989</v>
      </c>
      <c r="S292" s="148">
        <f>R292*$S$3*$S$6</f>
        <v>138437.25440000001</v>
      </c>
      <c r="T292" s="199"/>
      <c r="U292" s="150"/>
      <c r="V292" s="151"/>
      <c r="W292" s="151"/>
      <c r="X292" s="152"/>
      <c r="Y292" s="153"/>
      <c r="Z292" s="153"/>
      <c r="AA292" s="154"/>
      <c r="AB292" s="155">
        <f>S292*$AB$3</f>
        <v>80293.607552000001</v>
      </c>
      <c r="AC292" s="156">
        <f>S292*$AC$3</f>
        <v>17996.843072</v>
      </c>
      <c r="AD292" s="156">
        <f>S292*$AD$3</f>
        <v>12147.869073599999</v>
      </c>
      <c r="AE292" s="156">
        <f>S292*$AE$3</f>
        <v>5537.4901760000002</v>
      </c>
      <c r="AF292" s="156">
        <f>S292*$AF$3</f>
        <v>2768.7450880000001</v>
      </c>
      <c r="AG292" s="156">
        <f>S292*$AG$3</f>
        <v>2768.7450880000001</v>
      </c>
      <c r="AH292" s="156">
        <f>S292*$AH$3</f>
        <v>1384.3725440000001</v>
      </c>
      <c r="AI292" s="156">
        <f>S292*$AI$3</f>
        <v>2768.7450880000001</v>
      </c>
      <c r="AJ292" s="156">
        <f>S292*$AJ$3</f>
        <v>2768.7450880000001</v>
      </c>
      <c r="AK292" s="156">
        <f>S292*$AK$3</f>
        <v>9690.6078080000007</v>
      </c>
      <c r="AL292" s="157">
        <f t="shared" si="219"/>
        <v>42604.065041600006</v>
      </c>
      <c r="AM292" s="158">
        <f t="shared" si="220"/>
        <v>2200</v>
      </c>
      <c r="AN292" s="159">
        <v>0.2</v>
      </c>
      <c r="AO292" s="160">
        <f t="shared" si="221"/>
        <v>1132005546.3527458</v>
      </c>
      <c r="AP292" s="161">
        <f t="shared" si="222"/>
        <v>314446.01025366376</v>
      </c>
      <c r="AQ292" s="162">
        <f t="shared" si="223"/>
        <v>62889.202050732754</v>
      </c>
      <c r="AR292" s="580">
        <f t="shared" si="224"/>
        <v>8.9739158177415455</v>
      </c>
      <c r="AS292" s="582">
        <f t="shared" si="225"/>
        <v>8.9739158177415455</v>
      </c>
      <c r="AT292" s="588"/>
      <c r="AU292" s="166"/>
      <c r="AV292" s="167"/>
      <c r="AW292" s="146"/>
      <c r="AX292" s="168"/>
    </row>
    <row r="293" spans="1:50" s="139" customFormat="1" ht="11.25" x14ac:dyDescent="0.25">
      <c r="A293" s="140">
        <v>9</v>
      </c>
      <c r="B293" s="333" t="s">
        <v>325</v>
      </c>
      <c r="C293" s="142"/>
      <c r="D293" s="143"/>
      <c r="E293" s="143"/>
      <c r="F293" s="143"/>
      <c r="G293" s="143"/>
      <c r="H293" s="143"/>
      <c r="I293" s="143"/>
      <c r="J293" s="143"/>
      <c r="K293" s="143"/>
      <c r="L293" s="143"/>
      <c r="M293" s="222"/>
      <c r="N293" s="222">
        <v>2106266</v>
      </c>
      <c r="O293" s="145"/>
      <c r="P293" s="223">
        <f t="shared" si="215"/>
        <v>2106266</v>
      </c>
      <c r="Q293" s="147">
        <f>P293*$Q$5</f>
        <v>499185.04199999996</v>
      </c>
      <c r="R293" s="147">
        <f t="shared" si="217"/>
        <v>1367.6302520547945</v>
      </c>
      <c r="S293" s="148">
        <f>R293*$S$3*$S$5</f>
        <v>449266.53779999999</v>
      </c>
      <c r="T293" s="199"/>
      <c r="U293" s="150"/>
      <c r="V293" s="151"/>
      <c r="W293" s="151"/>
      <c r="X293" s="152"/>
      <c r="Y293" s="153"/>
      <c r="Z293" s="153"/>
      <c r="AA293" s="154"/>
      <c r="AB293" s="155">
        <f>S293*$AB$3</f>
        <v>260574.59192399998</v>
      </c>
      <c r="AC293" s="156">
        <f>S293*$AC$3</f>
        <v>58404.649914000001</v>
      </c>
      <c r="AD293" s="156">
        <f>S293*$AD$3</f>
        <v>39423.13869195</v>
      </c>
      <c r="AE293" s="156">
        <f>S293*$AE$3</f>
        <v>17970.661511999999</v>
      </c>
      <c r="AF293" s="156">
        <f>S293*$AF$3</f>
        <v>8985.3307559999994</v>
      </c>
      <c r="AG293" s="156">
        <f>S293*$AG$3</f>
        <v>8985.3307559999994</v>
      </c>
      <c r="AH293" s="156">
        <f>S293*$AH$3</f>
        <v>4492.6653779999997</v>
      </c>
      <c r="AI293" s="156">
        <f>S293*$AI$3</f>
        <v>8985.3307559999994</v>
      </c>
      <c r="AJ293" s="156">
        <f>S293*$AJ$3</f>
        <v>8985.3307559999994</v>
      </c>
      <c r="AK293" s="156">
        <f>S293*$AK$3</f>
        <v>31448.657646000003</v>
      </c>
      <c r="AL293" s="157">
        <f t="shared" si="219"/>
        <v>138261.77700795</v>
      </c>
      <c r="AM293" s="158">
        <f t="shared" si="220"/>
        <v>2200</v>
      </c>
      <c r="AN293" s="159">
        <v>0.2</v>
      </c>
      <c r="AO293" s="160">
        <f t="shared" si="221"/>
        <v>3673665840.7774334</v>
      </c>
      <c r="AP293" s="161">
        <f t="shared" si="222"/>
        <v>1020462.8151863057</v>
      </c>
      <c r="AQ293" s="162">
        <f t="shared" si="223"/>
        <v>204092.56303726113</v>
      </c>
      <c r="AR293" s="580">
        <f t="shared" si="224"/>
        <v>29.122797237052101</v>
      </c>
      <c r="AS293" s="435">
        <f t="shared" si="225"/>
        <v>29.122797237052101</v>
      </c>
      <c r="AT293" s="589"/>
      <c r="AU293" s="166"/>
      <c r="AV293" s="167"/>
      <c r="AW293" s="146"/>
      <c r="AX293" s="168"/>
    </row>
    <row r="294" spans="1:50" s="139" customFormat="1" ht="11.25" x14ac:dyDescent="0.25">
      <c r="A294" s="140">
        <v>10</v>
      </c>
      <c r="B294" s="333" t="s">
        <v>326</v>
      </c>
      <c r="C294" s="142"/>
      <c r="D294" s="143"/>
      <c r="E294" s="143"/>
      <c r="F294" s="143"/>
      <c r="G294" s="143"/>
      <c r="H294" s="143"/>
      <c r="I294" s="143"/>
      <c r="J294" s="143"/>
      <c r="K294" s="143"/>
      <c r="L294" s="143"/>
      <c r="M294" s="222"/>
      <c r="N294" s="222">
        <v>1188520</v>
      </c>
      <c r="O294" s="145"/>
      <c r="P294" s="223">
        <f t="shared" si="215"/>
        <v>1188520</v>
      </c>
      <c r="Q294" s="147">
        <f>P294*$Q$6</f>
        <v>194917.28</v>
      </c>
      <c r="R294" s="147">
        <f t="shared" si="217"/>
        <v>534.01994520547942</v>
      </c>
      <c r="S294" s="148">
        <f>R294*$S$3*$S$6</f>
        <v>155933.82399999999</v>
      </c>
      <c r="T294" s="199"/>
      <c r="U294" s="150"/>
      <c r="V294" s="151"/>
      <c r="W294" s="151"/>
      <c r="X294" s="152"/>
      <c r="Y294" s="153"/>
      <c r="Z294" s="153"/>
      <c r="AA294" s="154"/>
      <c r="AB294" s="155">
        <f>S294*$AB$3</f>
        <v>90441.61791999999</v>
      </c>
      <c r="AC294" s="156">
        <f>S294*$AC$3</f>
        <v>20271.397120000001</v>
      </c>
      <c r="AD294" s="156">
        <f>S294*$AD$3</f>
        <v>13683.193055999998</v>
      </c>
      <c r="AE294" s="156">
        <f>S294*$AE$3</f>
        <v>6237.3529600000002</v>
      </c>
      <c r="AF294" s="156">
        <f>S294*$AF$3</f>
        <v>3118.6764800000001</v>
      </c>
      <c r="AG294" s="156">
        <f>S294*$AG$3</f>
        <v>3118.6764800000001</v>
      </c>
      <c r="AH294" s="156">
        <f>S294*$AH$3</f>
        <v>1559.33824</v>
      </c>
      <c r="AI294" s="156">
        <f>S294*$AI$3</f>
        <v>3118.6764800000001</v>
      </c>
      <c r="AJ294" s="156">
        <f>S294*$AJ$3</f>
        <v>3118.6764800000001</v>
      </c>
      <c r="AK294" s="156">
        <f>S294*$AK$3</f>
        <v>10915.367680000001</v>
      </c>
      <c r="AL294" s="157">
        <f t="shared" si="219"/>
        <v>47988.634336000003</v>
      </c>
      <c r="AM294" s="158">
        <f t="shared" si="220"/>
        <v>2200</v>
      </c>
      <c r="AN294" s="159">
        <v>0.2</v>
      </c>
      <c r="AO294" s="160">
        <f t="shared" si="221"/>
        <v>1275075516.3199258</v>
      </c>
      <c r="AP294" s="161">
        <f t="shared" si="222"/>
        <v>354187.67175721307</v>
      </c>
      <c r="AQ294" s="162">
        <f t="shared" si="223"/>
        <v>70837.53435144262</v>
      </c>
      <c r="AR294" s="580">
        <f t="shared" si="224"/>
        <v>10.108095655171606</v>
      </c>
      <c r="AS294" s="582">
        <f t="shared" si="225"/>
        <v>10.108095655171606</v>
      </c>
      <c r="AT294" s="588"/>
      <c r="AU294" s="166"/>
      <c r="AV294" s="167"/>
      <c r="AW294" s="146"/>
      <c r="AX294" s="168"/>
    </row>
    <row r="295" spans="1:50" s="139" customFormat="1" ht="11.25" x14ac:dyDescent="0.25">
      <c r="A295" s="140">
        <v>11</v>
      </c>
      <c r="B295" s="333" t="s">
        <v>327</v>
      </c>
      <c r="C295" s="142"/>
      <c r="D295" s="143"/>
      <c r="E295" s="143"/>
      <c r="F295" s="143"/>
      <c r="G295" s="143"/>
      <c r="H295" s="143"/>
      <c r="I295" s="143"/>
      <c r="J295" s="143"/>
      <c r="K295" s="143"/>
      <c r="L295" s="143"/>
      <c r="M295" s="222"/>
      <c r="N295" s="222">
        <v>1114271</v>
      </c>
      <c r="O295" s="145"/>
      <c r="P295" s="223">
        <f t="shared" si="215"/>
        <v>1114271</v>
      </c>
      <c r="Q295" s="147">
        <f>P295*$Q$6</f>
        <v>182740.44400000002</v>
      </c>
      <c r="R295" s="147">
        <f t="shared" si="217"/>
        <v>500.65875068493153</v>
      </c>
      <c r="S295" s="148">
        <f>R295*$S$3*$S$6</f>
        <v>146192.35520000002</v>
      </c>
      <c r="T295" s="199"/>
      <c r="U295" s="150"/>
      <c r="V295" s="151"/>
      <c r="W295" s="151"/>
      <c r="X295" s="152"/>
      <c r="Y295" s="153"/>
      <c r="Z295" s="153"/>
      <c r="AA295" s="154"/>
      <c r="AB295" s="155">
        <f>S295*$AB$3</f>
        <v>84791.566016000012</v>
      </c>
      <c r="AC295" s="156">
        <f>S295*$AC$3</f>
        <v>19005.006176000003</v>
      </c>
      <c r="AD295" s="156">
        <f>S295*$AD$3</f>
        <v>12828.3791688</v>
      </c>
      <c r="AE295" s="156">
        <f>S295*$AE$3</f>
        <v>5847.6942080000008</v>
      </c>
      <c r="AF295" s="156">
        <f>S295*$AF$3</f>
        <v>2923.8471040000004</v>
      </c>
      <c r="AG295" s="156">
        <f>S295*$AG$3</f>
        <v>2923.8471040000004</v>
      </c>
      <c r="AH295" s="156">
        <f>S295*$AH$3</f>
        <v>1461.9235520000002</v>
      </c>
      <c r="AI295" s="156">
        <f>S295*$AI$3</f>
        <v>2923.8471040000004</v>
      </c>
      <c r="AJ295" s="156">
        <f>S295*$AJ$3</f>
        <v>2923.8471040000004</v>
      </c>
      <c r="AK295" s="156">
        <f>S295*$AK$3</f>
        <v>10233.464864000003</v>
      </c>
      <c r="AL295" s="157">
        <f t="shared" si="219"/>
        <v>44990.697312800003</v>
      </c>
      <c r="AM295" s="158">
        <f t="shared" si="220"/>
        <v>2200</v>
      </c>
      <c r="AN295" s="159">
        <v>0.2</v>
      </c>
      <c r="AO295" s="160">
        <f t="shared" si="221"/>
        <v>1195419236.2310438</v>
      </c>
      <c r="AP295" s="161">
        <f t="shared" si="222"/>
        <v>332060.92551793961</v>
      </c>
      <c r="AQ295" s="162">
        <f t="shared" si="223"/>
        <v>66412.185103587923</v>
      </c>
      <c r="AR295" s="580">
        <f t="shared" si="224"/>
        <v>9.4766245866991898</v>
      </c>
      <c r="AS295" s="582">
        <f t="shared" si="225"/>
        <v>9.4766245866991898</v>
      </c>
      <c r="AT295" s="588"/>
      <c r="AU295" s="166"/>
      <c r="AV295" s="167"/>
      <c r="AW295" s="146"/>
      <c r="AX295" s="168"/>
    </row>
    <row r="296" spans="1:50" s="139" customFormat="1" ht="11.25" x14ac:dyDescent="0.25">
      <c r="A296" s="140">
        <v>12</v>
      </c>
      <c r="B296" s="333" t="s">
        <v>328</v>
      </c>
      <c r="C296" s="142"/>
      <c r="D296" s="143"/>
      <c r="E296" s="143"/>
      <c r="F296" s="143"/>
      <c r="G296" s="143"/>
      <c r="H296" s="143"/>
      <c r="I296" s="143"/>
      <c r="J296" s="143"/>
      <c r="K296" s="143"/>
      <c r="L296" s="143"/>
      <c r="M296" s="222"/>
      <c r="N296" s="222">
        <v>1695182</v>
      </c>
      <c r="O296" s="145"/>
      <c r="P296" s="223">
        <f t="shared" si="215"/>
        <v>1695182</v>
      </c>
      <c r="Q296" s="147">
        <f>P296*$Q$5</f>
        <v>401758.13399999996</v>
      </c>
      <c r="R296" s="147">
        <f t="shared" si="217"/>
        <v>1100.707216438356</v>
      </c>
      <c r="S296" s="148">
        <f>R296*$S$3*$S$5</f>
        <v>361582.32059999998</v>
      </c>
      <c r="T296" s="199"/>
      <c r="U296" s="150"/>
      <c r="V296" s="151"/>
      <c r="W296" s="151"/>
      <c r="X296" s="152"/>
      <c r="Y296" s="153"/>
      <c r="Z296" s="153"/>
      <c r="AA296" s="154"/>
      <c r="AB296" s="155">
        <f>S296*$AB$3</f>
        <v>209717.74594799997</v>
      </c>
      <c r="AC296" s="156">
        <f>S296*$AC$3</f>
        <v>47005.701677999998</v>
      </c>
      <c r="AD296" s="156">
        <f>S296*$AD$3</f>
        <v>31728.848632649995</v>
      </c>
      <c r="AE296" s="156">
        <f>S296*$AE$3</f>
        <v>14463.292824</v>
      </c>
      <c r="AF296" s="156">
        <f>S296*$AF$3</f>
        <v>7231.6464120000001</v>
      </c>
      <c r="AG296" s="156">
        <f>S296*$AG$3</f>
        <v>7231.6464120000001</v>
      </c>
      <c r="AH296" s="156">
        <f>S296*$AH$3</f>
        <v>3615.823206</v>
      </c>
      <c r="AI296" s="156">
        <f>S296*$AI$3</f>
        <v>7231.6464120000001</v>
      </c>
      <c r="AJ296" s="156">
        <f>S296*$AJ$3</f>
        <v>7231.6464120000001</v>
      </c>
      <c r="AK296" s="156">
        <f>S296*$AK$3</f>
        <v>25310.762441999999</v>
      </c>
      <c r="AL296" s="157">
        <f t="shared" si="219"/>
        <v>111276.95916465</v>
      </c>
      <c r="AM296" s="158">
        <f t="shared" si="220"/>
        <v>2200</v>
      </c>
      <c r="AN296" s="159">
        <v>0.2</v>
      </c>
      <c r="AO296" s="160">
        <f t="shared" si="221"/>
        <v>2956669389.0044141</v>
      </c>
      <c r="AP296" s="161">
        <f t="shared" si="222"/>
        <v>821297.11820499029</v>
      </c>
      <c r="AQ296" s="162">
        <f t="shared" si="223"/>
        <v>164259.42364099808</v>
      </c>
      <c r="AR296" s="580">
        <f t="shared" si="224"/>
        <v>23.438844697631005</v>
      </c>
      <c r="AS296" s="435">
        <f t="shared" si="225"/>
        <v>23.438844697631005</v>
      </c>
      <c r="AT296" s="589"/>
      <c r="AU296" s="166"/>
      <c r="AV296" s="167"/>
      <c r="AW296" s="146"/>
      <c r="AX296" s="168"/>
    </row>
    <row r="297" spans="1:50" s="139" customFormat="1" ht="11.25" x14ac:dyDescent="0.25">
      <c r="A297" s="140">
        <v>13</v>
      </c>
      <c r="B297" s="333" t="s">
        <v>329</v>
      </c>
      <c r="C297" s="142"/>
      <c r="D297" s="143"/>
      <c r="E297" s="143"/>
      <c r="F297" s="143"/>
      <c r="G297" s="143"/>
      <c r="H297" s="143"/>
      <c r="I297" s="143"/>
      <c r="J297" s="143"/>
      <c r="K297" s="143"/>
      <c r="L297" s="143"/>
      <c r="M297" s="222"/>
      <c r="N297" s="222">
        <v>1492849</v>
      </c>
      <c r="O297" s="145"/>
      <c r="P297" s="223">
        <f t="shared" si="215"/>
        <v>1492849</v>
      </c>
      <c r="Q297" s="147">
        <f>P297*$Q$5</f>
        <v>353805.21299999999</v>
      </c>
      <c r="R297" s="147">
        <f t="shared" si="217"/>
        <v>969.32935068493146</v>
      </c>
      <c r="S297" s="148">
        <f>R297*$S$3*$S$5</f>
        <v>318424.69170000002</v>
      </c>
      <c r="T297" s="199"/>
      <c r="U297" s="150"/>
      <c r="V297" s="151"/>
      <c r="W297" s="151"/>
      <c r="X297" s="152"/>
      <c r="Y297" s="153"/>
      <c r="Z297" s="153"/>
      <c r="AA297" s="154"/>
      <c r="AB297" s="155">
        <f>S297*$AB$3</f>
        <v>184686.32118600002</v>
      </c>
      <c r="AC297" s="156">
        <f>S297*$AC$3</f>
        <v>41395.209921000001</v>
      </c>
      <c r="AD297" s="156">
        <f>S297*$AD$3</f>
        <v>27941.766696675</v>
      </c>
      <c r="AE297" s="156">
        <f>S297*$AE$3</f>
        <v>12736.987668000002</v>
      </c>
      <c r="AF297" s="156">
        <f>S297*$AF$3</f>
        <v>6368.4938340000008</v>
      </c>
      <c r="AG297" s="156">
        <f>S297*$AG$3</f>
        <v>6368.4938340000008</v>
      </c>
      <c r="AH297" s="156">
        <f>S297*$AH$3</f>
        <v>3184.2469170000004</v>
      </c>
      <c r="AI297" s="156">
        <f>S297*$AI$3</f>
        <v>6368.4938340000008</v>
      </c>
      <c r="AJ297" s="156">
        <f>S297*$AJ$3</f>
        <v>6368.4938340000008</v>
      </c>
      <c r="AK297" s="156">
        <f>S297*$AK$3</f>
        <v>22289.728419000003</v>
      </c>
      <c r="AL297" s="157">
        <f t="shared" si="219"/>
        <v>97995.198870674983</v>
      </c>
      <c r="AM297" s="158">
        <f t="shared" si="220"/>
        <v>2200</v>
      </c>
      <c r="AN297" s="159">
        <v>0.2</v>
      </c>
      <c r="AO297" s="160">
        <f t="shared" si="221"/>
        <v>2603768173.9812312</v>
      </c>
      <c r="AP297" s="161">
        <f t="shared" si="222"/>
        <v>723268.99507852364</v>
      </c>
      <c r="AQ297" s="162">
        <f t="shared" si="223"/>
        <v>144653.79901570475</v>
      </c>
      <c r="AR297" s="580">
        <f t="shared" si="224"/>
        <v>20.641238444021795</v>
      </c>
      <c r="AS297" s="435">
        <f t="shared" si="225"/>
        <v>20.641238444021795</v>
      </c>
      <c r="AT297" s="589"/>
      <c r="AU297" s="166"/>
      <c r="AV297" s="167"/>
      <c r="AW297" s="146"/>
      <c r="AX297" s="168"/>
    </row>
    <row r="298" spans="1:50" s="139" customFormat="1" ht="11.25" x14ac:dyDescent="0.25">
      <c r="A298" s="140">
        <v>14</v>
      </c>
      <c r="B298" s="334" t="s">
        <v>330</v>
      </c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222"/>
      <c r="N298" s="222">
        <v>868635</v>
      </c>
      <c r="O298" s="145"/>
      <c r="P298" s="223">
        <f t="shared" si="215"/>
        <v>868635</v>
      </c>
      <c r="Q298" s="147">
        <f>P298*$Q$7</f>
        <v>126820.70999999999</v>
      </c>
      <c r="R298" s="147">
        <f t="shared" si="217"/>
        <v>347.45399999999995</v>
      </c>
      <c r="S298" s="148">
        <f>R298*$S$3*$S$7</f>
        <v>88774.496999999974</v>
      </c>
      <c r="T298" s="199"/>
      <c r="U298" s="150"/>
      <c r="V298" s="151"/>
      <c r="W298" s="151"/>
      <c r="X298" s="152"/>
      <c r="Y298" s="153"/>
      <c r="Z298" s="153"/>
      <c r="AA298" s="154"/>
      <c r="AB298" s="155">
        <f>S298*$AB$3</f>
        <v>51489.208259999985</v>
      </c>
      <c r="AC298" s="156">
        <f>S298*$AC$3</f>
        <v>11540.684609999997</v>
      </c>
      <c r="AD298" s="156">
        <f>S298*$AD$3</f>
        <v>7789.9621117499973</v>
      </c>
      <c r="AE298" s="156">
        <f>S298*$AE$3</f>
        <v>3550.979879999999</v>
      </c>
      <c r="AF298" s="156">
        <f>S298*$AF$3</f>
        <v>1775.4899399999995</v>
      </c>
      <c r="AG298" s="156">
        <f>S298*$AG$3</f>
        <v>1775.4899399999995</v>
      </c>
      <c r="AH298" s="156">
        <f>S298*$AH$3</f>
        <v>887.74496999999974</v>
      </c>
      <c r="AI298" s="156">
        <f>S298*$AI$3</f>
        <v>1775.4899399999995</v>
      </c>
      <c r="AJ298" s="156">
        <f>S298*$AJ$3</f>
        <v>1775.4899399999995</v>
      </c>
      <c r="AK298" s="156">
        <f>S298*$AK$3</f>
        <v>6214.2147899999991</v>
      </c>
      <c r="AL298" s="157">
        <f t="shared" si="219"/>
        <v>27320.351451749993</v>
      </c>
      <c r="AM298" s="158">
        <f t="shared" si="220"/>
        <v>2200</v>
      </c>
      <c r="AN298" s="159">
        <v>0.2</v>
      </c>
      <c r="AO298" s="160">
        <f t="shared" si="221"/>
        <v>725911702.12254059</v>
      </c>
      <c r="AP298" s="161">
        <f t="shared" si="222"/>
        <v>201642.15560985464</v>
      </c>
      <c r="AQ298" s="162">
        <f t="shared" si="223"/>
        <v>40328.431121970934</v>
      </c>
      <c r="AR298" s="580">
        <f t="shared" si="224"/>
        <v>5.7546277285917427</v>
      </c>
      <c r="AS298" s="582">
        <f t="shared" si="225"/>
        <v>5.7546277285917427</v>
      </c>
      <c r="AT298" s="588"/>
      <c r="AU298" s="166"/>
      <c r="AV298" s="167"/>
      <c r="AW298" s="146"/>
      <c r="AX298" s="168"/>
    </row>
    <row r="299" spans="1:50" s="139" customFormat="1" ht="11.25" x14ac:dyDescent="0.25">
      <c r="A299" s="140">
        <v>15</v>
      </c>
      <c r="B299" s="335" t="s">
        <v>331</v>
      </c>
      <c r="C299" s="142"/>
      <c r="D299" s="143"/>
      <c r="E299" s="143"/>
      <c r="F299" s="143"/>
      <c r="G299" s="143"/>
      <c r="H299" s="143"/>
      <c r="I299" s="143"/>
      <c r="J299" s="143"/>
      <c r="K299" s="143"/>
      <c r="L299" s="143"/>
      <c r="M299" s="222"/>
      <c r="N299" s="222">
        <v>2168006</v>
      </c>
      <c r="O299" s="145"/>
      <c r="P299" s="223">
        <f t="shared" si="215"/>
        <v>2168006</v>
      </c>
      <c r="Q299" s="147">
        <f>P299*$Q$5</f>
        <v>513817.42199999996</v>
      </c>
      <c r="R299" s="147">
        <f t="shared" si="217"/>
        <v>1407.7189643835616</v>
      </c>
      <c r="S299" s="148">
        <f>R299*$S$3*$S$5</f>
        <v>462435.67979999998</v>
      </c>
      <c r="T299" s="199"/>
      <c r="U299" s="150"/>
      <c r="V299" s="151"/>
      <c r="W299" s="151"/>
      <c r="X299" s="152"/>
      <c r="Y299" s="153"/>
      <c r="Z299" s="153"/>
      <c r="AA299" s="154"/>
      <c r="AB299" s="155">
        <f>S299*$AB$3</f>
        <v>268212.69428399997</v>
      </c>
      <c r="AC299" s="156">
        <f>S299*$AC$3</f>
        <v>60116.638374000002</v>
      </c>
      <c r="AD299" s="156">
        <f>S299*$AD$3</f>
        <v>40578.730902449999</v>
      </c>
      <c r="AE299" s="156">
        <f>S299*$AE$3</f>
        <v>18497.427191999999</v>
      </c>
      <c r="AF299" s="156">
        <f>S299*$AF$3</f>
        <v>9248.7135959999996</v>
      </c>
      <c r="AG299" s="156">
        <f>S299*$AG$3</f>
        <v>9248.7135959999996</v>
      </c>
      <c r="AH299" s="156">
        <f>S299*$AH$3</f>
        <v>4624.3567979999998</v>
      </c>
      <c r="AI299" s="156">
        <f>S299*$AI$3</f>
        <v>9248.7135959999996</v>
      </c>
      <c r="AJ299" s="156">
        <f>S299*$AJ$3</f>
        <v>9248.7135959999996</v>
      </c>
      <c r="AK299" s="156">
        <f>S299*$AK$3</f>
        <v>32370.497586000001</v>
      </c>
      <c r="AL299" s="157">
        <f t="shared" si="219"/>
        <v>142314.58045844999</v>
      </c>
      <c r="AM299" s="158">
        <f t="shared" si="220"/>
        <v>2200</v>
      </c>
      <c r="AN299" s="159">
        <v>0.2</v>
      </c>
      <c r="AO299" s="160">
        <f t="shared" si="221"/>
        <v>3781350306.561717</v>
      </c>
      <c r="AP299" s="161">
        <f t="shared" si="222"/>
        <v>1050375.1691860394</v>
      </c>
      <c r="AQ299" s="162">
        <f t="shared" si="223"/>
        <v>210075.03383720788</v>
      </c>
      <c r="AR299" s="580">
        <f t="shared" si="224"/>
        <v>29.976460307820759</v>
      </c>
      <c r="AS299" s="582">
        <f t="shared" si="225"/>
        <v>29.976460307820759</v>
      </c>
      <c r="AT299" s="588"/>
      <c r="AU299" s="166"/>
      <c r="AV299" s="167"/>
      <c r="AW299" s="146"/>
      <c r="AX299" s="168"/>
    </row>
    <row r="300" spans="1:50" s="139" customFormat="1" ht="11.25" x14ac:dyDescent="0.25">
      <c r="A300" s="140">
        <v>16</v>
      </c>
      <c r="B300" s="336" t="s">
        <v>332</v>
      </c>
      <c r="C300" s="142"/>
      <c r="D300" s="143"/>
      <c r="E300" s="143"/>
      <c r="F300" s="143"/>
      <c r="G300" s="143"/>
      <c r="H300" s="143"/>
      <c r="I300" s="143"/>
      <c r="J300" s="143"/>
      <c r="K300" s="143"/>
      <c r="L300" s="143"/>
      <c r="M300" s="222"/>
      <c r="N300" s="222">
        <v>2680116</v>
      </c>
      <c r="O300" s="145"/>
      <c r="P300" s="223">
        <f t="shared" si="215"/>
        <v>2680116</v>
      </c>
      <c r="Q300" s="147">
        <f>P300*$Q$5</f>
        <v>635187.49199999997</v>
      </c>
      <c r="R300" s="147">
        <f t="shared" si="217"/>
        <v>1740.239704109589</v>
      </c>
      <c r="S300" s="148">
        <f>R300*$S$3*$S$5</f>
        <v>571668.74280000001</v>
      </c>
      <c r="T300" s="199"/>
      <c r="U300" s="150"/>
      <c r="V300" s="151"/>
      <c r="W300" s="151"/>
      <c r="X300" s="152"/>
      <c r="Y300" s="153"/>
      <c r="Z300" s="153"/>
      <c r="AA300" s="154"/>
      <c r="AB300" s="155">
        <f>S300*$AB$3</f>
        <v>331567.87082399998</v>
      </c>
      <c r="AC300" s="156">
        <f>S300*$AC$3</f>
        <v>74316.936564000003</v>
      </c>
      <c r="AD300" s="156">
        <f>S300*$AD$3</f>
        <v>50163.932180699994</v>
      </c>
      <c r="AE300" s="156">
        <f>S300*$AE$3</f>
        <v>22866.749712000001</v>
      </c>
      <c r="AF300" s="156">
        <f>S300*$AF$3</f>
        <v>11433.374856</v>
      </c>
      <c r="AG300" s="156">
        <f>S300*$AG$3</f>
        <v>11433.374856</v>
      </c>
      <c r="AH300" s="156">
        <f>S300*$AH$3</f>
        <v>5716.6874280000002</v>
      </c>
      <c r="AI300" s="156">
        <f>S300*$AI$3</f>
        <v>11433.374856</v>
      </c>
      <c r="AJ300" s="156">
        <f>S300*$AJ$3</f>
        <v>11433.374856</v>
      </c>
      <c r="AK300" s="156">
        <f>S300*$AK$3</f>
        <v>40016.811996000004</v>
      </c>
      <c r="AL300" s="157">
        <f t="shared" si="219"/>
        <v>175931.05559670003</v>
      </c>
      <c r="AM300" s="158">
        <f t="shared" si="220"/>
        <v>2200</v>
      </c>
      <c r="AN300" s="159">
        <v>0.2</v>
      </c>
      <c r="AO300" s="160">
        <f t="shared" si="221"/>
        <v>4674552311.3040104</v>
      </c>
      <c r="AP300" s="161">
        <f t="shared" si="222"/>
        <v>1298486.8570189432</v>
      </c>
      <c r="AQ300" s="162">
        <f t="shared" si="223"/>
        <v>259697.37140378865</v>
      </c>
      <c r="AR300" s="580">
        <f t="shared" si="224"/>
        <v>37.057273316750667</v>
      </c>
      <c r="AS300" s="582">
        <f t="shared" si="225"/>
        <v>37.057273316750667</v>
      </c>
      <c r="AT300" s="588"/>
      <c r="AU300" s="166"/>
      <c r="AV300" s="167"/>
      <c r="AW300" s="146"/>
      <c r="AX300" s="168"/>
    </row>
    <row r="301" spans="1:50" s="139" customFormat="1" ht="11.25" x14ac:dyDescent="0.25">
      <c r="A301" s="140">
        <v>17</v>
      </c>
      <c r="B301" s="335" t="s">
        <v>333</v>
      </c>
      <c r="C301" s="142"/>
      <c r="D301" s="143"/>
      <c r="E301" s="143"/>
      <c r="F301" s="143"/>
      <c r="G301" s="143"/>
      <c r="H301" s="143"/>
      <c r="I301" s="143"/>
      <c r="J301" s="143"/>
      <c r="K301" s="143"/>
      <c r="L301" s="143"/>
      <c r="M301" s="222"/>
      <c r="N301" s="222">
        <v>1538830</v>
      </c>
      <c r="O301" s="145"/>
      <c r="P301" s="223">
        <f t="shared" si="215"/>
        <v>1538830</v>
      </c>
      <c r="Q301" s="147">
        <f>P301*$Q$5</f>
        <v>364702.70999999996</v>
      </c>
      <c r="R301" s="147">
        <f t="shared" si="217"/>
        <v>999.18550684931495</v>
      </c>
      <c r="S301" s="148">
        <f>R301*$S$3*$S$5</f>
        <v>328232.43899999995</v>
      </c>
      <c r="T301" s="199"/>
      <c r="U301" s="150"/>
      <c r="V301" s="151"/>
      <c r="W301" s="151"/>
      <c r="X301" s="152"/>
      <c r="Y301" s="153"/>
      <c r="Z301" s="153"/>
      <c r="AA301" s="154"/>
      <c r="AB301" s="155">
        <f>S301*$AB$3</f>
        <v>190374.81461999996</v>
      </c>
      <c r="AC301" s="156">
        <f>S301*$AC$3</f>
        <v>42670.217069999999</v>
      </c>
      <c r="AD301" s="156">
        <f>S301*$AD$3</f>
        <v>28802.396522249994</v>
      </c>
      <c r="AE301" s="156">
        <f>S301*$AE$3</f>
        <v>13129.297559999999</v>
      </c>
      <c r="AF301" s="156">
        <f>S301*$AF$3</f>
        <v>6564.6487799999995</v>
      </c>
      <c r="AG301" s="156">
        <f>S301*$AG$3</f>
        <v>6564.6487799999995</v>
      </c>
      <c r="AH301" s="156">
        <f>S301*$AH$3</f>
        <v>3282.3243899999998</v>
      </c>
      <c r="AI301" s="156">
        <f>S301*$AI$3</f>
        <v>6564.6487799999995</v>
      </c>
      <c r="AJ301" s="156">
        <f>S301*$AJ$3</f>
        <v>6564.6487799999995</v>
      </c>
      <c r="AK301" s="156">
        <f>S301*$AK$3</f>
        <v>22976.27073</v>
      </c>
      <c r="AL301" s="157">
        <f t="shared" si="219"/>
        <v>101013.53310224999</v>
      </c>
      <c r="AM301" s="158">
        <f t="shared" si="220"/>
        <v>2200</v>
      </c>
      <c r="AN301" s="159">
        <v>0.2</v>
      </c>
      <c r="AO301" s="160">
        <f t="shared" si="221"/>
        <v>2683966415.3357348</v>
      </c>
      <c r="AP301" s="161">
        <f t="shared" si="222"/>
        <v>745546.28612584667</v>
      </c>
      <c r="AQ301" s="162">
        <f t="shared" si="223"/>
        <v>149109.25722516933</v>
      </c>
      <c r="AR301" s="580">
        <f t="shared" si="224"/>
        <v>21.277005882586948</v>
      </c>
      <c r="AS301" s="582">
        <f t="shared" si="225"/>
        <v>21.277005882586948</v>
      </c>
      <c r="AT301" s="588"/>
      <c r="AU301" s="166"/>
      <c r="AV301" s="167"/>
      <c r="AW301" s="146"/>
      <c r="AX301" s="168"/>
    </row>
    <row r="302" spans="1:50" s="139" customFormat="1" ht="11.25" x14ac:dyDescent="0.25">
      <c r="A302" s="140">
        <v>18</v>
      </c>
      <c r="B302" s="337" t="s">
        <v>334</v>
      </c>
      <c r="C302" s="142"/>
      <c r="D302" s="143"/>
      <c r="E302" s="143"/>
      <c r="F302" s="143"/>
      <c r="G302" s="143"/>
      <c r="H302" s="143"/>
      <c r="I302" s="143"/>
      <c r="J302" s="143"/>
      <c r="K302" s="143"/>
      <c r="L302" s="143"/>
      <c r="M302" s="222"/>
      <c r="N302" s="222">
        <v>968295</v>
      </c>
      <c r="O302" s="145"/>
      <c r="P302" s="223">
        <f t="shared" si="215"/>
        <v>968295</v>
      </c>
      <c r="Q302" s="147">
        <f>P302*$Q$7</f>
        <v>141371.06999999998</v>
      </c>
      <c r="R302" s="147">
        <f t="shared" si="217"/>
        <v>387.31799999999993</v>
      </c>
      <c r="S302" s="148">
        <f>R302*$S$3*$S$7</f>
        <v>98959.748999999982</v>
      </c>
      <c r="T302" s="199"/>
      <c r="U302" s="150"/>
      <c r="V302" s="151"/>
      <c r="W302" s="151"/>
      <c r="X302" s="152"/>
      <c r="Y302" s="153"/>
      <c r="Z302" s="153"/>
      <c r="AA302" s="154"/>
      <c r="AB302" s="155">
        <f>S302*$AB$3</f>
        <v>57396.654419999984</v>
      </c>
      <c r="AC302" s="156">
        <f>S302*$AC$3</f>
        <v>12864.767369999998</v>
      </c>
      <c r="AD302" s="156">
        <f>S302*$AD$3</f>
        <v>8683.7179747499977</v>
      </c>
      <c r="AE302" s="156">
        <f>S302*$AE$3</f>
        <v>3958.3899599999995</v>
      </c>
      <c r="AF302" s="156">
        <f>S302*$AF$3</f>
        <v>1979.1949799999998</v>
      </c>
      <c r="AG302" s="156">
        <f>S302*$AG$3</f>
        <v>1979.1949799999998</v>
      </c>
      <c r="AH302" s="156">
        <f>S302*$AH$3</f>
        <v>989.59748999999988</v>
      </c>
      <c r="AI302" s="156">
        <f>S302*$AI$3</f>
        <v>1979.1949799999998</v>
      </c>
      <c r="AJ302" s="156">
        <f>S302*$AJ$3</f>
        <v>1979.1949799999998</v>
      </c>
      <c r="AK302" s="156">
        <f>S302*$AK$3</f>
        <v>6927.1824299999989</v>
      </c>
      <c r="AL302" s="157">
        <f t="shared" si="219"/>
        <v>30454.862754749996</v>
      </c>
      <c r="AM302" s="158">
        <f t="shared" si="220"/>
        <v>2200</v>
      </c>
      <c r="AN302" s="159">
        <v>0.2</v>
      </c>
      <c r="AO302" s="160">
        <f t="shared" si="221"/>
        <v>809196810.63593507</v>
      </c>
      <c r="AP302" s="161">
        <f t="shared" si="222"/>
        <v>224776.90982546663</v>
      </c>
      <c r="AQ302" s="162">
        <f t="shared" si="223"/>
        <v>44955.381965093329</v>
      </c>
      <c r="AR302" s="580">
        <f t="shared" si="224"/>
        <v>6.4148661479870617</v>
      </c>
      <c r="AS302" s="582">
        <f t="shared" si="225"/>
        <v>6.4148661479870617</v>
      </c>
      <c r="AT302" s="588"/>
      <c r="AU302" s="166"/>
      <c r="AV302" s="167"/>
      <c r="AW302" s="146"/>
      <c r="AX302" s="168"/>
    </row>
    <row r="303" spans="1:50" s="139" customFormat="1" ht="11.25" x14ac:dyDescent="0.25">
      <c r="A303" s="140">
        <v>19</v>
      </c>
      <c r="B303" s="338" t="s">
        <v>335</v>
      </c>
      <c r="C303" s="142"/>
      <c r="D303" s="143"/>
      <c r="E303" s="143"/>
      <c r="F303" s="143"/>
      <c r="G303" s="143"/>
      <c r="H303" s="143"/>
      <c r="I303" s="143"/>
      <c r="J303" s="143"/>
      <c r="K303" s="143"/>
      <c r="L303" s="143"/>
      <c r="M303" s="222"/>
      <c r="N303" s="222">
        <v>304324</v>
      </c>
      <c r="O303" s="145"/>
      <c r="P303" s="223">
        <f t="shared" si="215"/>
        <v>304324</v>
      </c>
      <c r="Q303" s="147">
        <f>P303*$Q$8</f>
        <v>33475.64</v>
      </c>
      <c r="R303" s="147">
        <f t="shared" si="217"/>
        <v>91.714082191780818</v>
      </c>
      <c r="S303" s="148">
        <f>R303*$S$3*$S$8</f>
        <v>20085.383999999998</v>
      </c>
      <c r="T303" s="199"/>
      <c r="U303" s="150"/>
      <c r="V303" s="151"/>
      <c r="W303" s="151"/>
      <c r="X303" s="152"/>
      <c r="Y303" s="153"/>
      <c r="Z303" s="153"/>
      <c r="AA303" s="154"/>
      <c r="AB303" s="155">
        <f>S303*$AB$3</f>
        <v>11649.522719999999</v>
      </c>
      <c r="AC303" s="156">
        <f>S303*$AC$3</f>
        <v>2611.0999199999997</v>
      </c>
      <c r="AD303" s="156">
        <f>S303*$AD$3</f>
        <v>1762.4924459999997</v>
      </c>
      <c r="AE303" s="156">
        <f>S303*$AE$3</f>
        <v>803.41535999999996</v>
      </c>
      <c r="AF303" s="156">
        <f>S303*$AF$3</f>
        <v>401.70767999999998</v>
      </c>
      <c r="AG303" s="156">
        <f>S303*$AG$3</f>
        <v>401.70767999999998</v>
      </c>
      <c r="AH303" s="156">
        <f>S303*$AH$3</f>
        <v>200.85383999999999</v>
      </c>
      <c r="AI303" s="156">
        <f>S303*$AI$3</f>
        <v>401.70767999999998</v>
      </c>
      <c r="AJ303" s="156">
        <f>S303*$AJ$3</f>
        <v>401.70767999999998</v>
      </c>
      <c r="AK303" s="156">
        <f>S303*$AK$3</f>
        <v>1405.9768799999999</v>
      </c>
      <c r="AL303" s="157">
        <f t="shared" si="219"/>
        <v>6181.2769259999986</v>
      </c>
      <c r="AM303" s="158">
        <f t="shared" si="220"/>
        <v>2200</v>
      </c>
      <c r="AN303" s="159">
        <v>0.2</v>
      </c>
      <c r="AO303" s="160">
        <f t="shared" si="221"/>
        <v>164238782.30732015</v>
      </c>
      <c r="AP303" s="161">
        <f t="shared" si="222"/>
        <v>45621.887624006311</v>
      </c>
      <c r="AQ303" s="162">
        <f t="shared" si="223"/>
        <v>9124.3775248012626</v>
      </c>
      <c r="AR303" s="580">
        <f t="shared" si="224"/>
        <v>1.3019945098175318</v>
      </c>
      <c r="AS303" s="582">
        <f t="shared" si="225"/>
        <v>1.3019945098175318</v>
      </c>
      <c r="AT303" s="588"/>
      <c r="AU303" s="166"/>
      <c r="AV303" s="167"/>
      <c r="AW303" s="146"/>
      <c r="AX303" s="168"/>
    </row>
    <row r="304" spans="1:50" s="139" customFormat="1" ht="11.25" x14ac:dyDescent="0.25">
      <c r="A304" s="140">
        <v>20</v>
      </c>
      <c r="B304" s="333" t="s">
        <v>336</v>
      </c>
      <c r="C304" s="142"/>
      <c r="D304" s="143"/>
      <c r="E304" s="143"/>
      <c r="F304" s="143"/>
      <c r="G304" s="143"/>
      <c r="H304" s="143"/>
      <c r="I304" s="143"/>
      <c r="J304" s="143"/>
      <c r="K304" s="143"/>
      <c r="L304" s="143"/>
      <c r="M304" s="222"/>
      <c r="N304" s="222">
        <v>2440136</v>
      </c>
      <c r="O304" s="145"/>
      <c r="P304" s="223">
        <f t="shared" si="215"/>
        <v>2440136</v>
      </c>
      <c r="Q304" s="147">
        <f>P304*$Q$5</f>
        <v>578312.23199999996</v>
      </c>
      <c r="R304" s="147">
        <f t="shared" si="217"/>
        <v>1584.4170739726026</v>
      </c>
      <c r="S304" s="148">
        <f>R304*$S$3*$S$5</f>
        <v>520481.00879999995</v>
      </c>
      <c r="T304" s="199"/>
      <c r="U304" s="150"/>
      <c r="V304" s="151"/>
      <c r="W304" s="151"/>
      <c r="X304" s="152"/>
      <c r="Y304" s="153"/>
      <c r="Z304" s="153"/>
      <c r="AA304" s="154"/>
      <c r="AB304" s="155">
        <f>S304*$AB$3</f>
        <v>301878.98510399996</v>
      </c>
      <c r="AC304" s="156">
        <f>S304*$AC$3</f>
        <v>67662.531143999993</v>
      </c>
      <c r="AD304" s="156">
        <f>S304*$AD$3</f>
        <v>45672.208522199995</v>
      </c>
      <c r="AE304" s="156">
        <f>S304*$AE$3</f>
        <v>20819.240351999997</v>
      </c>
      <c r="AF304" s="156">
        <f>S304*$AF$3</f>
        <v>10409.620175999999</v>
      </c>
      <c r="AG304" s="156">
        <f>S304*$AG$3</f>
        <v>10409.620175999999</v>
      </c>
      <c r="AH304" s="156">
        <f>S304*$AH$3</f>
        <v>5204.8100879999993</v>
      </c>
      <c r="AI304" s="156">
        <f>S304*$AI$3</f>
        <v>10409.620175999999</v>
      </c>
      <c r="AJ304" s="156">
        <f>S304*$AJ$3</f>
        <v>10409.620175999999</v>
      </c>
      <c r="AK304" s="156">
        <f>S304*$AK$3</f>
        <v>36433.670616000003</v>
      </c>
      <c r="AL304" s="157">
        <f t="shared" si="219"/>
        <v>160178.03045819997</v>
      </c>
      <c r="AM304" s="158">
        <f t="shared" si="220"/>
        <v>2200</v>
      </c>
      <c r="AN304" s="159">
        <v>0.2</v>
      </c>
      <c r="AO304" s="160">
        <f t="shared" si="221"/>
        <v>4255988688.0628009</v>
      </c>
      <c r="AP304" s="161">
        <f t="shared" si="222"/>
        <v>1182219.1745949711</v>
      </c>
      <c r="AQ304" s="162">
        <f t="shared" si="223"/>
        <v>236443.83491899422</v>
      </c>
      <c r="AR304" s="580">
        <f t="shared" si="224"/>
        <v>33.739131695061964</v>
      </c>
      <c r="AS304" s="582">
        <f t="shared" si="225"/>
        <v>33.739131695061964</v>
      </c>
      <c r="AT304" s="588"/>
      <c r="AU304" s="166"/>
      <c r="AV304" s="167"/>
      <c r="AW304" s="146"/>
      <c r="AX304" s="168"/>
    </row>
    <row r="305" spans="1:50" s="139" customFormat="1" ht="11.25" x14ac:dyDescent="0.25">
      <c r="A305" s="140">
        <v>21</v>
      </c>
      <c r="B305" s="339" t="s">
        <v>337</v>
      </c>
      <c r="C305" s="142"/>
      <c r="D305" s="143"/>
      <c r="E305" s="143"/>
      <c r="F305" s="143"/>
      <c r="G305" s="143"/>
      <c r="H305" s="143"/>
      <c r="I305" s="143"/>
      <c r="J305" s="143"/>
      <c r="K305" s="143"/>
      <c r="L305" s="143"/>
      <c r="M305" s="222"/>
      <c r="N305" s="222">
        <v>301992</v>
      </c>
      <c r="O305" s="145"/>
      <c r="P305" s="223">
        <f t="shared" si="215"/>
        <v>301992</v>
      </c>
      <c r="Q305" s="147">
        <f>P305*$Q$8</f>
        <v>33219.120000000003</v>
      </c>
      <c r="R305" s="147">
        <f t="shared" si="217"/>
        <v>91.011287671232878</v>
      </c>
      <c r="S305" s="148">
        <f>R305*$S$3*$S$8</f>
        <v>19931.472000000002</v>
      </c>
      <c r="T305" s="199"/>
      <c r="U305" s="150"/>
      <c r="V305" s="151"/>
      <c r="W305" s="151"/>
      <c r="X305" s="152"/>
      <c r="Y305" s="153"/>
      <c r="Z305" s="153"/>
      <c r="AA305" s="154"/>
      <c r="AB305" s="155">
        <f>S305*$AB$3</f>
        <v>11560.25376</v>
      </c>
      <c r="AC305" s="156">
        <f>S305*$AC$3</f>
        <v>2591.0913600000003</v>
      </c>
      <c r="AD305" s="156">
        <f>S305*$AD$3</f>
        <v>1748.986668</v>
      </c>
      <c r="AE305" s="156">
        <f>S305*$AE$3</f>
        <v>797.25888000000009</v>
      </c>
      <c r="AF305" s="156">
        <f>S305*$AF$3</f>
        <v>398.62944000000005</v>
      </c>
      <c r="AG305" s="156">
        <f>S305*$AG$3</f>
        <v>398.62944000000005</v>
      </c>
      <c r="AH305" s="156">
        <f>S305*$AH$3</f>
        <v>199.31472000000002</v>
      </c>
      <c r="AI305" s="156">
        <f>S305*$AI$3</f>
        <v>398.62944000000005</v>
      </c>
      <c r="AJ305" s="156">
        <f>S305*$AJ$3</f>
        <v>398.62944000000005</v>
      </c>
      <c r="AK305" s="156">
        <f>S305*$AK$3</f>
        <v>1395.2030400000003</v>
      </c>
      <c r="AL305" s="157">
        <f t="shared" si="219"/>
        <v>6133.9105079999999</v>
      </c>
      <c r="AM305" s="158">
        <f t="shared" si="220"/>
        <v>2200</v>
      </c>
      <c r="AN305" s="159">
        <v>0.2</v>
      </c>
      <c r="AO305" s="160">
        <f t="shared" si="221"/>
        <v>162980239.30597728</v>
      </c>
      <c r="AP305" s="161">
        <f t="shared" si="222"/>
        <v>45272.292317887899</v>
      </c>
      <c r="AQ305" s="162">
        <f t="shared" si="223"/>
        <v>9054.4584635775809</v>
      </c>
      <c r="AR305" s="580">
        <f t="shared" si="224"/>
        <v>1.2920174748255679</v>
      </c>
      <c r="AS305" s="582">
        <f t="shared" si="225"/>
        <v>1.2920174748255679</v>
      </c>
      <c r="AT305" s="588"/>
      <c r="AU305" s="166"/>
      <c r="AV305" s="167"/>
      <c r="AW305" s="146"/>
      <c r="AX305" s="168"/>
    </row>
    <row r="306" spans="1:50" s="139" customFormat="1" ht="11.25" x14ac:dyDescent="0.25">
      <c r="A306" s="140">
        <v>22</v>
      </c>
      <c r="B306" s="333" t="s">
        <v>338</v>
      </c>
      <c r="C306" s="142"/>
      <c r="D306" s="143"/>
      <c r="E306" s="143"/>
      <c r="F306" s="143"/>
      <c r="G306" s="143"/>
      <c r="H306" s="143"/>
      <c r="I306" s="143"/>
      <c r="J306" s="143"/>
      <c r="K306" s="143"/>
      <c r="L306" s="143"/>
      <c r="M306" s="222"/>
      <c r="N306" s="222">
        <v>2379000</v>
      </c>
      <c r="O306" s="145"/>
      <c r="P306" s="223">
        <f t="shared" si="215"/>
        <v>2379000</v>
      </c>
      <c r="Q306" s="147">
        <f>P306*$Q$5</f>
        <v>563823</v>
      </c>
      <c r="R306" s="147">
        <f t="shared" si="217"/>
        <v>1544.7205479452055</v>
      </c>
      <c r="S306" s="148">
        <f>R306*$S$3*$S$5</f>
        <v>507440.7</v>
      </c>
      <c r="T306" s="199"/>
      <c r="U306" s="150"/>
      <c r="V306" s="151"/>
      <c r="W306" s="151"/>
      <c r="X306" s="152"/>
      <c r="Y306" s="153"/>
      <c r="Z306" s="153"/>
      <c r="AA306" s="154"/>
      <c r="AB306" s="155">
        <f>S306*$AB$3</f>
        <v>294315.60599999997</v>
      </c>
      <c r="AC306" s="156">
        <f>S306*$AC$3</f>
        <v>65967.290999999997</v>
      </c>
      <c r="AD306" s="156">
        <f>S306*$AD$3</f>
        <v>44527.921425</v>
      </c>
      <c r="AE306" s="156">
        <f>S306*$AE$3</f>
        <v>20297.628000000001</v>
      </c>
      <c r="AF306" s="156">
        <f>S306*$AF$3</f>
        <v>10148.814</v>
      </c>
      <c r="AG306" s="156">
        <f>S306*$AG$3</f>
        <v>10148.814</v>
      </c>
      <c r="AH306" s="156">
        <f>S306*$AH$3</f>
        <v>5074.4070000000002</v>
      </c>
      <c r="AI306" s="156">
        <f>S306*$AI$3</f>
        <v>10148.814</v>
      </c>
      <c r="AJ306" s="156">
        <f>S306*$AJ$3</f>
        <v>10148.814</v>
      </c>
      <c r="AK306" s="156">
        <f>S306*$AK$3</f>
        <v>35520.849000000002</v>
      </c>
      <c r="AL306" s="157">
        <f t="shared" si="219"/>
        <v>156164.87542500003</v>
      </c>
      <c r="AM306" s="158">
        <f t="shared" si="220"/>
        <v>2200</v>
      </c>
      <c r="AN306" s="159">
        <v>0.2</v>
      </c>
      <c r="AO306" s="160">
        <f t="shared" si="221"/>
        <v>4149357695.1864176</v>
      </c>
      <c r="AP306" s="161">
        <f t="shared" si="222"/>
        <v>1152599.4519819536</v>
      </c>
      <c r="AQ306" s="162">
        <f t="shared" si="223"/>
        <v>230519.89039639072</v>
      </c>
      <c r="AR306" s="580">
        <f t="shared" si="224"/>
        <v>32.89381997665393</v>
      </c>
      <c r="AS306" s="582">
        <f t="shared" si="225"/>
        <v>32.89381997665393</v>
      </c>
      <c r="AT306" s="588"/>
      <c r="AU306" s="166"/>
      <c r="AV306" s="167"/>
      <c r="AW306" s="146"/>
      <c r="AX306" s="168"/>
    </row>
    <row r="307" spans="1:50" s="139" customFormat="1" ht="11.25" x14ac:dyDescent="0.25">
      <c r="A307" s="140">
        <v>23</v>
      </c>
      <c r="B307" s="333" t="s">
        <v>339</v>
      </c>
      <c r="C307" s="142"/>
      <c r="D307" s="143"/>
      <c r="E307" s="143"/>
      <c r="F307" s="143"/>
      <c r="G307" s="143"/>
      <c r="H307" s="143"/>
      <c r="I307" s="143"/>
      <c r="J307" s="143"/>
      <c r="K307" s="143"/>
      <c r="L307" s="143"/>
      <c r="M307" s="222"/>
      <c r="N307" s="222">
        <v>1771428</v>
      </c>
      <c r="O307" s="145"/>
      <c r="P307" s="223">
        <f t="shared" si="215"/>
        <v>1771428</v>
      </c>
      <c r="Q307" s="147">
        <f>P307*$Q$5</f>
        <v>419828.43599999999</v>
      </c>
      <c r="R307" s="147">
        <f t="shared" si="217"/>
        <v>1150.2148931506849</v>
      </c>
      <c r="S307" s="148">
        <f>R307*$S$3*$S$5</f>
        <v>377845.59240000002</v>
      </c>
      <c r="T307" s="199"/>
      <c r="U307" s="150"/>
      <c r="V307" s="151"/>
      <c r="W307" s="151"/>
      <c r="X307" s="152"/>
      <c r="Y307" s="153"/>
      <c r="Z307" s="153"/>
      <c r="AA307" s="154"/>
      <c r="AB307" s="155">
        <f>S307*$AB$3</f>
        <v>219150.443592</v>
      </c>
      <c r="AC307" s="156">
        <f>S307*$AC$3</f>
        <v>49119.927012000007</v>
      </c>
      <c r="AD307" s="156">
        <f>S307*$AD$3</f>
        <v>33155.950733099999</v>
      </c>
      <c r="AE307" s="156">
        <f>S307*$AE$3</f>
        <v>15113.823696000001</v>
      </c>
      <c r="AF307" s="156">
        <f>S307*$AF$3</f>
        <v>7556.9118480000006</v>
      </c>
      <c r="AG307" s="156">
        <f>S307*$AG$3</f>
        <v>7556.9118480000006</v>
      </c>
      <c r="AH307" s="156">
        <f>S307*$AH$3</f>
        <v>3778.4559240000003</v>
      </c>
      <c r="AI307" s="156">
        <f>S307*$AI$3</f>
        <v>7556.9118480000006</v>
      </c>
      <c r="AJ307" s="156">
        <f>S307*$AJ$3</f>
        <v>7556.9118480000006</v>
      </c>
      <c r="AK307" s="156">
        <f>S307*$AK$3</f>
        <v>26449.191468000005</v>
      </c>
      <c r="AL307" s="157">
        <f t="shared" si="219"/>
        <v>116281.98106110001</v>
      </c>
      <c r="AM307" s="158">
        <f t="shared" si="220"/>
        <v>2200</v>
      </c>
      <c r="AN307" s="159">
        <v>0.2</v>
      </c>
      <c r="AO307" s="160">
        <f t="shared" si="221"/>
        <v>3089654646.1827183</v>
      </c>
      <c r="AP307" s="161">
        <f t="shared" si="222"/>
        <v>858237.4703764139</v>
      </c>
      <c r="AQ307" s="162">
        <f t="shared" si="223"/>
        <v>171647.4940752828</v>
      </c>
      <c r="AR307" s="580">
        <f t="shared" si="224"/>
        <v>24.493078492477569</v>
      </c>
      <c r="AS307" s="582">
        <f t="shared" si="225"/>
        <v>24.493078492477569</v>
      </c>
      <c r="AT307" s="588"/>
      <c r="AU307" s="166"/>
      <c r="AV307" s="167"/>
      <c r="AW307" s="146"/>
      <c r="AX307" s="168"/>
    </row>
    <row r="308" spans="1:50" s="139" customFormat="1" ht="11.25" x14ac:dyDescent="0.25">
      <c r="A308" s="140">
        <v>24</v>
      </c>
      <c r="B308" s="339" t="s">
        <v>340</v>
      </c>
      <c r="C308" s="142"/>
      <c r="D308" s="143"/>
      <c r="E308" s="143"/>
      <c r="F308" s="143"/>
      <c r="G308" s="143"/>
      <c r="H308" s="143"/>
      <c r="I308" s="143"/>
      <c r="J308" s="143"/>
      <c r="K308" s="143"/>
      <c r="L308" s="143"/>
      <c r="M308" s="222"/>
      <c r="N308" s="222">
        <v>647473</v>
      </c>
      <c r="O308" s="145"/>
      <c r="P308" s="223">
        <f t="shared" si="215"/>
        <v>647473</v>
      </c>
      <c r="Q308" s="147">
        <f>P308*$Q$7</f>
        <v>94531.05799999999</v>
      </c>
      <c r="R308" s="147">
        <f t="shared" si="217"/>
        <v>258.98919999999998</v>
      </c>
      <c r="S308" s="148">
        <f>R308*$S$3*$S$7</f>
        <v>66171.74059999999</v>
      </c>
      <c r="T308" s="199"/>
      <c r="U308" s="150"/>
      <c r="V308" s="151"/>
      <c r="W308" s="151"/>
      <c r="X308" s="152"/>
      <c r="Y308" s="153"/>
      <c r="Z308" s="153"/>
      <c r="AA308" s="154"/>
      <c r="AB308" s="155">
        <f>S308*$AB$3</f>
        <v>38379.609547999993</v>
      </c>
      <c r="AC308" s="156">
        <f>S308*$AC$3</f>
        <v>8602.3262779999986</v>
      </c>
      <c r="AD308" s="156">
        <f>S308*$AD$3</f>
        <v>5806.5702376499985</v>
      </c>
      <c r="AE308" s="156">
        <f>S308*$AE$3</f>
        <v>2646.8696239999995</v>
      </c>
      <c r="AF308" s="156">
        <f>S308*$AF$3</f>
        <v>1323.4348119999997</v>
      </c>
      <c r="AG308" s="156">
        <f>S308*$AG$3</f>
        <v>1323.4348119999997</v>
      </c>
      <c r="AH308" s="156">
        <f>S308*$AH$3</f>
        <v>661.71740599999987</v>
      </c>
      <c r="AI308" s="156">
        <f>S308*$AI$3</f>
        <v>1323.4348119999997</v>
      </c>
      <c r="AJ308" s="156">
        <f>S308*$AJ$3</f>
        <v>1323.4348119999997</v>
      </c>
      <c r="AK308" s="156">
        <f>S308*$AK$3</f>
        <v>4632.0218420000001</v>
      </c>
      <c r="AL308" s="157">
        <f t="shared" si="219"/>
        <v>20364.353169649996</v>
      </c>
      <c r="AM308" s="158">
        <f t="shared" si="220"/>
        <v>2200</v>
      </c>
      <c r="AN308" s="159">
        <v>0.2</v>
      </c>
      <c r="AO308" s="160">
        <f t="shared" si="221"/>
        <v>541088290.83376539</v>
      </c>
      <c r="AP308" s="161">
        <f t="shared" si="222"/>
        <v>150302.3150335635</v>
      </c>
      <c r="AQ308" s="162">
        <f t="shared" si="223"/>
        <v>30060.4630067127</v>
      </c>
      <c r="AR308" s="580">
        <f t="shared" si="224"/>
        <v>4.289449629953296</v>
      </c>
      <c r="AS308" s="582">
        <f t="shared" si="225"/>
        <v>4.289449629953296</v>
      </c>
      <c r="AT308" s="588"/>
      <c r="AU308" s="166"/>
      <c r="AV308" s="167"/>
      <c r="AW308" s="146"/>
      <c r="AX308" s="168"/>
    </row>
    <row r="309" spans="1:50" s="139" customFormat="1" ht="11.25" x14ac:dyDescent="0.25">
      <c r="A309" s="140">
        <v>25</v>
      </c>
      <c r="B309" s="339" t="s">
        <v>341</v>
      </c>
      <c r="C309" s="142"/>
      <c r="D309" s="143"/>
      <c r="E309" s="143"/>
      <c r="F309" s="143"/>
      <c r="G309" s="143"/>
      <c r="H309" s="143"/>
      <c r="I309" s="143"/>
      <c r="J309" s="143"/>
      <c r="K309" s="143"/>
      <c r="L309" s="143"/>
      <c r="M309" s="222"/>
      <c r="N309" s="222">
        <v>551405</v>
      </c>
      <c r="O309" s="145"/>
      <c r="P309" s="223">
        <f t="shared" si="215"/>
        <v>551405</v>
      </c>
      <c r="Q309" s="147">
        <f>P309*$Q$7</f>
        <v>80505.12999999999</v>
      </c>
      <c r="R309" s="147">
        <f t="shared" si="217"/>
        <v>220.56199999999998</v>
      </c>
      <c r="S309" s="148">
        <f>R309*$S$3*$S$7</f>
        <v>56353.590999999993</v>
      </c>
      <c r="T309" s="199"/>
      <c r="U309" s="150"/>
      <c r="V309" s="151"/>
      <c r="W309" s="151"/>
      <c r="X309" s="152"/>
      <c r="Y309" s="153"/>
      <c r="Z309" s="153"/>
      <c r="AA309" s="154"/>
      <c r="AB309" s="155">
        <f>S309*$AB$3</f>
        <v>32685.082779999993</v>
      </c>
      <c r="AC309" s="156">
        <f>S309*$AC$3</f>
        <v>7325.9668299999994</v>
      </c>
      <c r="AD309" s="156">
        <f>S309*$AD$3</f>
        <v>4945.0276102499993</v>
      </c>
      <c r="AE309" s="156">
        <f>S309*$AE$3</f>
        <v>2254.1436399999998</v>
      </c>
      <c r="AF309" s="156">
        <f>S309*$AF$3</f>
        <v>1127.0718199999999</v>
      </c>
      <c r="AG309" s="156">
        <f>S309*$AG$3</f>
        <v>1127.0718199999999</v>
      </c>
      <c r="AH309" s="156">
        <f>S309*$AH$3</f>
        <v>563.53590999999994</v>
      </c>
      <c r="AI309" s="156">
        <f>S309*$AI$3</f>
        <v>1127.0718199999999</v>
      </c>
      <c r="AJ309" s="156">
        <f>S309*$AJ$3</f>
        <v>1127.0718199999999</v>
      </c>
      <c r="AK309" s="156">
        <f>S309*$AK$3</f>
        <v>3944.75137</v>
      </c>
      <c r="AL309" s="157">
        <f t="shared" si="219"/>
        <v>17342.817630249996</v>
      </c>
      <c r="AM309" s="158">
        <f t="shared" si="220"/>
        <v>2200</v>
      </c>
      <c r="AN309" s="159">
        <v>0.2</v>
      </c>
      <c r="AO309" s="160">
        <f t="shared" si="221"/>
        <v>460804989.56279624</v>
      </c>
      <c r="AP309" s="161">
        <f t="shared" si="222"/>
        <v>128001.3962297765</v>
      </c>
      <c r="AQ309" s="162">
        <f t="shared" si="223"/>
        <v>25600.279245955302</v>
      </c>
      <c r="AR309" s="580">
        <f t="shared" si="224"/>
        <v>3.6530078832698774</v>
      </c>
      <c r="AS309" s="582">
        <f t="shared" si="225"/>
        <v>3.6530078832698774</v>
      </c>
      <c r="AT309" s="588"/>
      <c r="AU309" s="166"/>
      <c r="AV309" s="167"/>
      <c r="AW309" s="146"/>
      <c r="AX309" s="168"/>
    </row>
    <row r="310" spans="1:50" s="139" customFormat="1" ht="11.25" x14ac:dyDescent="0.25">
      <c r="A310" s="140">
        <v>26</v>
      </c>
      <c r="B310" s="339" t="s">
        <v>342</v>
      </c>
      <c r="C310" s="142"/>
      <c r="D310" s="143"/>
      <c r="E310" s="143"/>
      <c r="F310" s="143"/>
      <c r="G310" s="143"/>
      <c r="H310" s="143"/>
      <c r="I310" s="143"/>
      <c r="J310" s="143"/>
      <c r="K310" s="143"/>
      <c r="L310" s="143"/>
      <c r="M310" s="222"/>
      <c r="N310" s="222">
        <v>178467</v>
      </c>
      <c r="O310" s="145"/>
      <c r="P310" s="223">
        <f t="shared" si="215"/>
        <v>178467</v>
      </c>
      <c r="Q310" s="147">
        <f>P310*$Q$8</f>
        <v>19631.37</v>
      </c>
      <c r="R310" s="147">
        <f t="shared" si="217"/>
        <v>53.78457534246575</v>
      </c>
      <c r="S310" s="148">
        <f>R310*$S$3*$S$8</f>
        <v>11778.821999999998</v>
      </c>
      <c r="T310" s="199"/>
      <c r="U310" s="150"/>
      <c r="V310" s="151"/>
      <c r="W310" s="151"/>
      <c r="X310" s="152"/>
      <c r="Y310" s="153"/>
      <c r="Z310" s="153"/>
      <c r="AA310" s="154"/>
      <c r="AB310" s="155">
        <f>S310*$AB$3</f>
        <v>6831.7167599999984</v>
      </c>
      <c r="AC310" s="156">
        <f>S310*$AC$3</f>
        <v>1531.2468599999997</v>
      </c>
      <c r="AD310" s="156">
        <f>S310*$AD$3</f>
        <v>1033.5916304999998</v>
      </c>
      <c r="AE310" s="156">
        <f>S310*$AE$3</f>
        <v>471.15287999999993</v>
      </c>
      <c r="AF310" s="156">
        <f>S310*$AF$3</f>
        <v>235.57643999999996</v>
      </c>
      <c r="AG310" s="156">
        <f>S310*$AG$3</f>
        <v>235.57643999999996</v>
      </c>
      <c r="AH310" s="156">
        <f>S310*$AH$3</f>
        <v>117.78821999999998</v>
      </c>
      <c r="AI310" s="156">
        <f>S310*$AI$3</f>
        <v>235.57643999999996</v>
      </c>
      <c r="AJ310" s="156">
        <f>S310*$AJ$3</f>
        <v>235.57643999999996</v>
      </c>
      <c r="AK310" s="156">
        <f>S310*$AK$3</f>
        <v>824.51753999999994</v>
      </c>
      <c r="AL310" s="157">
        <f t="shared" si="219"/>
        <v>3624.932470499999</v>
      </c>
      <c r="AM310" s="158">
        <f t="shared" si="220"/>
        <v>2200</v>
      </c>
      <c r="AN310" s="159">
        <v>0.2</v>
      </c>
      <c r="AO310" s="160">
        <f t="shared" si="221"/>
        <v>96315777.796166256</v>
      </c>
      <c r="AP310" s="161">
        <f t="shared" si="222"/>
        <v>26754.384861507911</v>
      </c>
      <c r="AQ310" s="162">
        <f t="shared" si="223"/>
        <v>5350.876972301583</v>
      </c>
      <c r="AR310" s="580">
        <f t="shared" si="224"/>
        <v>0.76353838075079661</v>
      </c>
      <c r="AS310" s="582">
        <f t="shared" si="225"/>
        <v>0.76353838075079661</v>
      </c>
      <c r="AT310" s="588"/>
      <c r="AU310" s="166"/>
      <c r="AV310" s="167"/>
      <c r="AW310" s="146"/>
      <c r="AX310" s="168"/>
    </row>
    <row r="311" spans="1:50" s="190" customFormat="1" ht="11.25" x14ac:dyDescent="0.25">
      <c r="A311" s="120"/>
      <c r="B311" s="121" t="s">
        <v>343</v>
      </c>
      <c r="C311" s="240">
        <f t="shared" ref="C311:T311" si="226">SUM(C285:C310)</f>
        <v>0</v>
      </c>
      <c r="D311" s="240">
        <f t="shared" si="226"/>
        <v>0</v>
      </c>
      <c r="E311" s="240">
        <f t="shared" si="226"/>
        <v>0</v>
      </c>
      <c r="F311" s="240">
        <f t="shared" si="226"/>
        <v>0</v>
      </c>
      <c r="G311" s="240">
        <f t="shared" si="226"/>
        <v>0</v>
      </c>
      <c r="H311" s="240">
        <f t="shared" si="226"/>
        <v>0</v>
      </c>
      <c r="I311" s="240">
        <f t="shared" si="226"/>
        <v>0</v>
      </c>
      <c r="J311" s="240">
        <f t="shared" si="226"/>
        <v>0</v>
      </c>
      <c r="K311" s="240">
        <f t="shared" si="226"/>
        <v>0</v>
      </c>
      <c r="L311" s="240">
        <f t="shared" si="226"/>
        <v>0</v>
      </c>
      <c r="M311" s="240">
        <f t="shared" si="226"/>
        <v>0</v>
      </c>
      <c r="N311" s="240">
        <f t="shared" si="226"/>
        <v>43867447</v>
      </c>
      <c r="O311" s="240">
        <f t="shared" si="226"/>
        <v>0</v>
      </c>
      <c r="P311" s="240">
        <f t="shared" si="226"/>
        <v>43867447</v>
      </c>
      <c r="Q311" s="240">
        <f t="shared" si="226"/>
        <v>9775528.4010000005</v>
      </c>
      <c r="R311" s="240">
        <f t="shared" si="226"/>
        <v>26782.269591780827</v>
      </c>
      <c r="S311" s="240">
        <f t="shared" si="226"/>
        <v>8628361.6990999989</v>
      </c>
      <c r="T311" s="199">
        <f t="shared" si="226"/>
        <v>0</v>
      </c>
      <c r="U311" s="241"/>
      <c r="V311" s="242">
        <f>SUM(V285:V310)</f>
        <v>0</v>
      </c>
      <c r="W311" s="242">
        <f>SUM(W285:W310)</f>
        <v>0</v>
      </c>
      <c r="X311" s="242">
        <f>SUM(X285:X310)</f>
        <v>0</v>
      </c>
      <c r="Y311" s="199"/>
      <c r="Z311" s="199"/>
      <c r="AA311" s="243"/>
      <c r="AB311" s="240">
        <f t="shared" ref="AB311:AL311" si="227">SUM(AB285:AB310)</f>
        <v>5004449.7854779977</v>
      </c>
      <c r="AC311" s="244">
        <f t="shared" si="227"/>
        <v>1121687.0208829998</v>
      </c>
      <c r="AD311" s="244">
        <f t="shared" si="227"/>
        <v>757138.73909602489</v>
      </c>
      <c r="AE311" s="244">
        <f t="shared" si="227"/>
        <v>345134.46796399989</v>
      </c>
      <c r="AF311" s="244">
        <f t="shared" si="227"/>
        <v>172567.23398199995</v>
      </c>
      <c r="AG311" s="244">
        <f t="shared" si="227"/>
        <v>172567.23398199995</v>
      </c>
      <c r="AH311" s="244">
        <f t="shared" si="227"/>
        <v>86283.616990999973</v>
      </c>
      <c r="AI311" s="244">
        <f t="shared" si="227"/>
        <v>172567.23398199995</v>
      </c>
      <c r="AJ311" s="244">
        <f t="shared" si="227"/>
        <v>172567.23398199995</v>
      </c>
      <c r="AK311" s="244">
        <f t="shared" si="227"/>
        <v>603985.31893699989</v>
      </c>
      <c r="AL311" s="245">
        <f t="shared" si="227"/>
        <v>2655378.3128980245</v>
      </c>
      <c r="AM311" s="158"/>
      <c r="AN311" s="183"/>
      <c r="AO311" s="184">
        <f>SUM(AO285:AO310)</f>
        <v>70554370221.017609</v>
      </c>
      <c r="AP311" s="184">
        <f>SUM(AP285:AP310)</f>
        <v>19598437.740379792</v>
      </c>
      <c r="AQ311" s="184">
        <f>SUM(AQ285:AQ310)</f>
        <v>3919687.5480759572</v>
      </c>
      <c r="AR311" s="186">
        <f>SUM(AR285:AR310)</f>
        <v>559.316145558784</v>
      </c>
      <c r="AS311" s="435">
        <f>SUM(AS285:AS310)</f>
        <v>559.316145558784</v>
      </c>
      <c r="AT311" s="589"/>
      <c r="AU311" s="246">
        <f>SUM(AU289:AU310)</f>
        <v>0</v>
      </c>
      <c r="AV311" s="246"/>
      <c r="AW311" s="185">
        <f>SUM(AW289:AW310)</f>
        <v>0</v>
      </c>
      <c r="AX311" s="189"/>
    </row>
    <row r="312" spans="1:50" x14ac:dyDescent="0.25">
      <c r="AS312" s="592"/>
    </row>
    <row r="313" spans="1:50" s="139" customFormat="1" ht="11.25" x14ac:dyDescent="0.25">
      <c r="A313" s="120"/>
      <c r="B313" s="121" t="s">
        <v>344</v>
      </c>
      <c r="C313" s="122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213"/>
      <c r="P313" s="76"/>
      <c r="Q313" s="108"/>
      <c r="R313" s="108"/>
      <c r="S313" s="94"/>
      <c r="T313" s="199"/>
      <c r="U313" s="179"/>
      <c r="V313" s="180"/>
      <c r="W313" s="180"/>
      <c r="X313" s="214"/>
      <c r="Y313" s="181"/>
      <c r="Z313" s="181"/>
      <c r="AA313" s="182"/>
      <c r="AB313" s="62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125"/>
      <c r="AM313" s="75"/>
      <c r="AN313" s="216"/>
      <c r="AO313" s="75"/>
      <c r="AP313" s="51"/>
      <c r="AQ313" s="217"/>
      <c r="AR313" s="583"/>
      <c r="AS313" s="584"/>
      <c r="AT313" s="587"/>
      <c r="AU313" s="135"/>
      <c r="AV313" s="136"/>
      <c r="AW313" s="137"/>
      <c r="AX313" s="138"/>
    </row>
    <row r="314" spans="1:50" s="139" customFormat="1" ht="11.25" x14ac:dyDescent="0.25">
      <c r="A314" s="140">
        <v>1</v>
      </c>
      <c r="B314" s="340" t="s">
        <v>345</v>
      </c>
      <c r="C314" s="142"/>
      <c r="D314" s="143"/>
      <c r="E314" s="143"/>
      <c r="F314" s="143"/>
      <c r="G314" s="143"/>
      <c r="H314" s="143"/>
      <c r="I314" s="143"/>
      <c r="J314" s="143"/>
      <c r="K314" s="143"/>
      <c r="L314" s="143"/>
      <c r="M314" s="222"/>
      <c r="N314" s="222">
        <v>1642107</v>
      </c>
      <c r="O314" s="145"/>
      <c r="P314" s="223">
        <f>MAX(C314:O314)</f>
        <v>1642107</v>
      </c>
      <c r="Q314" s="147">
        <f>P314*$Q$5</f>
        <v>389179.359</v>
      </c>
      <c r="R314" s="147">
        <f t="shared" ref="R314:R348" si="228">Q314/$R$3</f>
        <v>1066.2448191780823</v>
      </c>
      <c r="S314" s="148">
        <f>R314*$S$3*$S$5</f>
        <v>350261.42310000001</v>
      </c>
      <c r="T314" s="199"/>
      <c r="U314" s="150"/>
      <c r="V314" s="151"/>
      <c r="W314" s="151"/>
      <c r="X314" s="152"/>
      <c r="Y314" s="153"/>
      <c r="Z314" s="153"/>
      <c r="AA314" s="154"/>
      <c r="AB314" s="155">
        <f>S314*$AB$3</f>
        <v>203151.625398</v>
      </c>
      <c r="AC314" s="156">
        <f>S314*$AC$3</f>
        <v>45533.985003000002</v>
      </c>
      <c r="AD314" s="156">
        <f>S314*$AD$3</f>
        <v>30735.439877025001</v>
      </c>
      <c r="AE314" s="156">
        <f>S314*$AE$3</f>
        <v>14010.456924</v>
      </c>
      <c r="AF314" s="156">
        <f>S314*$AF$3</f>
        <v>7005.228462</v>
      </c>
      <c r="AG314" s="156">
        <f>S314*$AG$3</f>
        <v>7005.228462</v>
      </c>
      <c r="AH314" s="156">
        <f>S314*$AH$3</f>
        <v>3502.614231</v>
      </c>
      <c r="AI314" s="156">
        <f>S314*$AI$3</f>
        <v>7005.228462</v>
      </c>
      <c r="AJ314" s="156">
        <f>S314*$AJ$3</f>
        <v>7005.228462</v>
      </c>
      <c r="AK314" s="156">
        <f>S314*$AK$3</f>
        <v>24518.299617000004</v>
      </c>
      <c r="AL314" s="157">
        <f t="shared" ref="AL314:AL348" si="229">SUM(AC314:AH314)</f>
        <v>107792.952959025</v>
      </c>
      <c r="AM314" s="158">
        <f t="shared" ref="AM314:AM348" si="230">$AM$3</f>
        <v>2200</v>
      </c>
      <c r="AN314" s="159">
        <v>0.2</v>
      </c>
      <c r="AO314" s="160">
        <f t="shared" ref="AO314:AO348" si="231">(AB314+AL314)*AM314*$AO$3</f>
        <v>2864098073.4634228</v>
      </c>
      <c r="AP314" s="161">
        <f t="shared" ref="AP314:AP348" si="232">AO314*$AP$3</f>
        <v>795582.86183090799</v>
      </c>
      <c r="AQ314" s="162">
        <f t="shared" ref="AQ314:AQ348" si="233">AP314*$AQ$3</f>
        <v>159116.57236618162</v>
      </c>
      <c r="AR314" s="580">
        <f t="shared" ref="AR314:AR348" si="234">AQ314/$AR$3</f>
        <v>22.704990349055596</v>
      </c>
      <c r="AS314" s="582">
        <f t="shared" ref="AS314:AS348" si="235">AR314</f>
        <v>22.704990349055596</v>
      </c>
      <c r="AT314" s="588"/>
      <c r="AU314" s="166"/>
      <c r="AV314" s="167"/>
      <c r="AW314" s="146"/>
      <c r="AX314" s="168"/>
    </row>
    <row r="315" spans="1:50" s="139" customFormat="1" ht="11.25" x14ac:dyDescent="0.25">
      <c r="A315" s="140">
        <v>2</v>
      </c>
      <c r="B315" s="340" t="s">
        <v>346</v>
      </c>
      <c r="C315" s="142"/>
      <c r="D315" s="143"/>
      <c r="E315" s="143"/>
      <c r="F315" s="143"/>
      <c r="G315" s="143"/>
      <c r="H315" s="143"/>
      <c r="I315" s="143"/>
      <c r="J315" s="143"/>
      <c r="K315" s="143"/>
      <c r="L315" s="143"/>
      <c r="M315" s="222"/>
      <c r="N315" s="222">
        <v>1554527</v>
      </c>
      <c r="O315" s="145"/>
      <c r="P315" s="223">
        <f t="shared" ref="P315:P348" si="236">MAX(C315:O315)</f>
        <v>1554527</v>
      </c>
      <c r="Q315" s="147">
        <f>P315*$Q$5</f>
        <v>368422.89899999998</v>
      </c>
      <c r="R315" s="147">
        <f t="shared" si="228"/>
        <v>1009.377805479452</v>
      </c>
      <c r="S315" s="148">
        <f>R315*$S$3*$S$5</f>
        <v>331580.6091</v>
      </c>
      <c r="T315" s="199"/>
      <c r="U315" s="150"/>
      <c r="V315" s="151"/>
      <c r="W315" s="151"/>
      <c r="X315" s="152"/>
      <c r="Y315" s="153"/>
      <c r="Z315" s="153"/>
      <c r="AA315" s="154"/>
      <c r="AB315" s="155">
        <f>S315*$AB$3</f>
        <v>192316.75327799999</v>
      </c>
      <c r="AC315" s="156">
        <f>S315*$AC$3</f>
        <v>43105.479183000003</v>
      </c>
      <c r="AD315" s="156">
        <f>S315*$AD$3</f>
        <v>29096.198448525</v>
      </c>
      <c r="AE315" s="156">
        <f>S315*$AE$3</f>
        <v>13263.224364</v>
      </c>
      <c r="AF315" s="156">
        <f>S315*$AF$3</f>
        <v>6631.6121819999998</v>
      </c>
      <c r="AG315" s="156">
        <f>S315*$AG$3</f>
        <v>6631.6121819999998</v>
      </c>
      <c r="AH315" s="156">
        <f>S315*$AH$3</f>
        <v>3315.8060909999999</v>
      </c>
      <c r="AI315" s="156">
        <f>S315*$AI$3</f>
        <v>6631.6121819999998</v>
      </c>
      <c r="AJ315" s="156">
        <f>S315*$AJ$3</f>
        <v>6631.6121819999998</v>
      </c>
      <c r="AK315" s="156">
        <f>S315*$AK$3</f>
        <v>23210.642637000001</v>
      </c>
      <c r="AL315" s="157">
        <f t="shared" si="229"/>
        <v>102043.932450525</v>
      </c>
      <c r="AM315" s="158">
        <f t="shared" si="230"/>
        <v>2200</v>
      </c>
      <c r="AN315" s="159">
        <v>0.2</v>
      </c>
      <c r="AO315" s="160">
        <f t="shared" si="231"/>
        <v>2711344501.8180141</v>
      </c>
      <c r="AP315" s="161">
        <f t="shared" si="232"/>
        <v>753151.31075710396</v>
      </c>
      <c r="AQ315" s="162">
        <f t="shared" si="233"/>
        <v>150630.26215142079</v>
      </c>
      <c r="AR315" s="580">
        <f t="shared" si="234"/>
        <v>21.494044256766664</v>
      </c>
      <c r="AS315" s="582">
        <f t="shared" si="235"/>
        <v>21.494044256766664</v>
      </c>
      <c r="AT315" s="588"/>
      <c r="AU315" s="166"/>
      <c r="AV315" s="167"/>
      <c r="AW315" s="146"/>
      <c r="AX315" s="168"/>
    </row>
    <row r="316" spans="1:50" s="139" customFormat="1" ht="11.25" x14ac:dyDescent="0.25">
      <c r="A316" s="140">
        <v>3</v>
      </c>
      <c r="B316" s="340" t="s">
        <v>347</v>
      </c>
      <c r="C316" s="142"/>
      <c r="D316" s="143"/>
      <c r="E316" s="143"/>
      <c r="F316" s="143"/>
      <c r="G316" s="143"/>
      <c r="H316" s="143"/>
      <c r="I316" s="143"/>
      <c r="J316" s="143"/>
      <c r="K316" s="143"/>
      <c r="L316" s="143"/>
      <c r="M316" s="222"/>
      <c r="N316" s="222">
        <v>848952</v>
      </c>
      <c r="O316" s="145"/>
      <c r="P316" s="223">
        <f t="shared" si="236"/>
        <v>848952</v>
      </c>
      <c r="Q316" s="147">
        <f>P316*$Q$7</f>
        <v>123946.992</v>
      </c>
      <c r="R316" s="147">
        <f t="shared" si="228"/>
        <v>339.58080000000001</v>
      </c>
      <c r="S316" s="148">
        <f>R316*$S$3*$S$7</f>
        <v>86762.89439999999</v>
      </c>
      <c r="T316" s="199"/>
      <c r="U316" s="150"/>
      <c r="V316" s="151"/>
      <c r="W316" s="151"/>
      <c r="X316" s="152"/>
      <c r="Y316" s="153"/>
      <c r="Z316" s="153"/>
      <c r="AA316" s="154"/>
      <c r="AB316" s="155">
        <f>S316*$AB$3</f>
        <v>50322.478751999988</v>
      </c>
      <c r="AC316" s="156">
        <f>S316*$AC$3</f>
        <v>11279.176271999999</v>
      </c>
      <c r="AD316" s="156">
        <f>S316*$AD$3</f>
        <v>7613.4439835999983</v>
      </c>
      <c r="AE316" s="156">
        <f>S316*$AE$3</f>
        <v>3470.5157759999997</v>
      </c>
      <c r="AF316" s="156">
        <f>S316*$AF$3</f>
        <v>1735.2578879999999</v>
      </c>
      <c r="AG316" s="156">
        <f>S316*$AG$3</f>
        <v>1735.2578879999999</v>
      </c>
      <c r="AH316" s="156">
        <f>S316*$AH$3</f>
        <v>867.62894399999993</v>
      </c>
      <c r="AI316" s="156">
        <f>S316*$AI$3</f>
        <v>1735.2578879999999</v>
      </c>
      <c r="AJ316" s="156">
        <f>S316*$AJ$3</f>
        <v>1735.2578879999999</v>
      </c>
      <c r="AK316" s="156">
        <f>S316*$AK$3</f>
        <v>6073.4026080000003</v>
      </c>
      <c r="AL316" s="157">
        <f t="shared" si="229"/>
        <v>26701.280751599999</v>
      </c>
      <c r="AM316" s="158">
        <f t="shared" si="230"/>
        <v>2200</v>
      </c>
      <c r="AN316" s="159">
        <v>0.2</v>
      </c>
      <c r="AO316" s="160">
        <f t="shared" si="231"/>
        <v>709462767.83727932</v>
      </c>
      <c r="AP316" s="161">
        <f t="shared" si="232"/>
        <v>197073.00683175022</v>
      </c>
      <c r="AQ316" s="162">
        <f t="shared" si="233"/>
        <v>39414.601366350049</v>
      </c>
      <c r="AR316" s="580">
        <f t="shared" si="234"/>
        <v>5.6242296470248361</v>
      </c>
      <c r="AS316" s="582">
        <f t="shared" si="235"/>
        <v>5.6242296470248361</v>
      </c>
      <c r="AT316" s="588"/>
      <c r="AU316" s="166"/>
      <c r="AV316" s="167"/>
      <c r="AW316" s="146"/>
      <c r="AX316" s="168"/>
    </row>
    <row r="317" spans="1:50" s="139" customFormat="1" ht="11.25" x14ac:dyDescent="0.25">
      <c r="A317" s="140">
        <v>4</v>
      </c>
      <c r="B317" s="340" t="s">
        <v>348</v>
      </c>
      <c r="C317" s="142"/>
      <c r="D317" s="143"/>
      <c r="E317" s="143"/>
      <c r="F317" s="143"/>
      <c r="G317" s="143"/>
      <c r="H317" s="143"/>
      <c r="I317" s="143"/>
      <c r="J317" s="143"/>
      <c r="K317" s="143"/>
      <c r="L317" s="143"/>
      <c r="M317" s="222"/>
      <c r="N317" s="222">
        <v>868913</v>
      </c>
      <c r="O317" s="145"/>
      <c r="P317" s="223">
        <f t="shared" si="236"/>
        <v>868913</v>
      </c>
      <c r="Q317" s="147">
        <f>P317*$Q$7</f>
        <v>126861.298</v>
      </c>
      <c r="R317" s="147">
        <f t="shared" si="228"/>
        <v>347.5652</v>
      </c>
      <c r="S317" s="148">
        <f>R317*$S$3*$S$7</f>
        <v>88802.908599999995</v>
      </c>
      <c r="T317" s="199"/>
      <c r="U317" s="150"/>
      <c r="V317" s="151"/>
      <c r="W317" s="151"/>
      <c r="X317" s="152"/>
      <c r="Y317" s="153"/>
      <c r="Z317" s="153"/>
      <c r="AA317" s="154"/>
      <c r="AB317" s="155">
        <f>S317*$AB$3</f>
        <v>51505.686987999994</v>
      </c>
      <c r="AC317" s="156">
        <f>S317*$AC$3</f>
        <v>11544.378118000001</v>
      </c>
      <c r="AD317" s="156">
        <f>S317*$AD$3</f>
        <v>7792.4552296499987</v>
      </c>
      <c r="AE317" s="156">
        <f>S317*$AE$3</f>
        <v>3552.116344</v>
      </c>
      <c r="AF317" s="156">
        <f>S317*$AF$3</f>
        <v>1776.058172</v>
      </c>
      <c r="AG317" s="156">
        <f>S317*$AG$3</f>
        <v>1776.058172</v>
      </c>
      <c r="AH317" s="156">
        <f>S317*$AH$3</f>
        <v>888.02908600000001</v>
      </c>
      <c r="AI317" s="156">
        <f>S317*$AI$3</f>
        <v>1776.058172</v>
      </c>
      <c r="AJ317" s="156">
        <f>S317*$AJ$3</f>
        <v>1776.058172</v>
      </c>
      <c r="AK317" s="156">
        <f>S317*$AK$3</f>
        <v>6216.2036020000005</v>
      </c>
      <c r="AL317" s="157">
        <f t="shared" si="229"/>
        <v>27329.09512165</v>
      </c>
      <c r="AM317" s="158">
        <f t="shared" si="230"/>
        <v>2200</v>
      </c>
      <c r="AN317" s="159">
        <v>0.2</v>
      </c>
      <c r="AO317" s="160">
        <f t="shared" si="231"/>
        <v>726144024.62070167</v>
      </c>
      <c r="AP317" s="161">
        <f t="shared" si="232"/>
        <v>201706.68964228433</v>
      </c>
      <c r="AQ317" s="162">
        <f t="shared" si="233"/>
        <v>40341.337928456865</v>
      </c>
      <c r="AR317" s="580">
        <f t="shared" si="234"/>
        <v>5.7564694532615386</v>
      </c>
      <c r="AS317" s="582">
        <f t="shared" si="235"/>
        <v>5.7564694532615386</v>
      </c>
      <c r="AT317" s="588"/>
      <c r="AU317" s="166"/>
      <c r="AV317" s="167"/>
      <c r="AW317" s="146"/>
      <c r="AX317" s="168"/>
    </row>
    <row r="318" spans="1:50" s="139" customFormat="1" ht="11.25" x14ac:dyDescent="0.25">
      <c r="A318" s="140">
        <v>5</v>
      </c>
      <c r="B318" s="341" t="s">
        <v>349</v>
      </c>
      <c r="C318" s="142"/>
      <c r="D318" s="143"/>
      <c r="E318" s="143"/>
      <c r="F318" s="143"/>
      <c r="G318" s="143"/>
      <c r="H318" s="143"/>
      <c r="I318" s="143"/>
      <c r="J318" s="143"/>
      <c r="K318" s="143"/>
      <c r="L318" s="143"/>
      <c r="M318" s="222"/>
      <c r="N318" s="222">
        <v>1159926</v>
      </c>
      <c r="O318" s="145"/>
      <c r="P318" s="223">
        <f t="shared" si="236"/>
        <v>1159926</v>
      </c>
      <c r="Q318" s="147">
        <f>P318*$Q$6</f>
        <v>190227.864</v>
      </c>
      <c r="R318" s="147">
        <f t="shared" si="228"/>
        <v>521.17223013698629</v>
      </c>
      <c r="S318" s="148">
        <f>R318*$S$3*$S$6</f>
        <v>152182.29120000001</v>
      </c>
      <c r="T318" s="199"/>
      <c r="U318" s="150"/>
      <c r="V318" s="151"/>
      <c r="W318" s="151"/>
      <c r="X318" s="152"/>
      <c r="Y318" s="153"/>
      <c r="Z318" s="153"/>
      <c r="AA318" s="154"/>
      <c r="AB318" s="155">
        <f>S318*$AB$3</f>
        <v>88265.728896000001</v>
      </c>
      <c r="AC318" s="156">
        <f>S318*$AC$3</f>
        <v>19783.697856000003</v>
      </c>
      <c r="AD318" s="156">
        <f>S318*$AD$3</f>
        <v>13353.996052799999</v>
      </c>
      <c r="AE318" s="156">
        <f>S318*$AE$3</f>
        <v>6087.2916480000004</v>
      </c>
      <c r="AF318" s="156">
        <f>S318*$AF$3</f>
        <v>3043.6458240000002</v>
      </c>
      <c r="AG318" s="156">
        <f>S318*$AG$3</f>
        <v>3043.6458240000002</v>
      </c>
      <c r="AH318" s="156">
        <f>S318*$AH$3</f>
        <v>1521.8229120000001</v>
      </c>
      <c r="AI318" s="156">
        <f>S318*$AI$3</f>
        <v>3043.6458240000002</v>
      </c>
      <c r="AJ318" s="156">
        <f>S318*$AJ$3</f>
        <v>3043.6458240000002</v>
      </c>
      <c r="AK318" s="156">
        <f>S318*$AK$3</f>
        <v>10652.760384000001</v>
      </c>
      <c r="AL318" s="157">
        <f t="shared" si="229"/>
        <v>46834.1001168</v>
      </c>
      <c r="AM318" s="158">
        <f t="shared" si="230"/>
        <v>2200</v>
      </c>
      <c r="AN318" s="159">
        <v>0.2</v>
      </c>
      <c r="AO318" s="160">
        <f t="shared" si="231"/>
        <v>1244399121.0437405</v>
      </c>
      <c r="AP318" s="161">
        <f t="shared" si="232"/>
        <v>345666.45016546396</v>
      </c>
      <c r="AQ318" s="162">
        <f t="shared" si="233"/>
        <v>69133.290033092795</v>
      </c>
      <c r="AR318" s="580">
        <f t="shared" si="234"/>
        <v>9.8649101074618706</v>
      </c>
      <c r="AS318" s="582">
        <f t="shared" si="235"/>
        <v>9.8649101074618706</v>
      </c>
      <c r="AT318" s="588"/>
      <c r="AU318" s="166"/>
      <c r="AV318" s="167"/>
      <c r="AW318" s="146"/>
      <c r="AX318" s="168"/>
    </row>
    <row r="319" spans="1:50" s="139" customFormat="1" ht="11.25" x14ac:dyDescent="0.25">
      <c r="A319" s="140">
        <v>6</v>
      </c>
      <c r="B319" s="342" t="s">
        <v>350</v>
      </c>
      <c r="C319" s="142"/>
      <c r="D319" s="143"/>
      <c r="E319" s="143"/>
      <c r="F319" s="143"/>
      <c r="G319" s="143"/>
      <c r="H319" s="143"/>
      <c r="I319" s="143"/>
      <c r="J319" s="143"/>
      <c r="K319" s="143"/>
      <c r="L319" s="143"/>
      <c r="M319" s="222"/>
      <c r="N319" s="222">
        <v>695427</v>
      </c>
      <c r="O319" s="145"/>
      <c r="P319" s="223">
        <f t="shared" si="236"/>
        <v>695427</v>
      </c>
      <c r="Q319" s="147">
        <f>P319*$Q$7</f>
        <v>101532.34199999999</v>
      </c>
      <c r="R319" s="147">
        <f t="shared" si="228"/>
        <v>278.17079999999999</v>
      </c>
      <c r="S319" s="148">
        <f>R319*$S$3*$S$7</f>
        <v>71072.639399999985</v>
      </c>
      <c r="T319" s="199"/>
      <c r="U319" s="150"/>
      <c r="V319" s="151"/>
      <c r="W319" s="151"/>
      <c r="X319" s="152"/>
      <c r="Y319" s="153"/>
      <c r="Z319" s="153"/>
      <c r="AA319" s="154"/>
      <c r="AB319" s="155">
        <f>S319*$AB$3</f>
        <v>41222.130851999987</v>
      </c>
      <c r="AC319" s="156">
        <f>S319*$AC$3</f>
        <v>9239.4431219999988</v>
      </c>
      <c r="AD319" s="156">
        <f>S319*$AD$3</f>
        <v>6236.6241073499987</v>
      </c>
      <c r="AE319" s="156">
        <f>S319*$AE$3</f>
        <v>2842.9055759999997</v>
      </c>
      <c r="AF319" s="156">
        <f>S319*$AF$3</f>
        <v>1421.4527879999998</v>
      </c>
      <c r="AG319" s="156">
        <f>S319*$AG$3</f>
        <v>1421.4527879999998</v>
      </c>
      <c r="AH319" s="156">
        <f>S319*$AH$3</f>
        <v>710.72639399999991</v>
      </c>
      <c r="AI319" s="156">
        <f>S319*$AI$3</f>
        <v>1421.4527879999998</v>
      </c>
      <c r="AJ319" s="156">
        <f>S319*$AJ$3</f>
        <v>1421.4527879999998</v>
      </c>
      <c r="AK319" s="156">
        <f>S319*$AK$3</f>
        <v>4975.0847579999991</v>
      </c>
      <c r="AL319" s="157">
        <f t="shared" si="229"/>
        <v>21872.604775349995</v>
      </c>
      <c r="AM319" s="158">
        <f t="shared" si="230"/>
        <v>2200</v>
      </c>
      <c r="AN319" s="159">
        <v>0.2</v>
      </c>
      <c r="AO319" s="160">
        <f t="shared" si="231"/>
        <v>581163086.07409561</v>
      </c>
      <c r="AP319" s="161">
        <f t="shared" si="232"/>
        <v>161434.20349087293</v>
      </c>
      <c r="AQ319" s="162">
        <f t="shared" si="233"/>
        <v>32286.840698174587</v>
      </c>
      <c r="AR319" s="580">
        <f t="shared" si="234"/>
        <v>4.6071405105842729</v>
      </c>
      <c r="AS319" s="582">
        <f t="shared" si="235"/>
        <v>4.6071405105842729</v>
      </c>
      <c r="AT319" s="588"/>
      <c r="AU319" s="166"/>
      <c r="AV319" s="167"/>
      <c r="AW319" s="146"/>
      <c r="AX319" s="168"/>
    </row>
    <row r="320" spans="1:50" s="139" customFormat="1" ht="11.25" x14ac:dyDescent="0.25">
      <c r="A320" s="140">
        <v>7</v>
      </c>
      <c r="B320" s="342" t="s">
        <v>351</v>
      </c>
      <c r="C320" s="142"/>
      <c r="D320" s="143"/>
      <c r="E320" s="143"/>
      <c r="F320" s="143"/>
      <c r="G320" s="143"/>
      <c r="H320" s="143"/>
      <c r="I320" s="143"/>
      <c r="J320" s="143"/>
      <c r="K320" s="143"/>
      <c r="L320" s="143"/>
      <c r="M320" s="222"/>
      <c r="N320" s="222">
        <v>754883</v>
      </c>
      <c r="O320" s="145"/>
      <c r="P320" s="223">
        <f t="shared" si="236"/>
        <v>754883</v>
      </c>
      <c r="Q320" s="147">
        <f>P320*$Q$7</f>
        <v>110212.91799999999</v>
      </c>
      <c r="R320" s="147">
        <f t="shared" si="228"/>
        <v>301.95319999999998</v>
      </c>
      <c r="S320" s="148">
        <f>R320*$S$3*$S$7</f>
        <v>77149.042599999986</v>
      </c>
      <c r="T320" s="199"/>
      <c r="U320" s="150"/>
      <c r="V320" s="151"/>
      <c r="W320" s="151"/>
      <c r="X320" s="152"/>
      <c r="Y320" s="153"/>
      <c r="Z320" s="153"/>
      <c r="AA320" s="154"/>
      <c r="AB320" s="155">
        <f>S320*$AB$3</f>
        <v>44746.444707999988</v>
      </c>
      <c r="AC320" s="156">
        <f>S320*$AC$3</f>
        <v>10029.375537999998</v>
      </c>
      <c r="AD320" s="156">
        <f>S320*$AD$3</f>
        <v>6769.8284881499985</v>
      </c>
      <c r="AE320" s="156">
        <f>S320*$AE$3</f>
        <v>3085.9617039999994</v>
      </c>
      <c r="AF320" s="156">
        <f>S320*$AF$3</f>
        <v>1542.9808519999997</v>
      </c>
      <c r="AG320" s="156">
        <f>S320*$AG$3</f>
        <v>1542.9808519999997</v>
      </c>
      <c r="AH320" s="156">
        <f>S320*$AH$3</f>
        <v>771.49042599999984</v>
      </c>
      <c r="AI320" s="156">
        <f>S320*$AI$3</f>
        <v>1542.9808519999997</v>
      </c>
      <c r="AJ320" s="156">
        <f>S320*$AJ$3</f>
        <v>1542.9808519999997</v>
      </c>
      <c r="AK320" s="156">
        <f>S320*$AK$3</f>
        <v>5400.4329819999994</v>
      </c>
      <c r="AL320" s="157">
        <f t="shared" si="229"/>
        <v>23742.617860149996</v>
      </c>
      <c r="AM320" s="158">
        <f t="shared" si="230"/>
        <v>2200</v>
      </c>
      <c r="AN320" s="159">
        <v>0.2</v>
      </c>
      <c r="AO320" s="160">
        <f t="shared" si="231"/>
        <v>630850015.75272679</v>
      </c>
      <c r="AP320" s="161">
        <f t="shared" si="232"/>
        <v>175236.1295057578</v>
      </c>
      <c r="AQ320" s="162">
        <f t="shared" si="233"/>
        <v>35047.225901151563</v>
      </c>
      <c r="AR320" s="580">
        <f t="shared" si="234"/>
        <v>5.0010310932008508</v>
      </c>
      <c r="AS320" s="582">
        <f t="shared" si="235"/>
        <v>5.0010310932008508</v>
      </c>
      <c r="AT320" s="588"/>
      <c r="AU320" s="166"/>
      <c r="AV320" s="167"/>
      <c r="AW320" s="146"/>
      <c r="AX320" s="168"/>
    </row>
    <row r="321" spans="1:50" s="139" customFormat="1" ht="11.25" x14ac:dyDescent="0.25">
      <c r="A321" s="140">
        <v>8</v>
      </c>
      <c r="B321" s="343" t="s">
        <v>352</v>
      </c>
      <c r="C321" s="142"/>
      <c r="D321" s="143"/>
      <c r="E321" s="143"/>
      <c r="F321" s="143"/>
      <c r="G321" s="143"/>
      <c r="H321" s="143"/>
      <c r="I321" s="143"/>
      <c r="J321" s="143"/>
      <c r="K321" s="143"/>
      <c r="L321" s="143"/>
      <c r="M321" s="222"/>
      <c r="N321" s="222">
        <v>1181723</v>
      </c>
      <c r="O321" s="145"/>
      <c r="P321" s="223">
        <f t="shared" si="236"/>
        <v>1181723</v>
      </c>
      <c r="Q321" s="147">
        <f>P321*$Q$6</f>
        <v>193802.57200000001</v>
      </c>
      <c r="R321" s="147">
        <f t="shared" si="228"/>
        <v>530.9659506849315</v>
      </c>
      <c r="S321" s="148">
        <f>R321*$S$3*$S$6</f>
        <v>155042.0576</v>
      </c>
      <c r="T321" s="199"/>
      <c r="U321" s="150"/>
      <c r="V321" s="151"/>
      <c r="W321" s="151"/>
      <c r="X321" s="152"/>
      <c r="Y321" s="153"/>
      <c r="Z321" s="153"/>
      <c r="AA321" s="154"/>
      <c r="AB321" s="155">
        <f>S321*$AB$3</f>
        <v>89924.393407999989</v>
      </c>
      <c r="AC321" s="156">
        <f>S321*$AC$3</f>
        <v>20155.467488000002</v>
      </c>
      <c r="AD321" s="156">
        <f>S321*$AD$3</f>
        <v>13604.940554399998</v>
      </c>
      <c r="AE321" s="156">
        <f>S321*$AE$3</f>
        <v>6201.6823039999999</v>
      </c>
      <c r="AF321" s="156">
        <f>S321*$AF$3</f>
        <v>3100.841152</v>
      </c>
      <c r="AG321" s="156">
        <f>S321*$AG$3</f>
        <v>3100.841152</v>
      </c>
      <c r="AH321" s="156">
        <f>S321*$AH$3</f>
        <v>1550.420576</v>
      </c>
      <c r="AI321" s="156">
        <f>S321*$AI$3</f>
        <v>3100.841152</v>
      </c>
      <c r="AJ321" s="156">
        <f>S321*$AJ$3</f>
        <v>3100.841152</v>
      </c>
      <c r="AK321" s="156">
        <f>S321*$AK$3</f>
        <v>10852.944032000001</v>
      </c>
      <c r="AL321" s="157">
        <f t="shared" si="229"/>
        <v>47714.193226399999</v>
      </c>
      <c r="AM321" s="158">
        <f t="shared" si="230"/>
        <v>2200</v>
      </c>
      <c r="AN321" s="159">
        <v>0.2</v>
      </c>
      <c r="AO321" s="160">
        <f t="shared" si="231"/>
        <v>1267783515.9459927</v>
      </c>
      <c r="AP321" s="161">
        <f t="shared" si="232"/>
        <v>352162.11593574274</v>
      </c>
      <c r="AQ321" s="162">
        <f t="shared" si="233"/>
        <v>70432.423187148554</v>
      </c>
      <c r="AR321" s="580">
        <f t="shared" si="234"/>
        <v>10.050288696796311</v>
      </c>
      <c r="AS321" s="582">
        <f t="shared" si="235"/>
        <v>10.050288696796311</v>
      </c>
      <c r="AT321" s="588"/>
      <c r="AU321" s="166"/>
      <c r="AV321" s="167"/>
      <c r="AW321" s="146"/>
      <c r="AX321" s="168"/>
    </row>
    <row r="322" spans="1:50" s="139" customFormat="1" ht="11.25" x14ac:dyDescent="0.25">
      <c r="A322" s="140">
        <v>9</v>
      </c>
      <c r="B322" s="344" t="s">
        <v>353</v>
      </c>
      <c r="C322" s="142"/>
      <c r="D322" s="143"/>
      <c r="E322" s="143"/>
      <c r="F322" s="143"/>
      <c r="G322" s="143"/>
      <c r="H322" s="143"/>
      <c r="I322" s="143"/>
      <c r="J322" s="143"/>
      <c r="K322" s="143"/>
      <c r="L322" s="143"/>
      <c r="M322" s="222"/>
      <c r="N322" s="222">
        <v>930531</v>
      </c>
      <c r="O322" s="145"/>
      <c r="P322" s="223">
        <f t="shared" si="236"/>
        <v>930531</v>
      </c>
      <c r="Q322" s="147">
        <f>P322*$Q$7</f>
        <v>135857.52599999998</v>
      </c>
      <c r="R322" s="147">
        <f t="shared" si="228"/>
        <v>372.21239999999995</v>
      </c>
      <c r="S322" s="148">
        <f>R322*$S$3*$S$7</f>
        <v>95100.268199999977</v>
      </c>
      <c r="T322" s="199"/>
      <c r="U322" s="150"/>
      <c r="V322" s="151"/>
      <c r="W322" s="151"/>
      <c r="X322" s="152"/>
      <c r="Y322" s="153"/>
      <c r="Z322" s="153"/>
      <c r="AA322" s="154"/>
      <c r="AB322" s="155">
        <f>S322*$AB$3</f>
        <v>55158.155555999983</v>
      </c>
      <c r="AC322" s="156">
        <f>S322*$AC$3</f>
        <v>12363.034865999998</v>
      </c>
      <c r="AD322" s="156">
        <f>S322*$AD$3</f>
        <v>8345.0485345499983</v>
      </c>
      <c r="AE322" s="156">
        <f>S322*$AE$3</f>
        <v>3804.0107279999993</v>
      </c>
      <c r="AF322" s="156">
        <f>S322*$AF$3</f>
        <v>1902.0053639999996</v>
      </c>
      <c r="AG322" s="156">
        <f>S322*$AG$3</f>
        <v>1902.0053639999996</v>
      </c>
      <c r="AH322" s="156">
        <f>S322*$AH$3</f>
        <v>951.00268199999982</v>
      </c>
      <c r="AI322" s="156">
        <f>S322*$AI$3</f>
        <v>1902.0053639999996</v>
      </c>
      <c r="AJ322" s="156">
        <f>S322*$AJ$3</f>
        <v>1902.0053639999996</v>
      </c>
      <c r="AK322" s="156">
        <f>S322*$AK$3</f>
        <v>6657.0187739999992</v>
      </c>
      <c r="AL322" s="157">
        <f t="shared" si="229"/>
        <v>29267.107538549993</v>
      </c>
      <c r="AM322" s="158">
        <f t="shared" si="230"/>
        <v>2200</v>
      </c>
      <c r="AN322" s="159">
        <v>0.2</v>
      </c>
      <c r="AO322" s="160">
        <f t="shared" si="231"/>
        <v>777637721.35337591</v>
      </c>
      <c r="AP322" s="161">
        <f t="shared" si="232"/>
        <v>216010.49543455377</v>
      </c>
      <c r="AQ322" s="162">
        <f t="shared" si="233"/>
        <v>43202.099086910755</v>
      </c>
      <c r="AR322" s="580">
        <f t="shared" si="234"/>
        <v>6.164683088885667</v>
      </c>
      <c r="AS322" s="435">
        <f t="shared" si="235"/>
        <v>6.164683088885667</v>
      </c>
      <c r="AT322" s="589"/>
      <c r="AU322" s="166"/>
      <c r="AV322" s="167"/>
      <c r="AW322" s="146"/>
      <c r="AX322" s="168"/>
    </row>
    <row r="323" spans="1:50" s="139" customFormat="1" ht="11.25" x14ac:dyDescent="0.25">
      <c r="A323" s="140">
        <v>10</v>
      </c>
      <c r="B323" s="344" t="s">
        <v>354</v>
      </c>
      <c r="C323" s="142"/>
      <c r="D323" s="143"/>
      <c r="E323" s="143"/>
      <c r="F323" s="143"/>
      <c r="G323" s="143"/>
      <c r="H323" s="143"/>
      <c r="I323" s="143"/>
      <c r="J323" s="143"/>
      <c r="K323" s="143"/>
      <c r="L323" s="143"/>
      <c r="M323" s="222"/>
      <c r="N323" s="222">
        <v>1130047</v>
      </c>
      <c r="O323" s="145"/>
      <c r="P323" s="223">
        <f t="shared" si="236"/>
        <v>1130047</v>
      </c>
      <c r="Q323" s="147">
        <f>P323*$Q$6</f>
        <v>185327.70800000001</v>
      </c>
      <c r="R323" s="147">
        <f t="shared" si="228"/>
        <v>507.74714520547951</v>
      </c>
      <c r="S323" s="148">
        <f>R323*$S$3*$S$6</f>
        <v>148262.16640000002</v>
      </c>
      <c r="T323" s="199"/>
      <c r="U323" s="150"/>
      <c r="V323" s="151"/>
      <c r="W323" s="151"/>
      <c r="X323" s="152"/>
      <c r="Y323" s="153"/>
      <c r="Z323" s="153"/>
      <c r="AA323" s="154"/>
      <c r="AB323" s="155">
        <f>S323*$AB$3</f>
        <v>85992.05651200001</v>
      </c>
      <c r="AC323" s="156">
        <f>S323*$AC$3</f>
        <v>19274.081632000001</v>
      </c>
      <c r="AD323" s="156">
        <f>S323*$AD$3</f>
        <v>13010.0051016</v>
      </c>
      <c r="AE323" s="156">
        <f>S323*$AE$3</f>
        <v>5930.4866560000009</v>
      </c>
      <c r="AF323" s="156">
        <f>S323*$AF$3</f>
        <v>2965.2433280000005</v>
      </c>
      <c r="AG323" s="156">
        <f>S323*$AG$3</f>
        <v>2965.2433280000005</v>
      </c>
      <c r="AH323" s="156">
        <f>S323*$AH$3</f>
        <v>1482.6216640000002</v>
      </c>
      <c r="AI323" s="156">
        <f>S323*$AI$3</f>
        <v>2965.2433280000005</v>
      </c>
      <c r="AJ323" s="156">
        <f>S323*$AJ$3</f>
        <v>2965.2433280000005</v>
      </c>
      <c r="AK323" s="156">
        <f>S323*$AK$3</f>
        <v>10378.351648000002</v>
      </c>
      <c r="AL323" s="157">
        <f t="shared" si="229"/>
        <v>45627.681709599994</v>
      </c>
      <c r="AM323" s="158">
        <f t="shared" si="230"/>
        <v>2200</v>
      </c>
      <c r="AN323" s="159">
        <v>0.2</v>
      </c>
      <c r="AO323" s="160">
        <f t="shared" si="231"/>
        <v>1212344143.9696288</v>
      </c>
      <c r="AP323" s="161">
        <f t="shared" si="232"/>
        <v>336762.28915476677</v>
      </c>
      <c r="AQ323" s="162">
        <f t="shared" si="233"/>
        <v>67352.457830953354</v>
      </c>
      <c r="AR323" s="580">
        <f t="shared" si="234"/>
        <v>9.6107959233666307</v>
      </c>
      <c r="AS323" s="582">
        <f t="shared" si="235"/>
        <v>9.6107959233666307</v>
      </c>
      <c r="AT323" s="588"/>
      <c r="AU323" s="166"/>
      <c r="AV323" s="167"/>
      <c r="AW323" s="146"/>
      <c r="AX323" s="168"/>
    </row>
    <row r="324" spans="1:50" s="139" customFormat="1" ht="11.25" x14ac:dyDescent="0.25">
      <c r="A324" s="140">
        <v>11</v>
      </c>
      <c r="B324" s="335" t="s">
        <v>355</v>
      </c>
      <c r="C324" s="142"/>
      <c r="D324" s="143"/>
      <c r="E324" s="143"/>
      <c r="F324" s="143"/>
      <c r="G324" s="143"/>
      <c r="H324" s="143"/>
      <c r="I324" s="143"/>
      <c r="J324" s="143"/>
      <c r="K324" s="143"/>
      <c r="L324" s="143"/>
      <c r="M324" s="222"/>
      <c r="N324" s="222">
        <v>824238</v>
      </c>
      <c r="O324" s="145"/>
      <c r="P324" s="223">
        <f t="shared" si="236"/>
        <v>824238</v>
      </c>
      <c r="Q324" s="147">
        <f>P324*$Q$7</f>
        <v>120338.74799999999</v>
      </c>
      <c r="R324" s="147">
        <f t="shared" si="228"/>
        <v>329.6952</v>
      </c>
      <c r="S324" s="148">
        <f>R324*$S$3*$S$7</f>
        <v>84237.123600000006</v>
      </c>
      <c r="T324" s="199"/>
      <c r="U324" s="150"/>
      <c r="V324" s="151"/>
      <c r="W324" s="151"/>
      <c r="X324" s="152"/>
      <c r="Y324" s="153"/>
      <c r="Z324" s="153"/>
      <c r="AA324" s="154"/>
      <c r="AB324" s="155">
        <f>S324*$AB$3</f>
        <v>48857.531688000003</v>
      </c>
      <c r="AC324" s="156">
        <f>S324*$AC$3</f>
        <v>10950.826068</v>
      </c>
      <c r="AD324" s="156">
        <f>S324*$AD$3</f>
        <v>7391.8075958999998</v>
      </c>
      <c r="AE324" s="156">
        <f>S324*$AE$3</f>
        <v>3369.4849440000003</v>
      </c>
      <c r="AF324" s="156">
        <f>S324*$AF$3</f>
        <v>1684.7424720000001</v>
      </c>
      <c r="AG324" s="156">
        <f>S324*$AG$3</f>
        <v>1684.7424720000001</v>
      </c>
      <c r="AH324" s="156">
        <f>S324*$AH$3</f>
        <v>842.37123600000007</v>
      </c>
      <c r="AI324" s="156">
        <f>S324*$AI$3</f>
        <v>1684.7424720000001</v>
      </c>
      <c r="AJ324" s="156">
        <f>S324*$AJ$3</f>
        <v>1684.7424720000001</v>
      </c>
      <c r="AK324" s="156">
        <f>S324*$AK$3</f>
        <v>5896.5986520000006</v>
      </c>
      <c r="AL324" s="157">
        <f t="shared" si="229"/>
        <v>25923.974787900002</v>
      </c>
      <c r="AM324" s="158">
        <f t="shared" si="230"/>
        <v>2200</v>
      </c>
      <c r="AN324" s="159">
        <v>0.2</v>
      </c>
      <c r="AO324" s="160">
        <f t="shared" si="231"/>
        <v>688809464.88925588</v>
      </c>
      <c r="AP324" s="161">
        <f t="shared" si="232"/>
        <v>191335.97777611474</v>
      </c>
      <c r="AQ324" s="162">
        <f t="shared" si="233"/>
        <v>38267.195555222948</v>
      </c>
      <c r="AR324" s="580">
        <f t="shared" si="234"/>
        <v>5.4605016488617224</v>
      </c>
      <c r="AS324" s="582">
        <f t="shared" si="235"/>
        <v>5.4605016488617224</v>
      </c>
      <c r="AT324" s="588"/>
      <c r="AU324" s="166"/>
      <c r="AV324" s="167"/>
      <c r="AW324" s="146"/>
      <c r="AX324" s="168"/>
    </row>
    <row r="325" spans="1:50" s="139" customFormat="1" ht="11.25" x14ac:dyDescent="0.25">
      <c r="A325" s="140">
        <v>12</v>
      </c>
      <c r="B325" s="335" t="s">
        <v>356</v>
      </c>
      <c r="C325" s="142"/>
      <c r="D325" s="143"/>
      <c r="E325" s="143"/>
      <c r="F325" s="143"/>
      <c r="G325" s="143"/>
      <c r="H325" s="143"/>
      <c r="I325" s="143"/>
      <c r="J325" s="143"/>
      <c r="K325" s="143"/>
      <c r="L325" s="143"/>
      <c r="M325" s="222"/>
      <c r="N325" s="222">
        <v>928904</v>
      </c>
      <c r="O325" s="145"/>
      <c r="P325" s="223">
        <f t="shared" si="236"/>
        <v>928904</v>
      </c>
      <c r="Q325" s="147">
        <f>P325*$Q$7</f>
        <v>135619.984</v>
      </c>
      <c r="R325" s="147">
        <f t="shared" si="228"/>
        <v>371.5616</v>
      </c>
      <c r="S325" s="148">
        <f>R325*$S$3*$S$7</f>
        <v>94933.988799999992</v>
      </c>
      <c r="T325" s="199"/>
      <c r="U325" s="150"/>
      <c r="V325" s="151"/>
      <c r="W325" s="151"/>
      <c r="X325" s="152"/>
      <c r="Y325" s="153"/>
      <c r="Z325" s="153"/>
      <c r="AA325" s="154"/>
      <c r="AB325" s="155">
        <f>S325*$AB$3</f>
        <v>55061.713503999992</v>
      </c>
      <c r="AC325" s="156">
        <f>S325*$AC$3</f>
        <v>12341.418544</v>
      </c>
      <c r="AD325" s="156">
        <f>S325*$AD$3</f>
        <v>8330.4575171999986</v>
      </c>
      <c r="AE325" s="156">
        <f>S325*$AE$3</f>
        <v>3797.3595519999999</v>
      </c>
      <c r="AF325" s="156">
        <f>S325*$AF$3</f>
        <v>1898.6797759999999</v>
      </c>
      <c r="AG325" s="156">
        <f>S325*$AG$3</f>
        <v>1898.6797759999999</v>
      </c>
      <c r="AH325" s="156">
        <f>S325*$AH$3</f>
        <v>949.33988799999997</v>
      </c>
      <c r="AI325" s="156">
        <f>S325*$AI$3</f>
        <v>1898.6797759999999</v>
      </c>
      <c r="AJ325" s="156">
        <f>S325*$AJ$3</f>
        <v>1898.6797759999999</v>
      </c>
      <c r="AK325" s="156">
        <f>S325*$AK$3</f>
        <v>6645.3792160000003</v>
      </c>
      <c r="AL325" s="157">
        <f t="shared" si="229"/>
        <v>29215.935053199999</v>
      </c>
      <c r="AM325" s="158">
        <f t="shared" si="230"/>
        <v>2200</v>
      </c>
      <c r="AN325" s="159">
        <v>0.2</v>
      </c>
      <c r="AO325" s="160">
        <f t="shared" si="231"/>
        <v>776278049.75442684</v>
      </c>
      <c r="AP325" s="161">
        <f t="shared" si="232"/>
        <v>215632.80884907523</v>
      </c>
      <c r="AQ325" s="162">
        <f t="shared" si="233"/>
        <v>43126.561769815045</v>
      </c>
      <c r="AR325" s="580">
        <f t="shared" si="234"/>
        <v>6.1539043621311427</v>
      </c>
      <c r="AS325" s="582">
        <f t="shared" si="235"/>
        <v>6.1539043621311427</v>
      </c>
      <c r="AT325" s="588"/>
      <c r="AU325" s="166"/>
      <c r="AV325" s="167"/>
      <c r="AW325" s="146"/>
      <c r="AX325" s="168"/>
    </row>
    <row r="326" spans="1:50" s="139" customFormat="1" ht="11.25" x14ac:dyDescent="0.25">
      <c r="A326" s="140">
        <v>13</v>
      </c>
      <c r="B326" s="335" t="s">
        <v>357</v>
      </c>
      <c r="C326" s="142"/>
      <c r="D326" s="143"/>
      <c r="E326" s="143"/>
      <c r="F326" s="143"/>
      <c r="G326" s="143"/>
      <c r="H326" s="143"/>
      <c r="I326" s="143"/>
      <c r="J326" s="143"/>
      <c r="K326" s="143"/>
      <c r="L326" s="143"/>
      <c r="M326" s="222"/>
      <c r="N326" s="222">
        <v>813196</v>
      </c>
      <c r="O326" s="145"/>
      <c r="P326" s="223">
        <f t="shared" si="236"/>
        <v>813196</v>
      </c>
      <c r="Q326" s="147">
        <f>P326*$Q$7</f>
        <v>118726.61599999999</v>
      </c>
      <c r="R326" s="147">
        <f t="shared" si="228"/>
        <v>325.27839999999998</v>
      </c>
      <c r="S326" s="148">
        <f>R326*$S$3*$S$7</f>
        <v>83108.631199999989</v>
      </c>
      <c r="T326" s="199"/>
      <c r="U326" s="150"/>
      <c r="V326" s="151"/>
      <c r="W326" s="151"/>
      <c r="X326" s="152"/>
      <c r="Y326" s="153"/>
      <c r="Z326" s="153"/>
      <c r="AA326" s="154"/>
      <c r="AB326" s="155">
        <f>S326*$AB$3</f>
        <v>48203.00609599999</v>
      </c>
      <c r="AC326" s="156">
        <f>S326*$AC$3</f>
        <v>10804.122055999998</v>
      </c>
      <c r="AD326" s="156">
        <f>S326*$AD$3</f>
        <v>7292.782387799999</v>
      </c>
      <c r="AE326" s="156">
        <f>S326*$AE$3</f>
        <v>3324.3452479999996</v>
      </c>
      <c r="AF326" s="156">
        <f>S326*$AF$3</f>
        <v>1662.1726239999998</v>
      </c>
      <c r="AG326" s="156">
        <f>S326*$AG$3</f>
        <v>1662.1726239999998</v>
      </c>
      <c r="AH326" s="156">
        <f>S326*$AH$3</f>
        <v>831.08631199999991</v>
      </c>
      <c r="AI326" s="156">
        <f>S326*$AI$3</f>
        <v>1662.1726239999998</v>
      </c>
      <c r="AJ326" s="156">
        <f>S326*$AJ$3</f>
        <v>1662.1726239999998</v>
      </c>
      <c r="AK326" s="156">
        <f>S326*$AK$3</f>
        <v>5817.6041839999998</v>
      </c>
      <c r="AL326" s="157">
        <f t="shared" si="229"/>
        <v>25576.681251799993</v>
      </c>
      <c r="AM326" s="158">
        <f t="shared" si="230"/>
        <v>2200</v>
      </c>
      <c r="AN326" s="159">
        <v>0.2</v>
      </c>
      <c r="AO326" s="160">
        <f t="shared" si="231"/>
        <v>679581748.9730916</v>
      </c>
      <c r="AP326" s="161">
        <f t="shared" si="232"/>
        <v>188772.72314989765</v>
      </c>
      <c r="AQ326" s="162">
        <f t="shared" si="233"/>
        <v>37754.544629979529</v>
      </c>
      <c r="AR326" s="580">
        <f t="shared" si="234"/>
        <v>5.3873494049628325</v>
      </c>
      <c r="AS326" s="582">
        <f t="shared" si="235"/>
        <v>5.3873494049628325</v>
      </c>
      <c r="AT326" s="588"/>
      <c r="AU326" s="166"/>
      <c r="AV326" s="167"/>
      <c r="AW326" s="146"/>
      <c r="AX326" s="168"/>
    </row>
    <row r="327" spans="1:50" s="139" customFormat="1" ht="11.25" x14ac:dyDescent="0.25">
      <c r="A327" s="140">
        <v>14</v>
      </c>
      <c r="B327" s="343" t="s">
        <v>358</v>
      </c>
      <c r="C327" s="142"/>
      <c r="D327" s="143"/>
      <c r="E327" s="143"/>
      <c r="F327" s="143"/>
      <c r="G327" s="143"/>
      <c r="H327" s="143"/>
      <c r="I327" s="143"/>
      <c r="J327" s="143"/>
      <c r="K327" s="143"/>
      <c r="L327" s="143"/>
      <c r="M327" s="222"/>
      <c r="N327" s="222">
        <v>858266</v>
      </c>
      <c r="O327" s="145"/>
      <c r="P327" s="223">
        <f t="shared" si="236"/>
        <v>858266</v>
      </c>
      <c r="Q327" s="147">
        <f>P327*$Q$7</f>
        <v>125306.836</v>
      </c>
      <c r="R327" s="147">
        <f t="shared" si="228"/>
        <v>343.3064</v>
      </c>
      <c r="S327" s="148">
        <f>R327*$S$3*$S$7</f>
        <v>87714.785199999998</v>
      </c>
      <c r="T327" s="199"/>
      <c r="U327" s="150"/>
      <c r="V327" s="151"/>
      <c r="W327" s="151"/>
      <c r="X327" s="152"/>
      <c r="Y327" s="153"/>
      <c r="Z327" s="153"/>
      <c r="AA327" s="154"/>
      <c r="AB327" s="155">
        <f>S327*$AB$3</f>
        <v>50874.575415999992</v>
      </c>
      <c r="AC327" s="156">
        <f>S327*$AC$3</f>
        <v>11402.922076000001</v>
      </c>
      <c r="AD327" s="156">
        <f>S327*$AD$3</f>
        <v>7696.9724012999995</v>
      </c>
      <c r="AE327" s="156">
        <f>S327*$AE$3</f>
        <v>3508.5914080000002</v>
      </c>
      <c r="AF327" s="156">
        <f>S327*$AF$3</f>
        <v>1754.2957040000001</v>
      </c>
      <c r="AG327" s="156">
        <f>S327*$AG$3</f>
        <v>1754.2957040000001</v>
      </c>
      <c r="AH327" s="156">
        <f>S327*$AH$3</f>
        <v>877.14785200000006</v>
      </c>
      <c r="AI327" s="156">
        <f>S327*$AI$3</f>
        <v>1754.2957040000001</v>
      </c>
      <c r="AJ327" s="156">
        <f>S327*$AJ$3</f>
        <v>1754.2957040000001</v>
      </c>
      <c r="AK327" s="156">
        <f>S327*$AK$3</f>
        <v>6140.0349640000004</v>
      </c>
      <c r="AL327" s="157">
        <f t="shared" si="229"/>
        <v>26994.225145299999</v>
      </c>
      <c r="AM327" s="158">
        <f t="shared" si="230"/>
        <v>2200</v>
      </c>
      <c r="AN327" s="159">
        <v>0.2</v>
      </c>
      <c r="AO327" s="160">
        <f t="shared" si="231"/>
        <v>717246407.21811175</v>
      </c>
      <c r="AP327" s="161">
        <f t="shared" si="232"/>
        <v>199235.12905495119</v>
      </c>
      <c r="AQ327" s="162">
        <f t="shared" si="233"/>
        <v>39847.025810990242</v>
      </c>
      <c r="AR327" s="580">
        <f t="shared" si="234"/>
        <v>5.6859340483718954</v>
      </c>
      <c r="AS327" s="582">
        <f t="shared" si="235"/>
        <v>5.6859340483718954</v>
      </c>
      <c r="AT327" s="588"/>
      <c r="AU327" s="166"/>
      <c r="AV327" s="167"/>
      <c r="AW327" s="146"/>
      <c r="AX327" s="168"/>
    </row>
    <row r="328" spans="1:50" s="139" customFormat="1" ht="11.25" x14ac:dyDescent="0.25">
      <c r="A328" s="140">
        <v>15</v>
      </c>
      <c r="B328" s="343" t="s">
        <v>359</v>
      </c>
      <c r="C328" s="142"/>
      <c r="D328" s="143"/>
      <c r="E328" s="143"/>
      <c r="F328" s="143"/>
      <c r="G328" s="143"/>
      <c r="H328" s="143"/>
      <c r="I328" s="143"/>
      <c r="J328" s="143"/>
      <c r="K328" s="143"/>
      <c r="L328" s="143"/>
      <c r="M328" s="222"/>
      <c r="N328" s="222">
        <v>1308696</v>
      </c>
      <c r="O328" s="145"/>
      <c r="P328" s="223">
        <f t="shared" si="236"/>
        <v>1308696</v>
      </c>
      <c r="Q328" s="147">
        <f>P328*$Q$6</f>
        <v>214626.144</v>
      </c>
      <c r="R328" s="147">
        <f t="shared" si="228"/>
        <v>588.01683287671233</v>
      </c>
      <c r="S328" s="148">
        <f>R328*$S$3*$S$6</f>
        <v>171700.91520000002</v>
      </c>
      <c r="T328" s="199"/>
      <c r="U328" s="150"/>
      <c r="V328" s="151"/>
      <c r="W328" s="151"/>
      <c r="X328" s="152"/>
      <c r="Y328" s="153"/>
      <c r="Z328" s="153"/>
      <c r="AA328" s="154"/>
      <c r="AB328" s="155">
        <f>S328*$AB$3</f>
        <v>99586.530815999999</v>
      </c>
      <c r="AC328" s="156">
        <f>S328*$AC$3</f>
        <v>22321.118976000002</v>
      </c>
      <c r="AD328" s="156">
        <f>S328*$AD$3</f>
        <v>15066.7553088</v>
      </c>
      <c r="AE328" s="156">
        <f>S328*$AE$3</f>
        <v>6868.0366080000013</v>
      </c>
      <c r="AF328" s="156">
        <f>S328*$AF$3</f>
        <v>3434.0183040000006</v>
      </c>
      <c r="AG328" s="156">
        <f>S328*$AG$3</f>
        <v>3434.0183040000006</v>
      </c>
      <c r="AH328" s="156">
        <f>S328*$AH$3</f>
        <v>1717.0091520000003</v>
      </c>
      <c r="AI328" s="156">
        <f>S328*$AI$3</f>
        <v>3434.0183040000006</v>
      </c>
      <c r="AJ328" s="156">
        <f>S328*$AJ$3</f>
        <v>3434.0183040000006</v>
      </c>
      <c r="AK328" s="156">
        <f>S328*$AK$3</f>
        <v>12019.064064000002</v>
      </c>
      <c r="AL328" s="157">
        <f t="shared" si="229"/>
        <v>52840.9566528</v>
      </c>
      <c r="AM328" s="158">
        <f t="shared" si="230"/>
        <v>2200</v>
      </c>
      <c r="AN328" s="159">
        <v>0.2</v>
      </c>
      <c r="AO328" s="160">
        <f t="shared" si="231"/>
        <v>1404003489.9756179</v>
      </c>
      <c r="AP328" s="161">
        <f t="shared" si="232"/>
        <v>390001.00063774921</v>
      </c>
      <c r="AQ328" s="162">
        <f t="shared" si="233"/>
        <v>78000.200127549848</v>
      </c>
      <c r="AR328" s="580">
        <f t="shared" si="234"/>
        <v>11.130165543314762</v>
      </c>
      <c r="AS328" s="582">
        <f t="shared" si="235"/>
        <v>11.130165543314762</v>
      </c>
      <c r="AT328" s="588"/>
      <c r="AU328" s="166"/>
      <c r="AV328" s="167"/>
      <c r="AW328" s="146"/>
      <c r="AX328" s="168"/>
    </row>
    <row r="329" spans="1:50" s="139" customFormat="1" ht="11.25" x14ac:dyDescent="0.25">
      <c r="A329" s="140">
        <v>16</v>
      </c>
      <c r="B329" s="343" t="s">
        <v>360</v>
      </c>
      <c r="C329" s="142"/>
      <c r="D329" s="143"/>
      <c r="E329" s="143"/>
      <c r="F329" s="143"/>
      <c r="G329" s="143"/>
      <c r="H329" s="143"/>
      <c r="I329" s="143"/>
      <c r="J329" s="143"/>
      <c r="K329" s="143"/>
      <c r="L329" s="143"/>
      <c r="M329" s="222"/>
      <c r="N329" s="222">
        <v>829728</v>
      </c>
      <c r="O329" s="145"/>
      <c r="P329" s="223">
        <f t="shared" si="236"/>
        <v>829728</v>
      </c>
      <c r="Q329" s="147">
        <f>P329*$Q$7</f>
        <v>121140.28799999999</v>
      </c>
      <c r="R329" s="147">
        <f t="shared" si="228"/>
        <v>331.89119999999997</v>
      </c>
      <c r="S329" s="148">
        <f>R329*$S$3*$S$7</f>
        <v>84798.201599999986</v>
      </c>
      <c r="T329" s="199"/>
      <c r="U329" s="150"/>
      <c r="V329" s="151"/>
      <c r="W329" s="151"/>
      <c r="X329" s="152"/>
      <c r="Y329" s="153"/>
      <c r="Z329" s="153"/>
      <c r="AA329" s="154"/>
      <c r="AB329" s="155">
        <f>S329*$AB$3</f>
        <v>49182.956927999985</v>
      </c>
      <c r="AC329" s="156">
        <f>S329*$AC$3</f>
        <v>11023.766207999999</v>
      </c>
      <c r="AD329" s="156">
        <f>S329*$AD$3</f>
        <v>7441.0421903999986</v>
      </c>
      <c r="AE329" s="156">
        <f>S329*$AE$3</f>
        <v>3391.9280639999997</v>
      </c>
      <c r="AF329" s="156">
        <f>S329*$AF$3</f>
        <v>1695.9640319999999</v>
      </c>
      <c r="AG329" s="156">
        <f>S329*$AG$3</f>
        <v>1695.9640319999999</v>
      </c>
      <c r="AH329" s="156">
        <f>S329*$AH$3</f>
        <v>847.98201599999993</v>
      </c>
      <c r="AI329" s="156">
        <f>S329*$AI$3</f>
        <v>1695.9640319999999</v>
      </c>
      <c r="AJ329" s="156">
        <f>S329*$AJ$3</f>
        <v>1695.9640319999999</v>
      </c>
      <c r="AK329" s="156">
        <f>S329*$AK$3</f>
        <v>5935.8741119999995</v>
      </c>
      <c r="AL329" s="157">
        <f t="shared" si="229"/>
        <v>26096.646542399998</v>
      </c>
      <c r="AM329" s="158">
        <f t="shared" si="230"/>
        <v>2200</v>
      </c>
      <c r="AN329" s="159">
        <v>0.2</v>
      </c>
      <c r="AO329" s="160">
        <f t="shared" si="231"/>
        <v>693397416.3817153</v>
      </c>
      <c r="AP329" s="161">
        <f t="shared" si="232"/>
        <v>192610.40884819682</v>
      </c>
      <c r="AQ329" s="162">
        <f t="shared" si="233"/>
        <v>38522.081769639364</v>
      </c>
      <c r="AR329" s="580">
        <f t="shared" si="234"/>
        <v>5.4968723986357544</v>
      </c>
      <c r="AS329" s="582">
        <f t="shared" si="235"/>
        <v>5.4968723986357544</v>
      </c>
      <c r="AT329" s="588"/>
      <c r="AU329" s="166"/>
      <c r="AV329" s="167"/>
      <c r="AW329" s="146"/>
      <c r="AX329" s="168"/>
    </row>
    <row r="330" spans="1:50" s="139" customFormat="1" ht="11.25" x14ac:dyDescent="0.25">
      <c r="A330" s="140">
        <v>17</v>
      </c>
      <c r="B330" s="342" t="s">
        <v>361</v>
      </c>
      <c r="C330" s="142"/>
      <c r="D330" s="143"/>
      <c r="E330" s="143"/>
      <c r="F330" s="143"/>
      <c r="G330" s="143"/>
      <c r="H330" s="143"/>
      <c r="I330" s="143"/>
      <c r="J330" s="143"/>
      <c r="K330" s="143"/>
      <c r="L330" s="143"/>
      <c r="M330" s="222"/>
      <c r="N330" s="222">
        <v>591359</v>
      </c>
      <c r="O330" s="145"/>
      <c r="P330" s="223">
        <f t="shared" si="236"/>
        <v>591359</v>
      </c>
      <c r="Q330" s="147">
        <f>P330*$Q$7</f>
        <v>86338.41399999999</v>
      </c>
      <c r="R330" s="147">
        <f t="shared" si="228"/>
        <v>236.54359999999997</v>
      </c>
      <c r="S330" s="148">
        <f>R330*$S$3*$S$7</f>
        <v>60436.88979999999</v>
      </c>
      <c r="T330" s="199"/>
      <c r="U330" s="150"/>
      <c r="V330" s="151"/>
      <c r="W330" s="151"/>
      <c r="X330" s="152"/>
      <c r="Y330" s="153"/>
      <c r="Z330" s="153"/>
      <c r="AA330" s="154"/>
      <c r="AB330" s="155">
        <f>S330*$AB$3</f>
        <v>35053.396083999993</v>
      </c>
      <c r="AC330" s="156">
        <f>S330*$AC$3</f>
        <v>7856.7956739999991</v>
      </c>
      <c r="AD330" s="156">
        <f>S330*$AD$3</f>
        <v>5303.337079949999</v>
      </c>
      <c r="AE330" s="156">
        <f>S330*$AE$3</f>
        <v>2417.4755919999998</v>
      </c>
      <c r="AF330" s="156">
        <f>S330*$AF$3</f>
        <v>1208.7377959999999</v>
      </c>
      <c r="AG330" s="156">
        <f>S330*$AG$3</f>
        <v>1208.7377959999999</v>
      </c>
      <c r="AH330" s="156">
        <f>S330*$AH$3</f>
        <v>604.36889799999994</v>
      </c>
      <c r="AI330" s="156">
        <f>S330*$AI$3</f>
        <v>1208.7377959999999</v>
      </c>
      <c r="AJ330" s="156">
        <f>S330*$AJ$3</f>
        <v>1208.7377959999999</v>
      </c>
      <c r="AK330" s="156">
        <f>S330*$AK$3</f>
        <v>4230.5822859999998</v>
      </c>
      <c r="AL330" s="157">
        <f t="shared" si="229"/>
        <v>18599.45283595</v>
      </c>
      <c r="AM330" s="158">
        <f t="shared" si="230"/>
        <v>2200</v>
      </c>
      <c r="AN330" s="159">
        <v>0.2</v>
      </c>
      <c r="AO330" s="160">
        <f t="shared" si="231"/>
        <v>494194245.28770256</v>
      </c>
      <c r="AP330" s="161">
        <f t="shared" si="232"/>
        <v>137276.19022867837</v>
      </c>
      <c r="AQ330" s="162">
        <f t="shared" si="233"/>
        <v>27455.238045735678</v>
      </c>
      <c r="AR330" s="580">
        <f t="shared" si="234"/>
        <v>3.9176994928275795</v>
      </c>
      <c r="AS330" s="582">
        <f t="shared" si="235"/>
        <v>3.9176994928275795</v>
      </c>
      <c r="AT330" s="588"/>
      <c r="AU330" s="166"/>
      <c r="AV330" s="167"/>
      <c r="AW330" s="146"/>
      <c r="AX330" s="168"/>
    </row>
    <row r="331" spans="1:50" s="139" customFormat="1" ht="11.25" x14ac:dyDescent="0.25">
      <c r="A331" s="140">
        <v>18</v>
      </c>
      <c r="B331" s="343" t="s">
        <v>362</v>
      </c>
      <c r="C331" s="142"/>
      <c r="D331" s="143"/>
      <c r="E331" s="143"/>
      <c r="F331" s="143"/>
      <c r="G331" s="143"/>
      <c r="H331" s="143"/>
      <c r="I331" s="143"/>
      <c r="J331" s="143"/>
      <c r="K331" s="143"/>
      <c r="L331" s="143"/>
      <c r="M331" s="222"/>
      <c r="N331" s="222">
        <v>1190993</v>
      </c>
      <c r="O331" s="145"/>
      <c r="P331" s="223">
        <f t="shared" si="236"/>
        <v>1190993</v>
      </c>
      <c r="Q331" s="147">
        <f>P331*$Q$6</f>
        <v>195322.85200000001</v>
      </c>
      <c r="R331" s="147">
        <f t="shared" si="228"/>
        <v>535.13110136986302</v>
      </c>
      <c r="S331" s="148">
        <f>R331*$S$3*$S$6</f>
        <v>156258.28160000002</v>
      </c>
      <c r="T331" s="199"/>
      <c r="U331" s="150"/>
      <c r="V331" s="151"/>
      <c r="W331" s="151"/>
      <c r="X331" s="152"/>
      <c r="Y331" s="153"/>
      <c r="Z331" s="153"/>
      <c r="AA331" s="154"/>
      <c r="AB331" s="155">
        <f>S331*$AB$3</f>
        <v>90629.803328000009</v>
      </c>
      <c r="AC331" s="156">
        <f>S331*$AC$3</f>
        <v>20313.576608000003</v>
      </c>
      <c r="AD331" s="156">
        <f>S331*$AD$3</f>
        <v>13711.6642104</v>
      </c>
      <c r="AE331" s="156">
        <f>S331*$AE$3</f>
        <v>6250.3312640000004</v>
      </c>
      <c r="AF331" s="156">
        <f>S331*$AF$3</f>
        <v>3125.1656320000002</v>
      </c>
      <c r="AG331" s="156">
        <f>S331*$AG$3</f>
        <v>3125.1656320000002</v>
      </c>
      <c r="AH331" s="156">
        <f>S331*$AH$3</f>
        <v>1562.5828160000001</v>
      </c>
      <c r="AI331" s="156">
        <f>S331*$AI$3</f>
        <v>3125.1656320000002</v>
      </c>
      <c r="AJ331" s="156">
        <f>S331*$AJ$3</f>
        <v>3125.1656320000002</v>
      </c>
      <c r="AK331" s="156">
        <f>S331*$AK$3</f>
        <v>10938.079712000002</v>
      </c>
      <c r="AL331" s="157">
        <f t="shared" si="229"/>
        <v>48088.486162400011</v>
      </c>
      <c r="AM331" s="158">
        <f t="shared" si="230"/>
        <v>2200</v>
      </c>
      <c r="AN331" s="159">
        <v>0.2</v>
      </c>
      <c r="AO331" s="160">
        <f t="shared" si="231"/>
        <v>1277728615.7644951</v>
      </c>
      <c r="AP331" s="161">
        <f t="shared" si="232"/>
        <v>354924.64388410677</v>
      </c>
      <c r="AQ331" s="162">
        <f t="shared" si="233"/>
        <v>70984.928776821354</v>
      </c>
      <c r="AR331" s="580">
        <f t="shared" si="234"/>
        <v>10.129127964729074</v>
      </c>
      <c r="AS331" s="582">
        <f t="shared" si="235"/>
        <v>10.129127964729074</v>
      </c>
      <c r="AT331" s="588"/>
      <c r="AU331" s="166"/>
      <c r="AV331" s="167"/>
      <c r="AW331" s="146"/>
      <c r="AX331" s="168"/>
    </row>
    <row r="332" spans="1:50" s="139" customFormat="1" ht="11.25" x14ac:dyDescent="0.25">
      <c r="A332" s="140">
        <v>19</v>
      </c>
      <c r="B332" s="343" t="s">
        <v>363</v>
      </c>
      <c r="C332" s="142"/>
      <c r="D332" s="143"/>
      <c r="E332" s="143"/>
      <c r="F332" s="143"/>
      <c r="G332" s="143"/>
      <c r="H332" s="143"/>
      <c r="I332" s="143"/>
      <c r="J332" s="143"/>
      <c r="K332" s="143"/>
      <c r="L332" s="143"/>
      <c r="M332" s="222"/>
      <c r="N332" s="222">
        <v>777437</v>
      </c>
      <c r="O332" s="145"/>
      <c r="P332" s="223">
        <f t="shared" si="236"/>
        <v>777437</v>
      </c>
      <c r="Q332" s="147">
        <f>P332*$Q$7</f>
        <v>113505.802</v>
      </c>
      <c r="R332" s="147">
        <f t="shared" si="228"/>
        <v>310.97480000000002</v>
      </c>
      <c r="S332" s="148">
        <f>R332*$S$3*$S$7</f>
        <v>79454.061400000006</v>
      </c>
      <c r="T332" s="199"/>
      <c r="U332" s="150"/>
      <c r="V332" s="151"/>
      <c r="W332" s="151"/>
      <c r="X332" s="152"/>
      <c r="Y332" s="153"/>
      <c r="Z332" s="153"/>
      <c r="AA332" s="154"/>
      <c r="AB332" s="155">
        <f>S332*$AB$3</f>
        <v>46083.355611999999</v>
      </c>
      <c r="AC332" s="156">
        <f>S332*$AC$3</f>
        <v>10329.027982000001</v>
      </c>
      <c r="AD332" s="156">
        <f>S332*$AD$3</f>
        <v>6972.0938878500001</v>
      </c>
      <c r="AE332" s="156">
        <f>S332*$AE$3</f>
        <v>3178.1624560000005</v>
      </c>
      <c r="AF332" s="156">
        <f>S332*$AF$3</f>
        <v>1589.0812280000002</v>
      </c>
      <c r="AG332" s="156">
        <f>S332*$AG$3</f>
        <v>1589.0812280000002</v>
      </c>
      <c r="AH332" s="156">
        <f>S332*$AH$3</f>
        <v>794.54061400000012</v>
      </c>
      <c r="AI332" s="156">
        <f>S332*$AI$3</f>
        <v>1589.0812280000002</v>
      </c>
      <c r="AJ332" s="156">
        <f>S332*$AJ$3</f>
        <v>1589.0812280000002</v>
      </c>
      <c r="AK332" s="156">
        <f>S332*$AK$3</f>
        <v>5561.7842980000014</v>
      </c>
      <c r="AL332" s="157">
        <f t="shared" si="229"/>
        <v>24451.987395850003</v>
      </c>
      <c r="AM332" s="158">
        <f t="shared" si="230"/>
        <v>2200</v>
      </c>
      <c r="AN332" s="159">
        <v>0.2</v>
      </c>
      <c r="AO332" s="160">
        <f t="shared" si="231"/>
        <v>649698223.03158593</v>
      </c>
      <c r="AP332" s="161">
        <f t="shared" si="232"/>
        <v>180471.74305762327</v>
      </c>
      <c r="AQ332" s="162">
        <f t="shared" si="233"/>
        <v>36094.348611524656</v>
      </c>
      <c r="AR332" s="580">
        <f t="shared" si="234"/>
        <v>5.1504492881741806</v>
      </c>
      <c r="AS332" s="582">
        <f t="shared" si="235"/>
        <v>5.1504492881741806</v>
      </c>
      <c r="AT332" s="588"/>
      <c r="AU332" s="166"/>
      <c r="AV332" s="167"/>
      <c r="AW332" s="146"/>
      <c r="AX332" s="168"/>
    </row>
    <row r="333" spans="1:50" s="139" customFormat="1" ht="11.25" x14ac:dyDescent="0.25">
      <c r="A333" s="140">
        <v>20</v>
      </c>
      <c r="B333" s="343" t="s">
        <v>364</v>
      </c>
      <c r="C333" s="142"/>
      <c r="D333" s="143"/>
      <c r="E333" s="143"/>
      <c r="F333" s="143"/>
      <c r="G333" s="143"/>
      <c r="H333" s="143"/>
      <c r="I333" s="143"/>
      <c r="J333" s="143"/>
      <c r="K333" s="143"/>
      <c r="L333" s="143"/>
      <c r="M333" s="222"/>
      <c r="N333" s="222">
        <v>1097280</v>
      </c>
      <c r="O333" s="145"/>
      <c r="P333" s="223">
        <f t="shared" si="236"/>
        <v>1097280</v>
      </c>
      <c r="Q333" s="147">
        <f>P333*$Q$6</f>
        <v>179953.92000000001</v>
      </c>
      <c r="R333" s="147">
        <f t="shared" si="228"/>
        <v>493.02443835616441</v>
      </c>
      <c r="S333" s="148">
        <f>R333*$S$3*$S$6</f>
        <v>143963.13600000003</v>
      </c>
      <c r="T333" s="199"/>
      <c r="U333" s="150"/>
      <c r="V333" s="151"/>
      <c r="W333" s="151"/>
      <c r="X333" s="152"/>
      <c r="Y333" s="153"/>
      <c r="Z333" s="153"/>
      <c r="AA333" s="154"/>
      <c r="AB333" s="155">
        <f>S333*$AB$3</f>
        <v>83498.618880000009</v>
      </c>
      <c r="AC333" s="156">
        <f>S333*$AC$3</f>
        <v>18715.207680000003</v>
      </c>
      <c r="AD333" s="156">
        <f>S333*$AD$3</f>
        <v>12632.765184000002</v>
      </c>
      <c r="AE333" s="156">
        <f>S333*$AE$3</f>
        <v>5758.5254400000013</v>
      </c>
      <c r="AF333" s="156">
        <f>S333*$AF$3</f>
        <v>2879.2627200000006</v>
      </c>
      <c r="AG333" s="156">
        <f>S333*$AG$3</f>
        <v>2879.2627200000006</v>
      </c>
      <c r="AH333" s="156">
        <f>S333*$AH$3</f>
        <v>1439.6313600000003</v>
      </c>
      <c r="AI333" s="156">
        <f>S333*$AI$3</f>
        <v>2879.2627200000006</v>
      </c>
      <c r="AJ333" s="156">
        <f>S333*$AJ$3</f>
        <v>2879.2627200000006</v>
      </c>
      <c r="AK333" s="156">
        <f>S333*$AK$3</f>
        <v>10077.419520000003</v>
      </c>
      <c r="AL333" s="157">
        <f t="shared" si="229"/>
        <v>44304.655104000005</v>
      </c>
      <c r="AM333" s="158">
        <f t="shared" si="230"/>
        <v>2200</v>
      </c>
      <c r="AN333" s="159">
        <v>0.2</v>
      </c>
      <c r="AO333" s="160">
        <f t="shared" si="231"/>
        <v>1177190844.5356646</v>
      </c>
      <c r="AP333" s="161">
        <f t="shared" si="232"/>
        <v>326997.4829752589</v>
      </c>
      <c r="AQ333" s="162">
        <f t="shared" si="233"/>
        <v>65399.49659505178</v>
      </c>
      <c r="AR333" s="580">
        <f t="shared" si="234"/>
        <v>9.3321199479240562</v>
      </c>
      <c r="AS333" s="582">
        <f t="shared" si="235"/>
        <v>9.3321199479240562</v>
      </c>
      <c r="AT333" s="588"/>
      <c r="AU333" s="166"/>
      <c r="AV333" s="167"/>
      <c r="AW333" s="146"/>
      <c r="AX333" s="168"/>
    </row>
    <row r="334" spans="1:50" s="139" customFormat="1" ht="11.25" x14ac:dyDescent="0.25">
      <c r="A334" s="140">
        <v>21</v>
      </c>
      <c r="B334" s="343" t="s">
        <v>365</v>
      </c>
      <c r="C334" s="142"/>
      <c r="D334" s="143"/>
      <c r="E334" s="143"/>
      <c r="F334" s="143"/>
      <c r="G334" s="143"/>
      <c r="H334" s="143"/>
      <c r="I334" s="143"/>
      <c r="J334" s="143"/>
      <c r="K334" s="143"/>
      <c r="L334" s="143"/>
      <c r="M334" s="222"/>
      <c r="N334" s="222">
        <v>1055579</v>
      </c>
      <c r="O334" s="145"/>
      <c r="P334" s="223">
        <f t="shared" si="236"/>
        <v>1055579</v>
      </c>
      <c r="Q334" s="147">
        <f>P334*$Q$6</f>
        <v>173114.95600000001</v>
      </c>
      <c r="R334" s="147">
        <f t="shared" si="228"/>
        <v>474.28755068493155</v>
      </c>
      <c r="S334" s="148">
        <f>R334*$S$3*$S$6</f>
        <v>138491.96480000002</v>
      </c>
      <c r="T334" s="199"/>
      <c r="U334" s="150"/>
      <c r="V334" s="151"/>
      <c r="W334" s="151"/>
      <c r="X334" s="152"/>
      <c r="Y334" s="153"/>
      <c r="Z334" s="153"/>
      <c r="AA334" s="154"/>
      <c r="AB334" s="155">
        <f>S334*$AB$3</f>
        <v>80325.339584000001</v>
      </c>
      <c r="AC334" s="156">
        <f>S334*$AC$3</f>
        <v>18003.955424000003</v>
      </c>
      <c r="AD334" s="156">
        <f>S334*$AD$3</f>
        <v>12152.669911200001</v>
      </c>
      <c r="AE334" s="156">
        <f>S334*$AE$3</f>
        <v>5539.6785920000011</v>
      </c>
      <c r="AF334" s="156">
        <f>S334*$AF$3</f>
        <v>2769.8392960000006</v>
      </c>
      <c r="AG334" s="156">
        <f>S334*$AG$3</f>
        <v>2769.8392960000006</v>
      </c>
      <c r="AH334" s="156">
        <f>S334*$AH$3</f>
        <v>1384.9196480000003</v>
      </c>
      <c r="AI334" s="156">
        <f>S334*$AI$3</f>
        <v>2769.8392960000006</v>
      </c>
      <c r="AJ334" s="156">
        <f>S334*$AJ$3</f>
        <v>2769.8392960000006</v>
      </c>
      <c r="AK334" s="156">
        <f>S334*$AK$3</f>
        <v>9694.4375360000013</v>
      </c>
      <c r="AL334" s="157">
        <f t="shared" si="229"/>
        <v>42620.902167200009</v>
      </c>
      <c r="AM334" s="158">
        <f t="shared" si="230"/>
        <v>2200</v>
      </c>
      <c r="AN334" s="159">
        <v>0.2</v>
      </c>
      <c r="AO334" s="160">
        <f t="shared" si="231"/>
        <v>1132452914.9206333</v>
      </c>
      <c r="AP334" s="161">
        <f t="shared" si="232"/>
        <v>314570.2793102407</v>
      </c>
      <c r="AQ334" s="162">
        <f t="shared" si="233"/>
        <v>62914.055862048146</v>
      </c>
      <c r="AR334" s="580">
        <f t="shared" si="234"/>
        <v>8.9774623090822132</v>
      </c>
      <c r="AS334" s="582">
        <f t="shared" si="235"/>
        <v>8.9774623090822132</v>
      </c>
      <c r="AT334" s="588"/>
      <c r="AU334" s="166"/>
      <c r="AV334" s="167"/>
      <c r="AW334" s="146"/>
      <c r="AX334" s="168"/>
    </row>
    <row r="335" spans="1:50" s="139" customFormat="1" ht="11.25" x14ac:dyDescent="0.25">
      <c r="A335" s="140">
        <v>22</v>
      </c>
      <c r="B335" s="343" t="s">
        <v>366</v>
      </c>
      <c r="C335" s="142"/>
      <c r="D335" s="143"/>
      <c r="E335" s="143"/>
      <c r="F335" s="143"/>
      <c r="G335" s="143"/>
      <c r="H335" s="143"/>
      <c r="I335" s="143"/>
      <c r="J335" s="143"/>
      <c r="K335" s="143"/>
      <c r="L335" s="143"/>
      <c r="M335" s="222"/>
      <c r="N335" s="222">
        <v>930727</v>
      </c>
      <c r="O335" s="145"/>
      <c r="P335" s="223">
        <f t="shared" si="236"/>
        <v>930727</v>
      </c>
      <c r="Q335" s="147">
        <f>P335*$Q$7</f>
        <v>135886.14199999999</v>
      </c>
      <c r="R335" s="147">
        <f t="shared" si="228"/>
        <v>372.29079999999999</v>
      </c>
      <c r="S335" s="148">
        <f>R335*$S$3*$S$7</f>
        <v>95120.299399999989</v>
      </c>
      <c r="T335" s="199"/>
      <c r="U335" s="150"/>
      <c r="V335" s="151"/>
      <c r="W335" s="151"/>
      <c r="X335" s="152"/>
      <c r="Y335" s="153"/>
      <c r="Z335" s="153"/>
      <c r="AA335" s="154"/>
      <c r="AB335" s="155">
        <f>S335*$AB$3</f>
        <v>55169.773651999989</v>
      </c>
      <c r="AC335" s="156">
        <f>S335*$AC$3</f>
        <v>12365.638921999998</v>
      </c>
      <c r="AD335" s="156">
        <f>S335*$AD$3</f>
        <v>8346.8062723499988</v>
      </c>
      <c r="AE335" s="156">
        <f>S335*$AE$3</f>
        <v>3804.8119759999995</v>
      </c>
      <c r="AF335" s="156">
        <f>S335*$AF$3</f>
        <v>1902.4059879999998</v>
      </c>
      <c r="AG335" s="156">
        <f>S335*$AG$3</f>
        <v>1902.4059879999998</v>
      </c>
      <c r="AH335" s="156">
        <f>S335*$AH$3</f>
        <v>951.20299399999988</v>
      </c>
      <c r="AI335" s="156">
        <f>S335*$AI$3</f>
        <v>1902.4059879999998</v>
      </c>
      <c r="AJ335" s="156">
        <f>S335*$AJ$3</f>
        <v>1902.4059879999998</v>
      </c>
      <c r="AK335" s="156">
        <f>S335*$AK$3</f>
        <v>6658.4209579999997</v>
      </c>
      <c r="AL335" s="157">
        <f t="shared" si="229"/>
        <v>29273.272140349993</v>
      </c>
      <c r="AM335" s="158">
        <f t="shared" si="230"/>
        <v>2200</v>
      </c>
      <c r="AN335" s="159">
        <v>0.2</v>
      </c>
      <c r="AO335" s="160">
        <f t="shared" si="231"/>
        <v>777801517.071504</v>
      </c>
      <c r="AP335" s="161">
        <f t="shared" si="232"/>
        <v>216055.99424878482</v>
      </c>
      <c r="AQ335" s="162">
        <f t="shared" si="233"/>
        <v>43211.198849756969</v>
      </c>
      <c r="AR335" s="580">
        <f t="shared" si="234"/>
        <v>6.1659815710269648</v>
      </c>
      <c r="AS335" s="582">
        <f t="shared" si="235"/>
        <v>6.1659815710269648</v>
      </c>
      <c r="AT335" s="588"/>
      <c r="AU335" s="166"/>
      <c r="AV335" s="167"/>
      <c r="AW335" s="146"/>
      <c r="AX335" s="168"/>
    </row>
    <row r="336" spans="1:50" s="139" customFormat="1" ht="11.25" x14ac:dyDescent="0.25">
      <c r="A336" s="140">
        <v>23</v>
      </c>
      <c r="B336" s="342" t="s">
        <v>367</v>
      </c>
      <c r="C336" s="142"/>
      <c r="D336" s="143"/>
      <c r="E336" s="143"/>
      <c r="F336" s="143"/>
      <c r="G336" s="143"/>
      <c r="H336" s="143"/>
      <c r="I336" s="143"/>
      <c r="J336" s="143"/>
      <c r="K336" s="143"/>
      <c r="L336" s="143"/>
      <c r="M336" s="222"/>
      <c r="N336" s="222">
        <v>708546</v>
      </c>
      <c r="O336" s="145"/>
      <c r="P336" s="223">
        <f t="shared" si="236"/>
        <v>708546</v>
      </c>
      <c r="Q336" s="147">
        <f>P336*$Q$7</f>
        <v>103447.716</v>
      </c>
      <c r="R336" s="147">
        <f t="shared" si="228"/>
        <v>283.41840000000002</v>
      </c>
      <c r="S336" s="148">
        <f>R336*$S$3*$S$7</f>
        <v>72413.401199999993</v>
      </c>
      <c r="T336" s="199"/>
      <c r="U336" s="150"/>
      <c r="V336" s="151"/>
      <c r="W336" s="151"/>
      <c r="X336" s="152"/>
      <c r="Y336" s="153"/>
      <c r="Z336" s="153"/>
      <c r="AA336" s="154"/>
      <c r="AB336" s="155">
        <f>S336*$AB$3</f>
        <v>41999.772695999993</v>
      </c>
      <c r="AC336" s="156">
        <f>S336*$AC$3</f>
        <v>9413.7421560000003</v>
      </c>
      <c r="AD336" s="156">
        <f>S336*$AD$3</f>
        <v>6354.2759552999987</v>
      </c>
      <c r="AE336" s="156">
        <f>S336*$AE$3</f>
        <v>2896.5360479999999</v>
      </c>
      <c r="AF336" s="156">
        <f>S336*$AF$3</f>
        <v>1448.268024</v>
      </c>
      <c r="AG336" s="156">
        <f>S336*$AG$3</f>
        <v>1448.268024</v>
      </c>
      <c r="AH336" s="156">
        <f>S336*$AH$3</f>
        <v>724.13401199999998</v>
      </c>
      <c r="AI336" s="156">
        <f>S336*$AI$3</f>
        <v>1448.268024</v>
      </c>
      <c r="AJ336" s="156">
        <f>S336*$AJ$3</f>
        <v>1448.268024</v>
      </c>
      <c r="AK336" s="156">
        <f>S336*$AK$3</f>
        <v>5068.9380840000003</v>
      </c>
      <c r="AL336" s="157">
        <f t="shared" si="229"/>
        <v>22285.224219300002</v>
      </c>
      <c r="AM336" s="158">
        <f t="shared" si="230"/>
        <v>2200</v>
      </c>
      <c r="AN336" s="159">
        <v>0.2</v>
      </c>
      <c r="AO336" s="160">
        <f t="shared" si="231"/>
        <v>592126535.18695164</v>
      </c>
      <c r="AP336" s="161">
        <f t="shared" si="232"/>
        <v>164479.606265854</v>
      </c>
      <c r="AQ336" s="162">
        <f t="shared" si="233"/>
        <v>32895.921253170804</v>
      </c>
      <c r="AR336" s="580">
        <f t="shared" si="234"/>
        <v>4.6940526902355595</v>
      </c>
      <c r="AS336" s="582">
        <f t="shared" si="235"/>
        <v>4.6940526902355595</v>
      </c>
      <c r="AT336" s="588"/>
      <c r="AU336" s="166"/>
      <c r="AV336" s="167"/>
      <c r="AW336" s="146"/>
      <c r="AX336" s="168"/>
    </row>
    <row r="337" spans="1:50" s="139" customFormat="1" ht="11.25" x14ac:dyDescent="0.25">
      <c r="A337" s="140">
        <v>24</v>
      </c>
      <c r="B337" s="343" t="s">
        <v>368</v>
      </c>
      <c r="C337" s="142"/>
      <c r="D337" s="143"/>
      <c r="E337" s="143"/>
      <c r="F337" s="143"/>
      <c r="G337" s="143"/>
      <c r="H337" s="143"/>
      <c r="I337" s="143"/>
      <c r="J337" s="143"/>
      <c r="K337" s="143"/>
      <c r="L337" s="143"/>
      <c r="M337" s="222"/>
      <c r="N337" s="222">
        <v>900313</v>
      </c>
      <c r="O337" s="145"/>
      <c r="P337" s="223">
        <f t="shared" si="236"/>
        <v>900313</v>
      </c>
      <c r="Q337" s="147">
        <f>P337*$Q$7</f>
        <v>131445.698</v>
      </c>
      <c r="R337" s="147">
        <f t="shared" si="228"/>
        <v>360.12520000000001</v>
      </c>
      <c r="S337" s="148">
        <f>R337*$S$3*$S$7</f>
        <v>92011.988599999997</v>
      </c>
      <c r="T337" s="199"/>
      <c r="U337" s="150"/>
      <c r="V337" s="151"/>
      <c r="W337" s="151"/>
      <c r="X337" s="152"/>
      <c r="Y337" s="153"/>
      <c r="Z337" s="153"/>
      <c r="AA337" s="154"/>
      <c r="AB337" s="155">
        <f>S337*$AB$3</f>
        <v>53366.953387999994</v>
      </c>
      <c r="AC337" s="156">
        <f>S337*$AC$3</f>
        <v>11961.558518</v>
      </c>
      <c r="AD337" s="156">
        <f>S337*$AD$3</f>
        <v>8074.0519996499988</v>
      </c>
      <c r="AE337" s="156">
        <f>S337*$AE$3</f>
        <v>3680.4795439999998</v>
      </c>
      <c r="AF337" s="156">
        <f>S337*$AF$3</f>
        <v>1840.2397719999999</v>
      </c>
      <c r="AG337" s="156">
        <f>S337*$AG$3</f>
        <v>1840.2397719999999</v>
      </c>
      <c r="AH337" s="156">
        <f>S337*$AH$3</f>
        <v>920.11988599999995</v>
      </c>
      <c r="AI337" s="156">
        <f>S337*$AI$3</f>
        <v>1840.2397719999999</v>
      </c>
      <c r="AJ337" s="156">
        <f>S337*$AJ$3</f>
        <v>1840.2397719999999</v>
      </c>
      <c r="AK337" s="156">
        <f>S337*$AK$3</f>
        <v>6440.8392020000001</v>
      </c>
      <c r="AL337" s="157">
        <f t="shared" si="229"/>
        <v>28316.689491650002</v>
      </c>
      <c r="AM337" s="158">
        <f t="shared" si="230"/>
        <v>2200</v>
      </c>
      <c r="AN337" s="159">
        <v>0.2</v>
      </c>
      <c r="AO337" s="160">
        <f t="shared" si="231"/>
        <v>752384767.21874094</v>
      </c>
      <c r="AP337" s="161">
        <f t="shared" si="232"/>
        <v>208995.78539153398</v>
      </c>
      <c r="AQ337" s="162">
        <f t="shared" si="233"/>
        <v>41799.157078306802</v>
      </c>
      <c r="AR337" s="580">
        <f t="shared" si="234"/>
        <v>5.9644915922241442</v>
      </c>
      <c r="AS337" s="582">
        <f t="shared" si="235"/>
        <v>5.9644915922241442</v>
      </c>
      <c r="AT337" s="588"/>
      <c r="AU337" s="166"/>
      <c r="AV337" s="167"/>
      <c r="AW337" s="146"/>
      <c r="AX337" s="168"/>
    </row>
    <row r="338" spans="1:50" s="139" customFormat="1" ht="11.25" x14ac:dyDescent="0.25">
      <c r="A338" s="140">
        <v>25</v>
      </c>
      <c r="B338" s="342" t="s">
        <v>369</v>
      </c>
      <c r="C338" s="142"/>
      <c r="D338" s="143"/>
      <c r="E338" s="143"/>
      <c r="F338" s="143"/>
      <c r="G338" s="143"/>
      <c r="H338" s="143"/>
      <c r="I338" s="143"/>
      <c r="J338" s="143"/>
      <c r="K338" s="143"/>
      <c r="L338" s="143"/>
      <c r="M338" s="222"/>
      <c r="N338" s="222">
        <v>706784</v>
      </c>
      <c r="O338" s="145"/>
      <c r="P338" s="223">
        <f t="shared" si="236"/>
        <v>706784</v>
      </c>
      <c r="Q338" s="147">
        <f>P338*$Q$7</f>
        <v>103190.46399999999</v>
      </c>
      <c r="R338" s="147">
        <f t="shared" si="228"/>
        <v>282.71359999999999</v>
      </c>
      <c r="S338" s="148">
        <f>R338*$S$3*$S$7</f>
        <v>72233.324799999988</v>
      </c>
      <c r="T338" s="199"/>
      <c r="U338" s="150"/>
      <c r="V338" s="151"/>
      <c r="W338" s="151"/>
      <c r="X338" s="152"/>
      <c r="Y338" s="153"/>
      <c r="Z338" s="153"/>
      <c r="AA338" s="154"/>
      <c r="AB338" s="155">
        <f>S338*$AB$3</f>
        <v>41895.328383999993</v>
      </c>
      <c r="AC338" s="156">
        <f>S338*$AC$3</f>
        <v>9390.332223999998</v>
      </c>
      <c r="AD338" s="156">
        <f>S338*$AD$3</f>
        <v>6338.4742511999984</v>
      </c>
      <c r="AE338" s="156">
        <f>S338*$AE$3</f>
        <v>2889.3329919999996</v>
      </c>
      <c r="AF338" s="156">
        <f>S338*$AF$3</f>
        <v>1444.6664959999998</v>
      </c>
      <c r="AG338" s="156">
        <f>S338*$AG$3</f>
        <v>1444.6664959999998</v>
      </c>
      <c r="AH338" s="156">
        <f>S338*$AH$3</f>
        <v>722.33324799999991</v>
      </c>
      <c r="AI338" s="156">
        <f>S338*$AI$3</f>
        <v>1444.6664959999998</v>
      </c>
      <c r="AJ338" s="156">
        <f>S338*$AJ$3</f>
        <v>1444.6664959999998</v>
      </c>
      <c r="AK338" s="156">
        <f>S338*$AK$3</f>
        <v>5056.3327359999994</v>
      </c>
      <c r="AL338" s="157">
        <f t="shared" si="229"/>
        <v>22229.80570719999</v>
      </c>
      <c r="AM338" s="158">
        <f t="shared" si="230"/>
        <v>2200</v>
      </c>
      <c r="AN338" s="159">
        <v>0.2</v>
      </c>
      <c r="AO338" s="160">
        <f t="shared" si="231"/>
        <v>590654045.10867941</v>
      </c>
      <c r="AP338" s="161">
        <f t="shared" si="232"/>
        <v>164070.58121138971</v>
      </c>
      <c r="AQ338" s="162">
        <f t="shared" si="233"/>
        <v>32814.116242277945</v>
      </c>
      <c r="AR338" s="580">
        <f t="shared" si="234"/>
        <v>4.6823796007816707</v>
      </c>
      <c r="AS338" s="582">
        <f t="shared" si="235"/>
        <v>4.6823796007816707</v>
      </c>
      <c r="AT338" s="588"/>
      <c r="AU338" s="166"/>
      <c r="AV338" s="167"/>
      <c r="AW338" s="146"/>
      <c r="AX338" s="168"/>
    </row>
    <row r="339" spans="1:50" s="139" customFormat="1" ht="11.25" x14ac:dyDescent="0.25">
      <c r="A339" s="140">
        <v>26</v>
      </c>
      <c r="B339" s="342" t="s">
        <v>370</v>
      </c>
      <c r="C339" s="142"/>
      <c r="D339" s="143"/>
      <c r="E339" s="143"/>
      <c r="F339" s="143"/>
      <c r="G339" s="143"/>
      <c r="H339" s="143"/>
      <c r="I339" s="143"/>
      <c r="J339" s="143"/>
      <c r="K339" s="143"/>
      <c r="L339" s="143"/>
      <c r="M339" s="222"/>
      <c r="N339" s="222">
        <v>838621</v>
      </c>
      <c r="O339" s="145"/>
      <c r="P339" s="223">
        <f t="shared" si="236"/>
        <v>838621</v>
      </c>
      <c r="Q339" s="147">
        <f>P339*$Q$7</f>
        <v>122438.666</v>
      </c>
      <c r="R339" s="147">
        <f t="shared" si="228"/>
        <v>335.44839999999999</v>
      </c>
      <c r="S339" s="148">
        <f>R339*$S$3*$S$7</f>
        <v>85707.066199999987</v>
      </c>
      <c r="T339" s="199"/>
      <c r="U339" s="150"/>
      <c r="V339" s="151"/>
      <c r="W339" s="151"/>
      <c r="X339" s="152"/>
      <c r="Y339" s="153"/>
      <c r="Z339" s="153"/>
      <c r="AA339" s="154"/>
      <c r="AB339" s="155">
        <f>S339*$AB$3</f>
        <v>49710.098395999987</v>
      </c>
      <c r="AC339" s="156">
        <f>S339*$AC$3</f>
        <v>11141.918605999999</v>
      </c>
      <c r="AD339" s="156">
        <f>S339*$AD$3</f>
        <v>7520.7950590499986</v>
      </c>
      <c r="AE339" s="156">
        <f>S339*$AE$3</f>
        <v>3428.2826479999994</v>
      </c>
      <c r="AF339" s="156">
        <f>S339*$AF$3</f>
        <v>1714.1413239999997</v>
      </c>
      <c r="AG339" s="156">
        <f>S339*$AG$3</f>
        <v>1714.1413239999997</v>
      </c>
      <c r="AH339" s="156">
        <f>S339*$AH$3</f>
        <v>857.07066199999986</v>
      </c>
      <c r="AI339" s="156">
        <f>S339*$AI$3</f>
        <v>1714.1413239999997</v>
      </c>
      <c r="AJ339" s="156">
        <f>S339*$AJ$3</f>
        <v>1714.1413239999997</v>
      </c>
      <c r="AK339" s="156">
        <f>S339*$AK$3</f>
        <v>5999.4946339999997</v>
      </c>
      <c r="AL339" s="157">
        <f t="shared" si="229"/>
        <v>26376.349623049995</v>
      </c>
      <c r="AM339" s="158">
        <f t="shared" si="230"/>
        <v>2200</v>
      </c>
      <c r="AN339" s="159">
        <v>0.2</v>
      </c>
      <c r="AO339" s="160">
        <f t="shared" si="231"/>
        <v>700829229.24554861</v>
      </c>
      <c r="AP339" s="161">
        <f t="shared" si="232"/>
        <v>194674.80147552415</v>
      </c>
      <c r="AQ339" s="162">
        <f t="shared" si="233"/>
        <v>38934.960295104829</v>
      </c>
      <c r="AR339" s="580">
        <f t="shared" si="234"/>
        <v>5.5557877133425837</v>
      </c>
      <c r="AS339" s="582">
        <f t="shared" si="235"/>
        <v>5.5557877133425837</v>
      </c>
      <c r="AT339" s="588"/>
      <c r="AU339" s="166"/>
      <c r="AV339" s="167"/>
      <c r="AW339" s="146"/>
      <c r="AX339" s="168"/>
    </row>
    <row r="340" spans="1:50" s="139" customFormat="1" ht="11.25" x14ac:dyDescent="0.25">
      <c r="A340" s="140">
        <v>27</v>
      </c>
      <c r="B340" s="343" t="s">
        <v>371</v>
      </c>
      <c r="C340" s="142"/>
      <c r="D340" s="143"/>
      <c r="E340" s="143"/>
      <c r="F340" s="143"/>
      <c r="G340" s="143"/>
      <c r="H340" s="143"/>
      <c r="I340" s="143"/>
      <c r="J340" s="143"/>
      <c r="K340" s="143"/>
      <c r="L340" s="143"/>
      <c r="M340" s="222"/>
      <c r="N340" s="222">
        <v>1261353</v>
      </c>
      <c r="O340" s="145"/>
      <c r="P340" s="223">
        <f t="shared" si="236"/>
        <v>1261353</v>
      </c>
      <c r="Q340" s="147">
        <f>P340*$Q$6</f>
        <v>206861.89200000002</v>
      </c>
      <c r="R340" s="147">
        <f t="shared" si="228"/>
        <v>566.74490958904119</v>
      </c>
      <c r="S340" s="148">
        <f>R340*$S$3*$S$6</f>
        <v>165489.51360000003</v>
      </c>
      <c r="T340" s="199"/>
      <c r="U340" s="150"/>
      <c r="V340" s="151"/>
      <c r="W340" s="151"/>
      <c r="X340" s="152"/>
      <c r="Y340" s="153"/>
      <c r="Z340" s="153"/>
      <c r="AA340" s="154"/>
      <c r="AB340" s="155">
        <f>S340*$AB$3</f>
        <v>95983.917888000011</v>
      </c>
      <c r="AC340" s="156">
        <f>S340*$AC$3</f>
        <v>21513.636768000004</v>
      </c>
      <c r="AD340" s="156">
        <f>S340*$AD$3</f>
        <v>14521.704818400001</v>
      </c>
      <c r="AE340" s="156">
        <f>S340*$AE$3</f>
        <v>6619.5805440000013</v>
      </c>
      <c r="AF340" s="156">
        <f>S340*$AF$3</f>
        <v>3309.7902720000006</v>
      </c>
      <c r="AG340" s="156">
        <f>S340*$AG$3</f>
        <v>3309.7902720000006</v>
      </c>
      <c r="AH340" s="156">
        <f>S340*$AH$3</f>
        <v>1654.8951360000003</v>
      </c>
      <c r="AI340" s="156">
        <f>S340*$AI$3</f>
        <v>3309.7902720000006</v>
      </c>
      <c r="AJ340" s="156">
        <f>S340*$AJ$3</f>
        <v>3309.7902720000006</v>
      </c>
      <c r="AK340" s="156">
        <f>S340*$AK$3</f>
        <v>11584.265952000003</v>
      </c>
      <c r="AL340" s="157">
        <f t="shared" si="229"/>
        <v>50929.397810400005</v>
      </c>
      <c r="AM340" s="158">
        <f t="shared" si="230"/>
        <v>2200</v>
      </c>
      <c r="AN340" s="159">
        <v>0.2</v>
      </c>
      <c r="AO340" s="160">
        <f t="shared" si="231"/>
        <v>1353212674.3653347</v>
      </c>
      <c r="AP340" s="161">
        <f t="shared" si="232"/>
        <v>375892.43961731909</v>
      </c>
      <c r="AQ340" s="162">
        <f t="shared" si="233"/>
        <v>75178.487923463821</v>
      </c>
      <c r="AR340" s="580">
        <f t="shared" si="234"/>
        <v>10.727523961681481</v>
      </c>
      <c r="AS340" s="582">
        <f t="shared" si="235"/>
        <v>10.727523961681481</v>
      </c>
      <c r="AT340" s="588"/>
      <c r="AU340" s="166"/>
      <c r="AV340" s="167"/>
      <c r="AW340" s="146"/>
      <c r="AX340" s="168"/>
    </row>
    <row r="341" spans="1:50" s="139" customFormat="1" ht="11.25" x14ac:dyDescent="0.25">
      <c r="A341" s="140">
        <v>28</v>
      </c>
      <c r="B341" s="343" t="s">
        <v>372</v>
      </c>
      <c r="C341" s="142"/>
      <c r="D341" s="143"/>
      <c r="E341" s="143"/>
      <c r="F341" s="143"/>
      <c r="G341" s="143"/>
      <c r="H341" s="143"/>
      <c r="I341" s="143"/>
      <c r="J341" s="143"/>
      <c r="K341" s="143"/>
      <c r="L341" s="143"/>
      <c r="M341" s="222"/>
      <c r="N341" s="222">
        <v>1394839</v>
      </c>
      <c r="O341" s="145"/>
      <c r="P341" s="223">
        <f t="shared" si="236"/>
        <v>1394839</v>
      </c>
      <c r="Q341" s="147">
        <f>P341*$Q$6</f>
        <v>228753.59600000002</v>
      </c>
      <c r="R341" s="147">
        <f t="shared" si="228"/>
        <v>626.72218082191785</v>
      </c>
      <c r="S341" s="148">
        <f>R341*$S$3*$S$6</f>
        <v>183002.87680000003</v>
      </c>
      <c r="T341" s="199"/>
      <c r="U341" s="150"/>
      <c r="V341" s="151"/>
      <c r="W341" s="151"/>
      <c r="X341" s="152"/>
      <c r="Y341" s="153"/>
      <c r="Z341" s="153"/>
      <c r="AA341" s="154"/>
      <c r="AB341" s="155">
        <f>S341*$AB$3</f>
        <v>106141.66854400001</v>
      </c>
      <c r="AC341" s="156">
        <f>S341*$AC$3</f>
        <v>23790.373984000005</v>
      </c>
      <c r="AD341" s="156">
        <f>S341*$AD$3</f>
        <v>16058.502439200001</v>
      </c>
      <c r="AE341" s="156">
        <f>S341*$AE$3</f>
        <v>7320.1150720000014</v>
      </c>
      <c r="AF341" s="156">
        <f>S341*$AF$3</f>
        <v>3660.0575360000007</v>
      </c>
      <c r="AG341" s="156">
        <f>S341*$AG$3</f>
        <v>3660.0575360000007</v>
      </c>
      <c r="AH341" s="156">
        <f>S341*$AH$3</f>
        <v>1830.0287680000004</v>
      </c>
      <c r="AI341" s="156">
        <f>S341*$AI$3</f>
        <v>3660.0575360000007</v>
      </c>
      <c r="AJ341" s="156">
        <f>S341*$AJ$3</f>
        <v>3660.0575360000007</v>
      </c>
      <c r="AK341" s="156">
        <f>S341*$AK$3</f>
        <v>12810.201376000003</v>
      </c>
      <c r="AL341" s="157">
        <f t="shared" si="229"/>
        <v>56319.135335200015</v>
      </c>
      <c r="AM341" s="158">
        <f t="shared" si="230"/>
        <v>2200</v>
      </c>
      <c r="AN341" s="159">
        <v>0.2</v>
      </c>
      <c r="AO341" s="160">
        <f t="shared" si="231"/>
        <v>1496419966.0991559</v>
      </c>
      <c r="AP341" s="161">
        <f t="shared" si="232"/>
        <v>415672.24605909811</v>
      </c>
      <c r="AQ341" s="162">
        <f t="shared" si="233"/>
        <v>83134.449211819621</v>
      </c>
      <c r="AR341" s="580">
        <f t="shared" si="234"/>
        <v>11.862792410362388</v>
      </c>
      <c r="AS341" s="582">
        <f t="shared" si="235"/>
        <v>11.862792410362388</v>
      </c>
      <c r="AT341" s="588"/>
      <c r="AU341" s="166"/>
      <c r="AV341" s="167"/>
      <c r="AW341" s="146"/>
      <c r="AX341" s="168"/>
    </row>
    <row r="342" spans="1:50" s="139" customFormat="1" ht="11.25" x14ac:dyDescent="0.25">
      <c r="A342" s="140">
        <v>29</v>
      </c>
      <c r="B342" s="343" t="s">
        <v>373</v>
      </c>
      <c r="C342" s="142"/>
      <c r="D342" s="143"/>
      <c r="E342" s="143"/>
      <c r="F342" s="143"/>
      <c r="G342" s="143"/>
      <c r="H342" s="143"/>
      <c r="I342" s="143"/>
      <c r="J342" s="143"/>
      <c r="K342" s="143"/>
      <c r="L342" s="143"/>
      <c r="M342" s="222"/>
      <c r="N342" s="222">
        <v>1733869</v>
      </c>
      <c r="O342" s="145"/>
      <c r="P342" s="223">
        <f t="shared" si="236"/>
        <v>1733869</v>
      </c>
      <c r="Q342" s="147">
        <f>P342*$Q$5</f>
        <v>410926.95299999998</v>
      </c>
      <c r="R342" s="147">
        <f t="shared" si="228"/>
        <v>1125.8272684931505</v>
      </c>
      <c r="S342" s="148">
        <f>R342*$S$3*$S$5</f>
        <v>369834.25769999996</v>
      </c>
      <c r="T342" s="199"/>
      <c r="U342" s="150"/>
      <c r="V342" s="151"/>
      <c r="W342" s="151"/>
      <c r="X342" s="152"/>
      <c r="Y342" s="153"/>
      <c r="Z342" s="153"/>
      <c r="AA342" s="154"/>
      <c r="AB342" s="155">
        <f>S342*$AB$3</f>
        <v>214503.86946599997</v>
      </c>
      <c r="AC342" s="156">
        <f>S342*$AC$3</f>
        <v>48078.453500999996</v>
      </c>
      <c r="AD342" s="156">
        <f>S342*$AD$3</f>
        <v>32452.956113174994</v>
      </c>
      <c r="AE342" s="156">
        <f>S342*$AE$3</f>
        <v>14793.370307999998</v>
      </c>
      <c r="AF342" s="156">
        <f>S342*$AF$3</f>
        <v>7396.6851539999989</v>
      </c>
      <c r="AG342" s="156">
        <f>S342*$AG$3</f>
        <v>7396.6851539999989</v>
      </c>
      <c r="AH342" s="156">
        <f>S342*$AH$3</f>
        <v>3698.3425769999994</v>
      </c>
      <c r="AI342" s="156">
        <f>S342*$AI$3</f>
        <v>7396.6851539999989</v>
      </c>
      <c r="AJ342" s="156">
        <f>S342*$AJ$3</f>
        <v>7396.6851539999989</v>
      </c>
      <c r="AK342" s="156">
        <f>S342*$AK$3</f>
        <v>25888.398039</v>
      </c>
      <c r="AL342" s="157">
        <f t="shared" si="229"/>
        <v>113816.492807175</v>
      </c>
      <c r="AM342" s="158">
        <f t="shared" si="230"/>
        <v>2200</v>
      </c>
      <c r="AN342" s="159">
        <v>0.2</v>
      </c>
      <c r="AO342" s="160">
        <f t="shared" si="231"/>
        <v>3024145724.0837235</v>
      </c>
      <c r="AP342" s="161">
        <f t="shared" si="232"/>
        <v>840040.54611538374</v>
      </c>
      <c r="AQ342" s="162">
        <f t="shared" si="233"/>
        <v>168008.10922307675</v>
      </c>
      <c r="AR342" s="580">
        <f t="shared" si="234"/>
        <v>23.973759877722138</v>
      </c>
      <c r="AS342" s="582">
        <f t="shared" si="235"/>
        <v>23.973759877722138</v>
      </c>
      <c r="AT342" s="588"/>
      <c r="AU342" s="166"/>
      <c r="AV342" s="167"/>
      <c r="AW342" s="146"/>
      <c r="AX342" s="168"/>
    </row>
    <row r="343" spans="1:50" s="139" customFormat="1" ht="11.25" x14ac:dyDescent="0.25">
      <c r="A343" s="140">
        <v>30</v>
      </c>
      <c r="B343" s="342" t="s">
        <v>374</v>
      </c>
      <c r="C343" s="235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>
        <v>118227</v>
      </c>
      <c r="O343" s="237"/>
      <c r="P343" s="223">
        <f t="shared" si="236"/>
        <v>118227</v>
      </c>
      <c r="Q343" s="147">
        <f>P343*$Q$8</f>
        <v>13004.97</v>
      </c>
      <c r="R343" s="147">
        <f t="shared" si="228"/>
        <v>35.630054794520547</v>
      </c>
      <c r="S343" s="148">
        <f>R343*$S$3*$S$8</f>
        <v>7802.9819999999991</v>
      </c>
      <c r="T343" s="199"/>
      <c r="U343" s="150"/>
      <c r="V343" s="151"/>
      <c r="W343" s="151"/>
      <c r="X343" s="152"/>
      <c r="Y343" s="153"/>
      <c r="Z343" s="153"/>
      <c r="AA343" s="154"/>
      <c r="AB343" s="155">
        <f>S343*$AB$3</f>
        <v>4525.7295599999989</v>
      </c>
      <c r="AC343" s="156">
        <f>S343*$AC$3</f>
        <v>1014.3876599999999</v>
      </c>
      <c r="AD343" s="156">
        <f>S343*$AD$3</f>
        <v>684.71167049999985</v>
      </c>
      <c r="AE343" s="156">
        <f>S343*$AE$3</f>
        <v>312.11927999999995</v>
      </c>
      <c r="AF343" s="156">
        <f>S343*$AF$3</f>
        <v>156.05963999999997</v>
      </c>
      <c r="AG343" s="156">
        <f>S343*$AG$3</f>
        <v>156.05963999999997</v>
      </c>
      <c r="AH343" s="156">
        <f>S343*$AH$3</f>
        <v>78.029819999999987</v>
      </c>
      <c r="AI343" s="156">
        <f>S343*$AI$3</f>
        <v>156.05963999999997</v>
      </c>
      <c r="AJ343" s="156">
        <f>S343*$AJ$3</f>
        <v>156.05963999999997</v>
      </c>
      <c r="AK343" s="156">
        <f>S343*$AK$3</f>
        <v>546.20874000000003</v>
      </c>
      <c r="AL343" s="157">
        <f t="shared" si="229"/>
        <v>2401.3677104999997</v>
      </c>
      <c r="AM343" s="158">
        <f t="shared" si="230"/>
        <v>2200</v>
      </c>
      <c r="AN343" s="159">
        <v>0.2</v>
      </c>
      <c r="AO343" s="160">
        <f t="shared" si="231"/>
        <v>63805215.874684669</v>
      </c>
      <c r="AP343" s="161">
        <f t="shared" si="232"/>
        <v>17723.672494194983</v>
      </c>
      <c r="AQ343" s="162">
        <f t="shared" si="233"/>
        <v>3544.7344988389968</v>
      </c>
      <c r="AR343" s="580">
        <f t="shared" si="234"/>
        <v>0.50581257118136369</v>
      </c>
      <c r="AS343" s="582">
        <f t="shared" si="235"/>
        <v>0.50581257118136369</v>
      </c>
      <c r="AT343" s="588"/>
      <c r="AU343" s="166"/>
      <c r="AV343" s="167"/>
      <c r="AW343" s="146"/>
      <c r="AX343" s="168"/>
    </row>
    <row r="344" spans="1:50" s="139" customFormat="1" ht="11.25" x14ac:dyDescent="0.25">
      <c r="A344" s="140">
        <v>31</v>
      </c>
      <c r="B344" s="342" t="s">
        <v>375</v>
      </c>
      <c r="C344" s="235"/>
      <c r="D344" s="236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>
        <v>499337</v>
      </c>
      <c r="O344" s="237"/>
      <c r="P344" s="223">
        <f t="shared" si="236"/>
        <v>499337</v>
      </c>
      <c r="Q344" s="147">
        <f>P344*$Q$8</f>
        <v>54927.07</v>
      </c>
      <c r="R344" s="147">
        <f t="shared" si="228"/>
        <v>150.48512328767123</v>
      </c>
      <c r="S344" s="148">
        <f>R344*$S$3*$S$8</f>
        <v>32956.241999999998</v>
      </c>
      <c r="T344" s="199"/>
      <c r="U344" s="150"/>
      <c r="V344" s="151"/>
      <c r="W344" s="151"/>
      <c r="X344" s="152"/>
      <c r="Y344" s="153"/>
      <c r="Z344" s="153"/>
      <c r="AA344" s="154"/>
      <c r="AB344" s="155">
        <f>S344*$AB$3</f>
        <v>19114.620359999997</v>
      </c>
      <c r="AC344" s="156">
        <f>S344*$AC$3</f>
        <v>4284.3114599999999</v>
      </c>
      <c r="AD344" s="156">
        <f>S344*$AD$3</f>
        <v>2891.9102354999995</v>
      </c>
      <c r="AE344" s="156">
        <f>S344*$AE$3</f>
        <v>1318.2496799999999</v>
      </c>
      <c r="AF344" s="156">
        <f>S344*$AF$3</f>
        <v>659.12483999999995</v>
      </c>
      <c r="AG344" s="156">
        <f>S344*$AG$3</f>
        <v>659.12483999999995</v>
      </c>
      <c r="AH344" s="156">
        <f>S344*$AH$3</f>
        <v>329.56241999999997</v>
      </c>
      <c r="AI344" s="156">
        <f>S344*$AI$3</f>
        <v>659.12483999999995</v>
      </c>
      <c r="AJ344" s="156">
        <f>S344*$AJ$3</f>
        <v>659.12483999999995</v>
      </c>
      <c r="AK344" s="156">
        <f>S344*$AK$3</f>
        <v>2306.93694</v>
      </c>
      <c r="AL344" s="157">
        <f t="shared" si="229"/>
        <v>10142.2834755</v>
      </c>
      <c r="AM344" s="158">
        <f t="shared" si="230"/>
        <v>2200</v>
      </c>
      <c r="AN344" s="159">
        <v>0.2</v>
      </c>
      <c r="AO344" s="160">
        <f t="shared" si="231"/>
        <v>269484170.95263708</v>
      </c>
      <c r="AP344" s="161">
        <f t="shared" si="232"/>
        <v>74856.72014204743</v>
      </c>
      <c r="AQ344" s="162">
        <f t="shared" si="233"/>
        <v>14971.344028409487</v>
      </c>
      <c r="AR344" s="580">
        <f t="shared" si="234"/>
        <v>2.1363219218620841</v>
      </c>
      <c r="AS344" s="582">
        <f t="shared" si="235"/>
        <v>2.1363219218620841</v>
      </c>
      <c r="AT344" s="588"/>
      <c r="AU344" s="166"/>
      <c r="AV344" s="167"/>
      <c r="AW344" s="146"/>
      <c r="AX344" s="168"/>
    </row>
    <row r="345" spans="1:50" s="139" customFormat="1" ht="11.25" x14ac:dyDescent="0.25">
      <c r="A345" s="140">
        <v>32</v>
      </c>
      <c r="B345" s="342" t="s">
        <v>376</v>
      </c>
      <c r="C345" s="235"/>
      <c r="D345" s="236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>
        <v>170332</v>
      </c>
      <c r="O345" s="237"/>
      <c r="P345" s="223">
        <f t="shared" si="236"/>
        <v>170332</v>
      </c>
      <c r="Q345" s="147">
        <f>P345*$Q$8</f>
        <v>18736.52</v>
      </c>
      <c r="R345" s="147">
        <f t="shared" si="228"/>
        <v>51.332931506849313</v>
      </c>
      <c r="S345" s="148">
        <f>R345*$S$3*$S$8</f>
        <v>11241.912</v>
      </c>
      <c r="T345" s="199"/>
      <c r="U345" s="150"/>
      <c r="V345" s="151"/>
      <c r="W345" s="151"/>
      <c r="X345" s="152"/>
      <c r="Y345" s="153"/>
      <c r="Z345" s="153"/>
      <c r="AA345" s="154"/>
      <c r="AB345" s="155">
        <f>S345*$AB$3</f>
        <v>6520.3089599999994</v>
      </c>
      <c r="AC345" s="156">
        <f>S345*$AC$3</f>
        <v>1461.44856</v>
      </c>
      <c r="AD345" s="156">
        <f>S345*$AD$3</f>
        <v>986.47777799999994</v>
      </c>
      <c r="AE345" s="156">
        <f>S345*$AE$3</f>
        <v>449.67648000000003</v>
      </c>
      <c r="AF345" s="156">
        <f>S345*$AF$3</f>
        <v>224.83824000000001</v>
      </c>
      <c r="AG345" s="156">
        <f>S345*$AG$3</f>
        <v>224.83824000000001</v>
      </c>
      <c r="AH345" s="156">
        <f>S345*$AH$3</f>
        <v>112.41912000000001</v>
      </c>
      <c r="AI345" s="156">
        <f>S345*$AI$3</f>
        <v>224.83824000000001</v>
      </c>
      <c r="AJ345" s="156">
        <f>S345*$AJ$3</f>
        <v>224.83824000000001</v>
      </c>
      <c r="AK345" s="156">
        <f>S345*$AK$3</f>
        <v>786.93384000000015</v>
      </c>
      <c r="AL345" s="157">
        <f t="shared" si="229"/>
        <v>3459.6984180000004</v>
      </c>
      <c r="AM345" s="158">
        <f t="shared" si="230"/>
        <v>2200</v>
      </c>
      <c r="AN345" s="159">
        <v>0.2</v>
      </c>
      <c r="AO345" s="160">
        <f t="shared" si="231"/>
        <v>91925448.758462876</v>
      </c>
      <c r="AP345" s="161">
        <f t="shared" si="232"/>
        <v>25534.848920138549</v>
      </c>
      <c r="AQ345" s="162">
        <f t="shared" si="233"/>
        <v>5106.9697840277104</v>
      </c>
      <c r="AR345" s="580">
        <f t="shared" si="234"/>
        <v>0.72873427283500436</v>
      </c>
      <c r="AS345" s="582">
        <f t="shared" si="235"/>
        <v>0.72873427283500436</v>
      </c>
      <c r="AT345" s="589"/>
      <c r="AU345" s="166"/>
      <c r="AV345" s="167"/>
      <c r="AW345" s="146"/>
      <c r="AX345" s="168"/>
    </row>
    <row r="346" spans="1:50" s="139" customFormat="1" ht="11.25" x14ac:dyDescent="0.25">
      <c r="A346" s="140">
        <v>33</v>
      </c>
      <c r="B346" s="335" t="s">
        <v>377</v>
      </c>
      <c r="C346" s="235"/>
      <c r="D346" s="236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>
        <v>1555984</v>
      </c>
      <c r="O346" s="237"/>
      <c r="P346" s="223">
        <f t="shared" si="236"/>
        <v>1555984</v>
      </c>
      <c r="Q346" s="147">
        <f>P346*$Q$5</f>
        <v>368768.20799999998</v>
      </c>
      <c r="R346" s="147">
        <f t="shared" si="228"/>
        <v>1010.3238575342465</v>
      </c>
      <c r="S346" s="148">
        <f>R346*$S$3*$S$5</f>
        <v>331891.3872</v>
      </c>
      <c r="T346" s="199"/>
      <c r="U346" s="150"/>
      <c r="V346" s="151"/>
      <c r="W346" s="151"/>
      <c r="X346" s="152"/>
      <c r="Y346" s="153"/>
      <c r="Z346" s="153"/>
      <c r="AA346" s="154"/>
      <c r="AB346" s="155">
        <f>S346*$AB$3</f>
        <v>192497.00457599998</v>
      </c>
      <c r="AC346" s="156">
        <f>S346*$AC$3</f>
        <v>43145.880336000002</v>
      </c>
      <c r="AD346" s="156">
        <f>S346*$AD$3</f>
        <v>29123.469226799996</v>
      </c>
      <c r="AE346" s="156">
        <f>S346*$AE$3</f>
        <v>13275.655488</v>
      </c>
      <c r="AF346" s="156">
        <f>S346*$AF$3</f>
        <v>6637.8277440000002</v>
      </c>
      <c r="AG346" s="156">
        <f>S346*$AG$3</f>
        <v>6637.8277440000002</v>
      </c>
      <c r="AH346" s="156">
        <f>S346*$AH$3</f>
        <v>3318.9138720000001</v>
      </c>
      <c r="AI346" s="156">
        <f>S346*$AI$3</f>
        <v>6637.8277440000002</v>
      </c>
      <c r="AJ346" s="156">
        <f>S346*$AJ$3</f>
        <v>6637.8277440000002</v>
      </c>
      <c r="AK346" s="156">
        <f>S346*$AK$3</f>
        <v>23232.397104000003</v>
      </c>
      <c r="AL346" s="157">
        <f t="shared" si="229"/>
        <v>102139.57441079999</v>
      </c>
      <c r="AM346" s="158">
        <f t="shared" si="230"/>
        <v>2200</v>
      </c>
      <c r="AN346" s="159">
        <v>0.2</v>
      </c>
      <c r="AO346" s="160">
        <f t="shared" si="231"/>
        <v>2713885743.5842552</v>
      </c>
      <c r="AP346" s="161">
        <f t="shared" si="232"/>
        <v>753857.21130419848</v>
      </c>
      <c r="AQ346" s="162">
        <f t="shared" si="233"/>
        <v>150771.44226083971</v>
      </c>
      <c r="AR346" s="580">
        <f t="shared" si="234"/>
        <v>21.514189820325303</v>
      </c>
      <c r="AS346" s="582">
        <f t="shared" si="235"/>
        <v>21.514189820325303</v>
      </c>
      <c r="AT346" s="588"/>
      <c r="AU346" s="166"/>
      <c r="AV346" s="167"/>
      <c r="AW346" s="146"/>
      <c r="AX346" s="168"/>
    </row>
    <row r="347" spans="1:50" s="139" customFormat="1" ht="11.25" x14ac:dyDescent="0.25">
      <c r="A347" s="140">
        <v>34</v>
      </c>
      <c r="B347" s="345" t="s">
        <v>378</v>
      </c>
      <c r="C347" s="235"/>
      <c r="D347" s="236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>
        <v>281434</v>
      </c>
      <c r="O347" s="237"/>
      <c r="P347" s="223">
        <f t="shared" si="236"/>
        <v>281434</v>
      </c>
      <c r="Q347" s="147">
        <f>P347*$Q$8</f>
        <v>30957.74</v>
      </c>
      <c r="R347" s="147">
        <f t="shared" si="228"/>
        <v>84.815726027397261</v>
      </c>
      <c r="S347" s="148">
        <f>R347*$S$3*$S$8</f>
        <v>18574.644</v>
      </c>
      <c r="T347" s="199"/>
      <c r="U347" s="150"/>
      <c r="V347" s="151"/>
      <c r="W347" s="151"/>
      <c r="X347" s="152"/>
      <c r="Y347" s="153"/>
      <c r="Z347" s="153"/>
      <c r="AA347" s="154"/>
      <c r="AB347" s="155">
        <f>S347*$AB$3</f>
        <v>10773.293519999999</v>
      </c>
      <c r="AC347" s="156">
        <f>S347*$AC$3</f>
        <v>2414.70372</v>
      </c>
      <c r="AD347" s="156">
        <f>S347*$AD$3</f>
        <v>1629.9250109999998</v>
      </c>
      <c r="AE347" s="156">
        <f>S347*$AE$3</f>
        <v>742.98576000000003</v>
      </c>
      <c r="AF347" s="156">
        <f>S347*$AF$3</f>
        <v>371.49288000000001</v>
      </c>
      <c r="AG347" s="156">
        <f>S347*$AG$3</f>
        <v>371.49288000000001</v>
      </c>
      <c r="AH347" s="156">
        <f>S347*$AH$3</f>
        <v>185.74644000000001</v>
      </c>
      <c r="AI347" s="156">
        <f>S347*$AI$3</f>
        <v>371.49288000000001</v>
      </c>
      <c r="AJ347" s="156">
        <f>S347*$AJ$3</f>
        <v>371.49288000000001</v>
      </c>
      <c r="AK347" s="156">
        <f>S347*$AK$3</f>
        <v>1300.2250800000002</v>
      </c>
      <c r="AL347" s="157">
        <f t="shared" si="229"/>
        <v>5716.3466909999997</v>
      </c>
      <c r="AM347" s="158">
        <f t="shared" si="230"/>
        <v>2200</v>
      </c>
      <c r="AN347" s="159">
        <v>0.2</v>
      </c>
      <c r="AO347" s="160">
        <f t="shared" si="231"/>
        <v>151885416.39791253</v>
      </c>
      <c r="AP347" s="161">
        <f t="shared" si="232"/>
        <v>42190.396819096066</v>
      </c>
      <c r="AQ347" s="162">
        <f t="shared" si="233"/>
        <v>8438.0793638192135</v>
      </c>
      <c r="AR347" s="580">
        <f t="shared" si="234"/>
        <v>1.2040638361614175</v>
      </c>
      <c r="AS347" s="582">
        <f t="shared" si="235"/>
        <v>1.2040638361614175</v>
      </c>
      <c r="AT347" s="588"/>
      <c r="AU347" s="166"/>
      <c r="AV347" s="167"/>
      <c r="AW347" s="146"/>
      <c r="AX347" s="168"/>
    </row>
    <row r="348" spans="1:50" s="139" customFormat="1" ht="11.25" x14ac:dyDescent="0.25">
      <c r="A348" s="140">
        <v>35</v>
      </c>
      <c r="B348" s="69" t="s">
        <v>379</v>
      </c>
      <c r="C348" s="235"/>
      <c r="D348" s="236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>
        <v>239599</v>
      </c>
      <c r="O348" s="237"/>
      <c r="P348" s="223">
        <f t="shared" si="236"/>
        <v>239599</v>
      </c>
      <c r="Q348" s="147">
        <f>P348*$Q$8</f>
        <v>26355.89</v>
      </c>
      <c r="R348" s="147">
        <f t="shared" si="228"/>
        <v>72.207917808219179</v>
      </c>
      <c r="S348" s="148">
        <f>R348*$S$3*$S$8</f>
        <v>15813.534</v>
      </c>
      <c r="T348" s="199"/>
      <c r="U348" s="150"/>
      <c r="V348" s="151"/>
      <c r="W348" s="151"/>
      <c r="X348" s="152"/>
      <c r="Y348" s="153"/>
      <c r="Z348" s="153"/>
      <c r="AA348" s="154"/>
      <c r="AB348" s="155">
        <f>S348*$AB$3</f>
        <v>9171.8497199999983</v>
      </c>
      <c r="AC348" s="156">
        <f>S348*$AC$3</f>
        <v>2055.7594199999999</v>
      </c>
      <c r="AD348" s="156">
        <f>S348*$AD$3</f>
        <v>1387.6376084999999</v>
      </c>
      <c r="AE348" s="156">
        <f>S348*$AE$3</f>
        <v>632.54136000000005</v>
      </c>
      <c r="AF348" s="156">
        <f>S348*$AF$3</f>
        <v>316.27068000000003</v>
      </c>
      <c r="AG348" s="156">
        <f>S348*$AG$3</f>
        <v>316.27068000000003</v>
      </c>
      <c r="AH348" s="156">
        <f>S348*$AH$3</f>
        <v>158.13534000000001</v>
      </c>
      <c r="AI348" s="156">
        <f>S348*$AI$3</f>
        <v>316.27068000000003</v>
      </c>
      <c r="AJ348" s="156">
        <f>S348*$AJ$3</f>
        <v>316.27068000000003</v>
      </c>
      <c r="AK348" s="156">
        <f>S348*$AK$3</f>
        <v>1106.9473800000001</v>
      </c>
      <c r="AL348" s="157">
        <f t="shared" si="229"/>
        <v>4866.6150884999988</v>
      </c>
      <c r="AM348" s="158">
        <f t="shared" si="230"/>
        <v>2200</v>
      </c>
      <c r="AN348" s="159">
        <v>0.2</v>
      </c>
      <c r="AO348" s="160">
        <f t="shared" si="231"/>
        <v>129307737.81250113</v>
      </c>
      <c r="AP348" s="161">
        <f t="shared" si="232"/>
        <v>35918.818932533373</v>
      </c>
      <c r="AQ348" s="162">
        <f t="shared" si="233"/>
        <v>7183.7637865066754</v>
      </c>
      <c r="AR348" s="580">
        <f t="shared" si="234"/>
        <v>1.0250804489878247</v>
      </c>
      <c r="AS348" s="582">
        <f t="shared" si="235"/>
        <v>1.0250804489878247</v>
      </c>
      <c r="AT348" s="588"/>
      <c r="AU348" s="166"/>
      <c r="AV348" s="167"/>
      <c r="AW348" s="167"/>
      <c r="AX348" s="168"/>
    </row>
    <row r="349" spans="1:50" s="190" customFormat="1" ht="11.25" x14ac:dyDescent="0.25">
      <c r="A349" s="120"/>
      <c r="B349" s="121" t="s">
        <v>380</v>
      </c>
      <c r="C349" s="240">
        <f t="shared" ref="C349:T349" si="237">SUM(C314:C348)</f>
        <v>0</v>
      </c>
      <c r="D349" s="240">
        <f t="shared" si="237"/>
        <v>0</v>
      </c>
      <c r="E349" s="240">
        <f t="shared" si="237"/>
        <v>0</v>
      </c>
      <c r="F349" s="240">
        <f t="shared" si="237"/>
        <v>0</v>
      </c>
      <c r="G349" s="240">
        <f t="shared" si="237"/>
        <v>0</v>
      </c>
      <c r="H349" s="240">
        <f t="shared" si="237"/>
        <v>0</v>
      </c>
      <c r="I349" s="240">
        <f t="shared" si="237"/>
        <v>0</v>
      </c>
      <c r="J349" s="240">
        <f t="shared" si="237"/>
        <v>0</v>
      </c>
      <c r="K349" s="240">
        <f t="shared" si="237"/>
        <v>0</v>
      </c>
      <c r="L349" s="240">
        <f t="shared" si="237"/>
        <v>0</v>
      </c>
      <c r="M349" s="240">
        <f t="shared" si="237"/>
        <v>0</v>
      </c>
      <c r="N349" s="240">
        <f t="shared" si="237"/>
        <v>32382677</v>
      </c>
      <c r="O349" s="240">
        <f t="shared" si="237"/>
        <v>0</v>
      </c>
      <c r="P349" s="240">
        <f t="shared" si="237"/>
        <v>32382677</v>
      </c>
      <c r="Q349" s="240">
        <f t="shared" si="237"/>
        <v>5465067.5629999992</v>
      </c>
      <c r="R349" s="240">
        <f t="shared" si="237"/>
        <v>14972.787843835617</v>
      </c>
      <c r="S349" s="240">
        <f t="shared" si="237"/>
        <v>4295407.7093000002</v>
      </c>
      <c r="T349" s="199">
        <f t="shared" si="237"/>
        <v>0</v>
      </c>
      <c r="U349" s="241"/>
      <c r="V349" s="242">
        <f>SUM(V314:V348)</f>
        <v>0</v>
      </c>
      <c r="W349" s="242">
        <f>SUM(W314:W348)</f>
        <v>0</v>
      </c>
      <c r="X349" s="242">
        <f>SUM(X314:X348)</f>
        <v>0</v>
      </c>
      <c r="Y349" s="199"/>
      <c r="Z349" s="199"/>
      <c r="AA349" s="243"/>
      <c r="AB349" s="240">
        <f t="shared" ref="AB349:AL349" si="238">SUM(AB314:AB348)</f>
        <v>2491336.4713939992</v>
      </c>
      <c r="AC349" s="244">
        <f t="shared" si="238"/>
        <v>558403.00220900017</v>
      </c>
      <c r="AD349" s="244">
        <f t="shared" si="238"/>
        <v>376922.026491075</v>
      </c>
      <c r="AE349" s="244">
        <f t="shared" si="238"/>
        <v>171816.308372</v>
      </c>
      <c r="AF349" s="244">
        <f t="shared" si="238"/>
        <v>85908.154186</v>
      </c>
      <c r="AG349" s="244">
        <f t="shared" si="238"/>
        <v>85908.154186</v>
      </c>
      <c r="AH349" s="244">
        <f t="shared" si="238"/>
        <v>42954.077093</v>
      </c>
      <c r="AI349" s="244">
        <f t="shared" si="238"/>
        <v>85908.154186</v>
      </c>
      <c r="AJ349" s="244">
        <f t="shared" si="238"/>
        <v>85908.154186</v>
      </c>
      <c r="AK349" s="244">
        <f t="shared" si="238"/>
        <v>300678.53965100006</v>
      </c>
      <c r="AL349" s="245">
        <f t="shared" si="238"/>
        <v>1321911.7225370749</v>
      </c>
      <c r="AM349" s="158"/>
      <c r="AN349" s="183"/>
      <c r="AO349" s="184">
        <f>SUM(AO314:AO348)</f>
        <v>35123676584.371368</v>
      </c>
      <c r="AP349" s="184">
        <f>SUM(AP314:AP348)</f>
        <v>9756577.6095181946</v>
      </c>
      <c r="AQ349" s="184">
        <f>SUM(AQ314:AQ348)</f>
        <v>1951315.5219036387</v>
      </c>
      <c r="AR349" s="186">
        <f>SUM(AR314:AR348)</f>
        <v>278.44114182414938</v>
      </c>
      <c r="AS349" s="435">
        <f>SUM(AS314:AS348)</f>
        <v>278.44114182414938</v>
      </c>
      <c r="AT349" s="589"/>
      <c r="AU349" s="246">
        <f>SUM(AU318:AU347)</f>
        <v>0</v>
      </c>
      <c r="AV349" s="246"/>
      <c r="AW349" s="185">
        <f>SUM(AW318:AW347)</f>
        <v>0</v>
      </c>
      <c r="AX349" s="189"/>
    </row>
    <row r="350" spans="1:50" x14ac:dyDescent="0.25">
      <c r="AS350" s="592"/>
    </row>
    <row r="351" spans="1:50" s="139" customFormat="1" ht="11.25" x14ac:dyDescent="0.25">
      <c r="A351" s="120"/>
      <c r="B351" s="121" t="s">
        <v>381</v>
      </c>
      <c r="C351" s="122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213"/>
      <c r="P351" s="76"/>
      <c r="Q351" s="108"/>
      <c r="R351" s="108"/>
      <c r="S351" s="94"/>
      <c r="T351" s="199"/>
      <c r="U351" s="179"/>
      <c r="V351" s="180"/>
      <c r="W351" s="180"/>
      <c r="X351" s="214"/>
      <c r="Y351" s="181"/>
      <c r="Z351" s="181"/>
      <c r="AA351" s="182"/>
      <c r="AB351" s="62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125"/>
      <c r="AM351" s="75"/>
      <c r="AN351" s="216"/>
      <c r="AO351" s="75"/>
      <c r="AP351" s="51"/>
      <c r="AQ351" s="217"/>
      <c r="AR351" s="583"/>
      <c r="AS351" s="584"/>
      <c r="AT351" s="587"/>
      <c r="AU351" s="135"/>
      <c r="AV351" s="136"/>
      <c r="AW351" s="137"/>
      <c r="AX351" s="138"/>
    </row>
    <row r="352" spans="1:50" s="139" customFormat="1" ht="11.25" x14ac:dyDescent="0.25">
      <c r="A352" s="140">
        <v>1</v>
      </c>
      <c r="B352" s="63" t="s">
        <v>382</v>
      </c>
      <c r="C352" s="142"/>
      <c r="D352" s="143"/>
      <c r="E352" s="143"/>
      <c r="F352" s="143"/>
      <c r="G352" s="143"/>
      <c r="H352" s="143"/>
      <c r="I352" s="143"/>
      <c r="J352" s="143"/>
      <c r="K352" s="143"/>
      <c r="L352" s="143"/>
      <c r="M352" s="222">
        <v>388755</v>
      </c>
      <c r="N352" s="222">
        <v>468992</v>
      </c>
      <c r="O352" s="145"/>
      <c r="P352" s="223">
        <f>MAX(C352:O352)</f>
        <v>468992</v>
      </c>
      <c r="Q352" s="147">
        <f>P352*$Q$8</f>
        <v>51589.120000000003</v>
      </c>
      <c r="R352" s="147">
        <f>Q352/$R$3</f>
        <v>141.34005479452057</v>
      </c>
      <c r="S352" s="148">
        <f>R352*$S$3*$S$8</f>
        <v>30953.472000000005</v>
      </c>
      <c r="T352" s="199"/>
      <c r="U352" s="150"/>
      <c r="V352" s="151"/>
      <c r="W352" s="151"/>
      <c r="X352" s="152"/>
      <c r="Y352" s="153"/>
      <c r="Z352" s="153"/>
      <c r="AA352" s="154"/>
      <c r="AB352" s="155">
        <f>S352*$AB$3</f>
        <v>17953.013760000002</v>
      </c>
      <c r="AC352" s="156">
        <f>S352*$AC$3</f>
        <v>4023.9513600000009</v>
      </c>
      <c r="AD352" s="156">
        <f>S352*$AD$3</f>
        <v>2716.1671680000004</v>
      </c>
      <c r="AE352" s="156">
        <f>S352*$AE$3</f>
        <v>1238.1388800000002</v>
      </c>
      <c r="AF352" s="156">
        <f>S352*$AF$3</f>
        <v>619.0694400000001</v>
      </c>
      <c r="AG352" s="156">
        <f>S352*$AG$3</f>
        <v>619.0694400000001</v>
      </c>
      <c r="AH352" s="156">
        <f>S352*$AH$3</f>
        <v>309.53472000000005</v>
      </c>
      <c r="AI352" s="156">
        <f>S352*$AI$3</f>
        <v>619.0694400000001</v>
      </c>
      <c r="AJ352" s="156">
        <f>S352*$AJ$3</f>
        <v>619.0694400000001</v>
      </c>
      <c r="AK352" s="156">
        <f>S352*$AK$3</f>
        <v>2166.7430400000007</v>
      </c>
      <c r="AL352" s="157">
        <f>SUM(AC352:AH352)</f>
        <v>9525.9310079999996</v>
      </c>
      <c r="AM352" s="158">
        <f>$AM$3</f>
        <v>2200</v>
      </c>
      <c r="AN352" s="159">
        <v>0.2</v>
      </c>
      <c r="AO352" s="160">
        <f>(AB352+AL352)*AM352*$AO$3</f>
        <v>253107461.10025728</v>
      </c>
      <c r="AP352" s="161">
        <f>AO352*$AP$3</f>
        <v>70307.633708015041</v>
      </c>
      <c r="AQ352" s="162">
        <f>AP352*$AQ$3</f>
        <v>14061.526741603009</v>
      </c>
      <c r="AR352" s="580">
        <f>AQ352/$AR$3</f>
        <v>2.006496395776685</v>
      </c>
      <c r="AS352" s="582">
        <f>AR352</f>
        <v>2.006496395776685</v>
      </c>
      <c r="AT352" s="588"/>
      <c r="AU352" s="166"/>
      <c r="AV352" s="167"/>
      <c r="AW352" s="146"/>
      <c r="AX352" s="168"/>
    </row>
    <row r="353" spans="1:50" s="139" customFormat="1" ht="11.25" x14ac:dyDescent="0.25">
      <c r="A353" s="140">
        <v>2</v>
      </c>
      <c r="B353" s="258" t="s">
        <v>383</v>
      </c>
      <c r="C353" s="142"/>
      <c r="D353" s="143"/>
      <c r="E353" s="143"/>
      <c r="F353" s="143"/>
      <c r="G353" s="143"/>
      <c r="H353" s="143"/>
      <c r="I353" s="143"/>
      <c r="J353" s="143"/>
      <c r="K353" s="143"/>
      <c r="L353" s="143"/>
      <c r="M353" s="222">
        <v>910572</v>
      </c>
      <c r="N353" s="222">
        <v>1038310</v>
      </c>
      <c r="O353" s="145"/>
      <c r="P353" s="223">
        <f>MAX(C353:O353)</f>
        <v>1038310</v>
      </c>
      <c r="Q353" s="147">
        <f>P353*$Q$6</f>
        <v>170282.84</v>
      </c>
      <c r="R353" s="147">
        <f>Q353/$R$3</f>
        <v>466.5283287671233</v>
      </c>
      <c r="S353" s="148">
        <f>R353*$S$3*$S$6</f>
        <v>136226.272</v>
      </c>
      <c r="T353" s="199"/>
      <c r="U353" s="150"/>
      <c r="V353" s="151"/>
      <c r="W353" s="151"/>
      <c r="X353" s="152"/>
      <c r="Y353" s="153"/>
      <c r="Z353" s="153"/>
      <c r="AA353" s="154"/>
      <c r="AB353" s="155">
        <f>S353*$AB$3</f>
        <v>79011.237759999989</v>
      </c>
      <c r="AC353" s="156">
        <f>S353*$AC$3</f>
        <v>17709.415359999999</v>
      </c>
      <c r="AD353" s="156">
        <f>S353*$AD$3</f>
        <v>11953.855367999999</v>
      </c>
      <c r="AE353" s="156">
        <f>S353*$AE$3</f>
        <v>5449.0508799999998</v>
      </c>
      <c r="AF353" s="156">
        <f>S353*$AF$3</f>
        <v>2724.5254399999999</v>
      </c>
      <c r="AG353" s="156">
        <f>S353*$AG$3</f>
        <v>2724.5254399999999</v>
      </c>
      <c r="AH353" s="156">
        <f>S353*$AH$3</f>
        <v>1362.2627199999999</v>
      </c>
      <c r="AI353" s="156">
        <f>S353*$AI$3</f>
        <v>2724.5254399999999</v>
      </c>
      <c r="AJ353" s="156">
        <f>S353*$AJ$3</f>
        <v>2724.5254399999999</v>
      </c>
      <c r="AK353" s="156">
        <f>S353*$AK$3</f>
        <v>9535.8390400000008</v>
      </c>
      <c r="AL353" s="157">
        <f>SUM(AC353:AH353)</f>
        <v>41923.635207999992</v>
      </c>
      <c r="AM353" s="158">
        <f>$AM$3</f>
        <v>2200</v>
      </c>
      <c r="AN353" s="159">
        <v>0.2</v>
      </c>
      <c r="AO353" s="160">
        <f>(AB353+AL353)*AM353*$AO$3</f>
        <v>1113926277.513329</v>
      </c>
      <c r="AP353" s="161">
        <f>AO353*$AP$3</f>
        <v>309423.99072984199</v>
      </c>
      <c r="AQ353" s="162">
        <f>AP353*$AQ$3</f>
        <v>61884.798145968402</v>
      </c>
      <c r="AR353" s="580">
        <f>AQ353/$AR$3</f>
        <v>8.8305933427466332</v>
      </c>
      <c r="AS353" s="582">
        <f>AR353</f>
        <v>8.8305933427466332</v>
      </c>
      <c r="AT353" s="588"/>
      <c r="AU353" s="166"/>
      <c r="AV353" s="167"/>
      <c r="AW353" s="146"/>
      <c r="AX353" s="168"/>
    </row>
    <row r="354" spans="1:50" s="139" customFormat="1" ht="11.25" x14ac:dyDescent="0.25">
      <c r="A354" s="140">
        <v>3</v>
      </c>
      <c r="B354" s="258" t="s">
        <v>384</v>
      </c>
      <c r="C354" s="142"/>
      <c r="D354" s="143"/>
      <c r="E354" s="143"/>
      <c r="F354" s="143"/>
      <c r="G354" s="143"/>
      <c r="H354" s="143"/>
      <c r="I354" s="143"/>
      <c r="J354" s="143"/>
      <c r="K354" s="143"/>
      <c r="L354" s="143"/>
      <c r="M354" s="222">
        <v>1090567</v>
      </c>
      <c r="N354" s="222">
        <v>1119271</v>
      </c>
      <c r="O354" s="145"/>
      <c r="P354" s="223">
        <f>MAX(C354:O354)</f>
        <v>1119271</v>
      </c>
      <c r="Q354" s="147">
        <f>P354*$Q$6</f>
        <v>183560.44400000002</v>
      </c>
      <c r="R354" s="147">
        <f>Q354/$R$3</f>
        <v>502.90532602739734</v>
      </c>
      <c r="S354" s="148">
        <f>R354*$S$3*$S$6</f>
        <v>146848.35520000002</v>
      </c>
      <c r="T354" s="199"/>
      <c r="U354" s="150"/>
      <c r="V354" s="151"/>
      <c r="W354" s="151"/>
      <c r="X354" s="152"/>
      <c r="Y354" s="153"/>
      <c r="Z354" s="153"/>
      <c r="AA354" s="154"/>
      <c r="AB354" s="155">
        <f>S354*$AB$3</f>
        <v>85172.046016000008</v>
      </c>
      <c r="AC354" s="156">
        <f>S354*$AC$3</f>
        <v>19090.286176000001</v>
      </c>
      <c r="AD354" s="156">
        <f>S354*$AD$3</f>
        <v>12885.9431688</v>
      </c>
      <c r="AE354" s="156">
        <f>S354*$AE$3</f>
        <v>5873.9342080000006</v>
      </c>
      <c r="AF354" s="156">
        <f>S354*$AF$3</f>
        <v>2936.9671040000003</v>
      </c>
      <c r="AG354" s="156">
        <f>S354*$AG$3</f>
        <v>2936.9671040000003</v>
      </c>
      <c r="AH354" s="156">
        <f>S354*$AH$3</f>
        <v>1468.4835520000001</v>
      </c>
      <c r="AI354" s="156">
        <f>S354*$AI$3</f>
        <v>2936.9671040000003</v>
      </c>
      <c r="AJ354" s="156">
        <f>S354*$AJ$3</f>
        <v>2936.9671040000003</v>
      </c>
      <c r="AK354" s="156">
        <f>S354*$AK$3</f>
        <v>10279.384864000001</v>
      </c>
      <c r="AL354" s="157">
        <f>SUM(AC354:AH354)</f>
        <v>45192.581312800008</v>
      </c>
      <c r="AM354" s="158">
        <f>$AM$3</f>
        <v>2200</v>
      </c>
      <c r="AN354" s="159">
        <v>0.2</v>
      </c>
      <c r="AO354" s="160">
        <f>(AB354+AL354)*AM354*$AO$3</f>
        <v>1200783367.7404838</v>
      </c>
      <c r="AP354" s="161">
        <f>AO354*$AP$3</f>
        <v>333550.96216754254</v>
      </c>
      <c r="AQ354" s="162">
        <f>AP354*$AQ$3</f>
        <v>66710.192433508506</v>
      </c>
      <c r="AR354" s="580">
        <f>AQ354/$AR$3</f>
        <v>9.5191484636855748</v>
      </c>
      <c r="AS354" s="582">
        <f>AR354</f>
        <v>9.5191484636855748</v>
      </c>
      <c r="AT354" s="588"/>
      <c r="AU354" s="166"/>
      <c r="AV354" s="167"/>
      <c r="AW354" s="146"/>
      <c r="AX354" s="168"/>
    </row>
    <row r="355" spans="1:50" s="139" customFormat="1" ht="11.25" x14ac:dyDescent="0.25">
      <c r="A355" s="140">
        <v>4</v>
      </c>
      <c r="B355" s="63" t="s">
        <v>385</v>
      </c>
      <c r="C355" s="142"/>
      <c r="D355" s="143"/>
      <c r="E355" s="143"/>
      <c r="F355" s="143"/>
      <c r="G355" s="143"/>
      <c r="H355" s="143"/>
      <c r="I355" s="143"/>
      <c r="J355" s="143"/>
      <c r="K355" s="143"/>
      <c r="L355" s="143"/>
      <c r="M355" s="222">
        <v>674408</v>
      </c>
      <c r="N355" s="222">
        <v>735020</v>
      </c>
      <c r="O355" s="145"/>
      <c r="P355" s="223">
        <f>MAX(C355:O355)</f>
        <v>735020</v>
      </c>
      <c r="Q355" s="147">
        <f>P355*$Q$7</f>
        <v>107312.92</v>
      </c>
      <c r="R355" s="147">
        <f>Q355/$R$3</f>
        <v>294.00799999999998</v>
      </c>
      <c r="S355" s="148">
        <f>R355*$S$3*$S$7</f>
        <v>75119.043999999994</v>
      </c>
      <c r="T355" s="199"/>
      <c r="U355" s="150"/>
      <c r="V355" s="151"/>
      <c r="W355" s="151"/>
      <c r="X355" s="152"/>
      <c r="Y355" s="153"/>
      <c r="Z355" s="153"/>
      <c r="AA355" s="154"/>
      <c r="AB355" s="155">
        <f>S355*$AB$3</f>
        <v>43569.045519999992</v>
      </c>
      <c r="AC355" s="156">
        <f>S355*$AC$3</f>
        <v>9765.4757200000004</v>
      </c>
      <c r="AD355" s="156">
        <f>S355*$AD$3</f>
        <v>6591.6961109999993</v>
      </c>
      <c r="AE355" s="156">
        <f>S355*$AE$3</f>
        <v>3004.7617599999999</v>
      </c>
      <c r="AF355" s="156">
        <f>S355*$AF$3</f>
        <v>1502.3808799999999</v>
      </c>
      <c r="AG355" s="156">
        <f>S355*$AG$3</f>
        <v>1502.3808799999999</v>
      </c>
      <c r="AH355" s="156">
        <f>S355*$AH$3</f>
        <v>751.19043999999997</v>
      </c>
      <c r="AI355" s="156">
        <f>S355*$AI$3</f>
        <v>1502.3808799999999</v>
      </c>
      <c r="AJ355" s="156">
        <f>S355*$AJ$3</f>
        <v>1502.3808799999999</v>
      </c>
      <c r="AK355" s="156">
        <f>S355*$AK$3</f>
        <v>5258.3330800000003</v>
      </c>
      <c r="AL355" s="157">
        <f>SUM(AC355:AH355)</f>
        <v>23117.885791000001</v>
      </c>
      <c r="AM355" s="158">
        <f>$AM$3</f>
        <v>2200</v>
      </c>
      <c r="AN355" s="159">
        <v>0.2</v>
      </c>
      <c r="AO355" s="160">
        <f>(AB355+AL355)*AM355*$AO$3</f>
        <v>614250656.82836843</v>
      </c>
      <c r="AP355" s="161">
        <f>AO355*$AP$3</f>
        <v>170625.19610233916</v>
      </c>
      <c r="AQ355" s="162">
        <f>AP355*$AQ$3</f>
        <v>34125.039220467836</v>
      </c>
      <c r="AR355" s="580">
        <f>AQ355/$AR$3</f>
        <v>4.8694405280347937</v>
      </c>
      <c r="AS355" s="582">
        <f>AR355</f>
        <v>4.8694405280347937</v>
      </c>
      <c r="AT355" s="588"/>
      <c r="AU355" s="166"/>
      <c r="AV355" s="167"/>
      <c r="AW355" s="146"/>
      <c r="AX355" s="168"/>
    </row>
    <row r="356" spans="1:50" s="139" customFormat="1" ht="11.25" x14ac:dyDescent="0.25">
      <c r="A356" s="140">
        <v>5</v>
      </c>
      <c r="B356" s="63" t="s">
        <v>386</v>
      </c>
      <c r="C356" s="142"/>
      <c r="D356" s="143"/>
      <c r="E356" s="143"/>
      <c r="F356" s="143"/>
      <c r="G356" s="143"/>
      <c r="H356" s="143"/>
      <c r="I356" s="143"/>
      <c r="J356" s="143"/>
      <c r="K356" s="143"/>
      <c r="L356" s="143"/>
      <c r="M356" s="222">
        <v>388088</v>
      </c>
      <c r="N356" s="222">
        <v>436625</v>
      </c>
      <c r="O356" s="145"/>
      <c r="P356" s="223">
        <f>MAX(C356:O356)</f>
        <v>436625</v>
      </c>
      <c r="Q356" s="147">
        <f>P356*$Q$8</f>
        <v>48028.75</v>
      </c>
      <c r="R356" s="147">
        <f>Q356/$R$3</f>
        <v>131.58561643835617</v>
      </c>
      <c r="S356" s="148">
        <f>R356*$S$3*$S$8</f>
        <v>28817.25</v>
      </c>
      <c r="T356" s="199"/>
      <c r="U356" s="150"/>
      <c r="V356" s="151"/>
      <c r="W356" s="151"/>
      <c r="X356" s="152"/>
      <c r="Y356" s="153"/>
      <c r="Z356" s="153"/>
      <c r="AA356" s="154"/>
      <c r="AB356" s="155">
        <f>S356*$AB$3</f>
        <v>16714.004999999997</v>
      </c>
      <c r="AC356" s="156">
        <f>S356*$AC$3</f>
        <v>3746.2425000000003</v>
      </c>
      <c r="AD356" s="156">
        <f>S356*$AD$3</f>
        <v>2528.7136874999997</v>
      </c>
      <c r="AE356" s="156">
        <f>S356*$AE$3</f>
        <v>1152.69</v>
      </c>
      <c r="AF356" s="156">
        <f>S356*$AF$3</f>
        <v>576.34500000000003</v>
      </c>
      <c r="AG356" s="156">
        <f>S356*$AG$3</f>
        <v>576.34500000000003</v>
      </c>
      <c r="AH356" s="156">
        <f>S356*$AH$3</f>
        <v>288.17250000000001</v>
      </c>
      <c r="AI356" s="156">
        <f>S356*$AI$3</f>
        <v>576.34500000000003</v>
      </c>
      <c r="AJ356" s="156">
        <f>S356*$AJ$3</f>
        <v>576.34500000000003</v>
      </c>
      <c r="AK356" s="156">
        <f>S356*$AK$3</f>
        <v>2017.2075000000002</v>
      </c>
      <c r="AL356" s="157">
        <f>SUM(AC356:AH356)</f>
        <v>8868.5086875000015</v>
      </c>
      <c r="AM356" s="158">
        <f>$AM$3</f>
        <v>2200</v>
      </c>
      <c r="AN356" s="159">
        <v>0.2</v>
      </c>
      <c r="AO356" s="160">
        <f>(AB356+AL356)*AM356*$AO$3</f>
        <v>235639510.27501497</v>
      </c>
      <c r="AP356" s="161">
        <f>AO356*$AP$3</f>
        <v>65455.424757271052</v>
      </c>
      <c r="AQ356" s="162">
        <f>AP356*$AQ$3</f>
        <v>13091.084951454211</v>
      </c>
      <c r="AR356" s="580">
        <f>AQ356/$AR$3</f>
        <v>1.8680201129358178</v>
      </c>
      <c r="AS356" s="582">
        <f>AR356</f>
        <v>1.8680201129358178</v>
      </c>
      <c r="AT356" s="588"/>
      <c r="AU356" s="166"/>
      <c r="AV356" s="167"/>
      <c r="AW356" s="146"/>
      <c r="AX356" s="168"/>
    </row>
    <row r="357" spans="1:50" s="190" customFormat="1" ht="11.25" x14ac:dyDescent="0.25">
      <c r="A357" s="120"/>
      <c r="B357" s="121" t="s">
        <v>387</v>
      </c>
      <c r="C357" s="240">
        <f t="shared" ref="C357:T357" si="239">SUM(C352:C356)</f>
        <v>0</v>
      </c>
      <c r="D357" s="240">
        <f t="shared" si="239"/>
        <v>0</v>
      </c>
      <c r="E357" s="240">
        <f t="shared" si="239"/>
        <v>0</v>
      </c>
      <c r="F357" s="240">
        <f t="shared" si="239"/>
        <v>0</v>
      </c>
      <c r="G357" s="240">
        <f t="shared" si="239"/>
        <v>0</v>
      </c>
      <c r="H357" s="240">
        <f t="shared" si="239"/>
        <v>0</v>
      </c>
      <c r="I357" s="240">
        <f t="shared" si="239"/>
        <v>0</v>
      </c>
      <c r="J357" s="240">
        <f t="shared" si="239"/>
        <v>0</v>
      </c>
      <c r="K357" s="240">
        <f t="shared" si="239"/>
        <v>0</v>
      </c>
      <c r="L357" s="240">
        <f t="shared" si="239"/>
        <v>0</v>
      </c>
      <c r="M357" s="240">
        <f t="shared" si="239"/>
        <v>3452390</v>
      </c>
      <c r="N357" s="240">
        <f t="shared" si="239"/>
        <v>3798218</v>
      </c>
      <c r="O357" s="240">
        <f t="shared" si="239"/>
        <v>0</v>
      </c>
      <c r="P357" s="240">
        <f t="shared" si="239"/>
        <v>3798218</v>
      </c>
      <c r="Q357" s="240">
        <f t="shared" si="239"/>
        <v>560774.07400000002</v>
      </c>
      <c r="R357" s="240">
        <f t="shared" si="239"/>
        <v>1536.3673260273972</v>
      </c>
      <c r="S357" s="240">
        <f t="shared" si="239"/>
        <v>417964.39320000005</v>
      </c>
      <c r="T357" s="199">
        <f t="shared" si="239"/>
        <v>0</v>
      </c>
      <c r="U357" s="241"/>
      <c r="V357" s="242">
        <f>SUM(V352:V356)</f>
        <v>0</v>
      </c>
      <c r="W357" s="242">
        <f>SUM(W352:W356)</f>
        <v>0</v>
      </c>
      <c r="X357" s="242">
        <f>SUM(X352:X356)</f>
        <v>0</v>
      </c>
      <c r="Y357" s="199"/>
      <c r="Z357" s="199"/>
      <c r="AA357" s="243"/>
      <c r="AB357" s="240">
        <f t="shared" ref="AB357:AL357" si="240">SUM(AB352:AB356)</f>
        <v>242419.34805599999</v>
      </c>
      <c r="AC357" s="244">
        <f t="shared" si="240"/>
        <v>54335.371116000002</v>
      </c>
      <c r="AD357" s="244">
        <f t="shared" si="240"/>
        <v>36676.375503299998</v>
      </c>
      <c r="AE357" s="244">
        <f t="shared" si="240"/>
        <v>16718.575728</v>
      </c>
      <c r="AF357" s="244">
        <f t="shared" si="240"/>
        <v>8359.2878639999999</v>
      </c>
      <c r="AG357" s="244">
        <f t="shared" si="240"/>
        <v>8359.2878639999999</v>
      </c>
      <c r="AH357" s="244">
        <f t="shared" si="240"/>
        <v>4179.6439319999999</v>
      </c>
      <c r="AI357" s="244">
        <f t="shared" si="240"/>
        <v>8359.2878639999999</v>
      </c>
      <c r="AJ357" s="244">
        <f t="shared" si="240"/>
        <v>8359.2878639999999</v>
      </c>
      <c r="AK357" s="244">
        <f t="shared" si="240"/>
        <v>29257.507524000004</v>
      </c>
      <c r="AL357" s="245">
        <f t="shared" si="240"/>
        <v>128628.54200730001</v>
      </c>
      <c r="AM357" s="158"/>
      <c r="AN357" s="183"/>
      <c r="AO357" s="184">
        <f>SUM(AO352:AO356)</f>
        <v>3417707273.4574537</v>
      </c>
      <c r="AP357" s="184">
        <f>SUM(AP352:AP356)</f>
        <v>949363.20746500988</v>
      </c>
      <c r="AQ357" s="184">
        <f>SUM(AQ352:AQ356)</f>
        <v>189872.64149300198</v>
      </c>
      <c r="AR357" s="186">
        <f>SUM(AR352:AR356)</f>
        <v>27.093698843179503</v>
      </c>
      <c r="AS357" s="435">
        <f>SUM(AS352:AS356)</f>
        <v>27.093698843179503</v>
      </c>
      <c r="AT357" s="589"/>
      <c r="AU357" s="246">
        <f>SUM(AU356:AU356)</f>
        <v>0</v>
      </c>
      <c r="AV357" s="246"/>
      <c r="AW357" s="185">
        <f>SUM(AW356:AW356)</f>
        <v>0</v>
      </c>
      <c r="AX357" s="189"/>
    </row>
    <row r="359" spans="1:50" s="139" customFormat="1" ht="11.25" x14ac:dyDescent="0.25">
      <c r="A359" s="120"/>
      <c r="B359" s="121" t="s">
        <v>388</v>
      </c>
      <c r="C359" s="122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213"/>
      <c r="P359" s="76"/>
      <c r="Q359" s="108"/>
      <c r="R359" s="108"/>
      <c r="S359" s="94"/>
      <c r="T359" s="199"/>
      <c r="U359" s="179"/>
      <c r="V359" s="180"/>
      <c r="W359" s="180"/>
      <c r="X359" s="214"/>
      <c r="Y359" s="181"/>
      <c r="Z359" s="181"/>
      <c r="AA359" s="182"/>
      <c r="AB359" s="62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125"/>
      <c r="AM359" s="75"/>
      <c r="AN359" s="216"/>
      <c r="AO359" s="75"/>
      <c r="AP359" s="51"/>
      <c r="AQ359" s="217"/>
      <c r="AR359" s="583"/>
      <c r="AS359" s="584"/>
      <c r="AT359" s="220"/>
      <c r="AU359" s="135"/>
      <c r="AV359" s="136"/>
      <c r="AW359" s="137"/>
      <c r="AX359" s="138"/>
    </row>
    <row r="360" spans="1:50" s="139" customFormat="1" ht="11.25" x14ac:dyDescent="0.25">
      <c r="A360" s="140">
        <v>1</v>
      </c>
      <c r="B360" s="345" t="s">
        <v>389</v>
      </c>
      <c r="C360" s="142"/>
      <c r="D360" s="143"/>
      <c r="E360" s="143"/>
      <c r="F360" s="143"/>
      <c r="G360" s="143"/>
      <c r="H360" s="222"/>
      <c r="I360" s="222"/>
      <c r="J360" s="222"/>
      <c r="K360" s="222"/>
      <c r="L360" s="222"/>
      <c r="M360" s="222"/>
      <c r="N360" s="222">
        <v>584483</v>
      </c>
      <c r="O360" s="145"/>
      <c r="P360" s="223">
        <f>N360</f>
        <v>584483</v>
      </c>
      <c r="Q360" s="147">
        <f>P360*$Q$7</f>
        <v>85334.517999999996</v>
      </c>
      <c r="R360" s="147">
        <f t="shared" ref="R360:R393" si="241">Q360/$R$3</f>
        <v>233.79319999999998</v>
      </c>
      <c r="S360" s="148">
        <f>R360*$S$3*$S$7</f>
        <v>59734.162599999996</v>
      </c>
      <c r="T360" s="199"/>
      <c r="U360" s="150"/>
      <c r="V360" s="151"/>
      <c r="W360" s="151"/>
      <c r="X360" s="152"/>
      <c r="Y360" s="153"/>
      <c r="Z360" s="153"/>
      <c r="AA360" s="154"/>
      <c r="AB360" s="155">
        <f>S360*$AB$3</f>
        <v>34645.814307999994</v>
      </c>
      <c r="AC360" s="156">
        <f>S360*$AC$3</f>
        <v>7765.4411380000001</v>
      </c>
      <c r="AD360" s="156">
        <f>S360*$AD$3</f>
        <v>5241.6727681499997</v>
      </c>
      <c r="AE360" s="156">
        <f>S360*$AE$3</f>
        <v>2389.3665040000001</v>
      </c>
      <c r="AF360" s="156">
        <f>S360*$AF$3</f>
        <v>1194.683252</v>
      </c>
      <c r="AG360" s="156">
        <f>S360*$AG$3</f>
        <v>1194.683252</v>
      </c>
      <c r="AH360" s="156">
        <f>S360*$AH$3</f>
        <v>597.34162600000002</v>
      </c>
      <c r="AI360" s="156">
        <f>S360*$AI$3</f>
        <v>1194.683252</v>
      </c>
      <c r="AJ360" s="156">
        <f>S360*$AJ$3</f>
        <v>1194.683252</v>
      </c>
      <c r="AK360" s="156">
        <f>S360*$AK$3</f>
        <v>4181.3913819999998</v>
      </c>
      <c r="AL360" s="157">
        <f t="shared" ref="AL360:AL393" si="242">SUM(AC360:AH360)</f>
        <v>18383.18854015</v>
      </c>
      <c r="AM360" s="158">
        <f t="shared" ref="AM360:AM393" si="243">$AM$3</f>
        <v>2200</v>
      </c>
      <c r="AN360" s="159">
        <v>0.2</v>
      </c>
      <c r="AO360" s="160">
        <f t="shared" ref="AO360:AO393" si="244">(AB360+AL360)*AM360*$AO$3</f>
        <v>488448024.07419562</v>
      </c>
      <c r="AP360" s="161">
        <f t="shared" ref="AP360:AP393" si="245">AO360*$AP$3</f>
        <v>135680.01754167711</v>
      </c>
      <c r="AQ360" s="162">
        <f t="shared" ref="AQ360:AQ393" si="246">AP360*$AQ$3</f>
        <v>27136.003508335423</v>
      </c>
      <c r="AR360" s="580">
        <f t="shared" ref="AR360:AR393" si="247">AQ360/$AR$3</f>
        <v>3.8721466193401004</v>
      </c>
      <c r="AS360" s="582">
        <f t="shared" ref="AS360:AS393" si="248">AR360</f>
        <v>3.8721466193401004</v>
      </c>
      <c r="AT360" s="165"/>
      <c r="AU360" s="166"/>
      <c r="AV360" s="167"/>
      <c r="AW360" s="146"/>
      <c r="AX360" s="168"/>
    </row>
    <row r="361" spans="1:50" s="139" customFormat="1" ht="11.25" x14ac:dyDescent="0.25">
      <c r="A361" s="140">
        <v>2</v>
      </c>
      <c r="B361" s="335" t="s">
        <v>390</v>
      </c>
      <c r="C361" s="142"/>
      <c r="D361" s="143"/>
      <c r="E361" s="143"/>
      <c r="F361" s="143"/>
      <c r="G361" s="143"/>
      <c r="H361" s="222"/>
      <c r="I361" s="222"/>
      <c r="J361" s="222"/>
      <c r="K361" s="222"/>
      <c r="L361" s="222"/>
      <c r="M361" s="222"/>
      <c r="N361" s="222">
        <v>1009091</v>
      </c>
      <c r="O361" s="145"/>
      <c r="P361" s="223">
        <f t="shared" ref="P361:P393" si="249">N361</f>
        <v>1009091</v>
      </c>
      <c r="Q361" s="147">
        <f>P361*$Q$6</f>
        <v>165490.924</v>
      </c>
      <c r="R361" s="147">
        <f t="shared" si="241"/>
        <v>453.39979178082194</v>
      </c>
      <c r="S361" s="148">
        <f>R361*$S$3*$S$6</f>
        <v>132392.73920000001</v>
      </c>
      <c r="T361" s="199"/>
      <c r="U361" s="150"/>
      <c r="V361" s="151"/>
      <c r="W361" s="151"/>
      <c r="X361" s="152"/>
      <c r="Y361" s="153"/>
      <c r="Z361" s="153"/>
      <c r="AA361" s="154"/>
      <c r="AB361" s="155">
        <f>S361*$AB$3</f>
        <v>76787.788736000002</v>
      </c>
      <c r="AC361" s="156">
        <f>S361*$AC$3</f>
        <v>17211.056096</v>
      </c>
      <c r="AD361" s="156">
        <f>S361*$AD$3</f>
        <v>11617.4628648</v>
      </c>
      <c r="AE361" s="156">
        <f>S361*$AE$3</f>
        <v>5295.7095680000002</v>
      </c>
      <c r="AF361" s="156">
        <f>S361*$AF$3</f>
        <v>2647.8547840000001</v>
      </c>
      <c r="AG361" s="156">
        <f>S361*$AG$3</f>
        <v>2647.8547840000001</v>
      </c>
      <c r="AH361" s="156">
        <f>S361*$AH$3</f>
        <v>1323.9273920000001</v>
      </c>
      <c r="AI361" s="156">
        <f>S361*$AI$3</f>
        <v>2647.8547840000001</v>
      </c>
      <c r="AJ361" s="156">
        <f>S361*$AJ$3</f>
        <v>2647.8547840000001</v>
      </c>
      <c r="AK361" s="156">
        <f>S361*$AK$3</f>
        <v>9267.4917440000008</v>
      </c>
      <c r="AL361" s="157">
        <f t="shared" si="242"/>
        <v>40743.865488800002</v>
      </c>
      <c r="AM361" s="158">
        <f t="shared" si="243"/>
        <v>2200</v>
      </c>
      <c r="AN361" s="159">
        <v>0.2</v>
      </c>
      <c r="AO361" s="160">
        <f t="shared" si="244"/>
        <v>1082579365.7984638</v>
      </c>
      <c r="AP361" s="161">
        <f t="shared" si="245"/>
        <v>300716.51455689251</v>
      </c>
      <c r="AQ361" s="162">
        <f t="shared" si="246"/>
        <v>60143.302911378501</v>
      </c>
      <c r="AR361" s="580">
        <f t="shared" si="247"/>
        <v>8.5820923104135982</v>
      </c>
      <c r="AS361" s="582">
        <f t="shared" si="248"/>
        <v>8.5820923104135982</v>
      </c>
      <c r="AT361" s="165"/>
      <c r="AU361" s="166"/>
      <c r="AV361" s="167"/>
      <c r="AW361" s="146"/>
      <c r="AX361" s="168"/>
    </row>
    <row r="362" spans="1:50" s="139" customFormat="1" ht="11.25" x14ac:dyDescent="0.25">
      <c r="A362" s="140">
        <v>3</v>
      </c>
      <c r="B362" s="335" t="s">
        <v>391</v>
      </c>
      <c r="C362" s="142"/>
      <c r="D362" s="143"/>
      <c r="E362" s="143"/>
      <c r="F362" s="143"/>
      <c r="G362" s="143"/>
      <c r="H362" s="222"/>
      <c r="I362" s="222"/>
      <c r="J362" s="222"/>
      <c r="K362" s="222"/>
      <c r="L362" s="222"/>
      <c r="M362" s="222"/>
      <c r="N362" s="222">
        <v>811692</v>
      </c>
      <c r="O362" s="145"/>
      <c r="P362" s="223">
        <f t="shared" si="249"/>
        <v>811692</v>
      </c>
      <c r="Q362" s="147">
        <f>P362*$Q$7</f>
        <v>118507.03199999999</v>
      </c>
      <c r="R362" s="147">
        <f t="shared" si="241"/>
        <v>324.67679999999996</v>
      </c>
      <c r="S362" s="148">
        <f>R362*$S$3*$S$7</f>
        <v>82954.922399999981</v>
      </c>
      <c r="T362" s="199"/>
      <c r="U362" s="150"/>
      <c r="V362" s="151"/>
      <c r="W362" s="151"/>
      <c r="X362" s="152"/>
      <c r="Y362" s="153"/>
      <c r="Z362" s="153"/>
      <c r="AA362" s="154"/>
      <c r="AB362" s="155">
        <f>S362*$AB$3</f>
        <v>48113.854991999986</v>
      </c>
      <c r="AC362" s="156">
        <f>S362*$AC$3</f>
        <v>10784.139911999999</v>
      </c>
      <c r="AD362" s="156">
        <f>S362*$AD$3</f>
        <v>7279.2944405999979</v>
      </c>
      <c r="AE362" s="156">
        <f>S362*$AE$3</f>
        <v>3318.1968959999995</v>
      </c>
      <c r="AF362" s="156">
        <f>S362*$AF$3</f>
        <v>1659.0984479999997</v>
      </c>
      <c r="AG362" s="156">
        <f>S362*$AG$3</f>
        <v>1659.0984479999997</v>
      </c>
      <c r="AH362" s="156">
        <f>S362*$AH$3</f>
        <v>829.54922399999987</v>
      </c>
      <c r="AI362" s="156">
        <f>S362*$AI$3</f>
        <v>1659.0984479999997</v>
      </c>
      <c r="AJ362" s="156">
        <f>S362*$AJ$3</f>
        <v>1659.0984479999997</v>
      </c>
      <c r="AK362" s="156">
        <f>S362*$AK$3</f>
        <v>5806.8445679999995</v>
      </c>
      <c r="AL362" s="157">
        <f t="shared" si="242"/>
        <v>25529.377368599995</v>
      </c>
      <c r="AM362" s="158">
        <f t="shared" si="243"/>
        <v>2200</v>
      </c>
      <c r="AN362" s="159">
        <v>0.2</v>
      </c>
      <c r="AO362" s="160">
        <f t="shared" si="244"/>
        <v>678324867.54419208</v>
      </c>
      <c r="AP362" s="161">
        <f t="shared" si="245"/>
        <v>188423.58939171708</v>
      </c>
      <c r="AQ362" s="162">
        <f t="shared" si="246"/>
        <v>37684.717878343414</v>
      </c>
      <c r="AR362" s="580">
        <f t="shared" si="247"/>
        <v>5.3773855420010577</v>
      </c>
      <c r="AS362" s="582">
        <f t="shared" si="248"/>
        <v>5.3773855420010577</v>
      </c>
      <c r="AT362" s="165"/>
      <c r="AU362" s="166"/>
      <c r="AV362" s="167"/>
      <c r="AW362" s="146"/>
      <c r="AX362" s="168"/>
    </row>
    <row r="363" spans="1:50" s="139" customFormat="1" ht="11.25" x14ac:dyDescent="0.25">
      <c r="A363" s="140">
        <v>4</v>
      </c>
      <c r="B363" s="335" t="s">
        <v>392</v>
      </c>
      <c r="C363" s="142"/>
      <c r="D363" s="143"/>
      <c r="E363" s="143"/>
      <c r="F363" s="143"/>
      <c r="G363" s="143"/>
      <c r="H363" s="222"/>
      <c r="I363" s="222"/>
      <c r="J363" s="222"/>
      <c r="K363" s="222"/>
      <c r="L363" s="222"/>
      <c r="M363" s="222"/>
      <c r="N363" s="222">
        <v>1143646</v>
      </c>
      <c r="O363" s="145"/>
      <c r="P363" s="223">
        <f t="shared" si="249"/>
        <v>1143646</v>
      </c>
      <c r="Q363" s="147">
        <f>P363*$Q$6</f>
        <v>187557.94400000002</v>
      </c>
      <c r="R363" s="147">
        <f t="shared" si="241"/>
        <v>513.8573808219179</v>
      </c>
      <c r="S363" s="148">
        <f>R363*$S$3*$S$6</f>
        <v>150046.35520000005</v>
      </c>
      <c r="T363" s="199"/>
      <c r="U363" s="150"/>
      <c r="V363" s="151"/>
      <c r="W363" s="151"/>
      <c r="X363" s="152"/>
      <c r="Y363" s="153"/>
      <c r="Z363" s="153"/>
      <c r="AA363" s="154"/>
      <c r="AB363" s="155">
        <f>S363*$AB$3</f>
        <v>87026.886016000019</v>
      </c>
      <c r="AC363" s="156">
        <f>S363*$AC$3</f>
        <v>19506.026176000007</v>
      </c>
      <c r="AD363" s="156">
        <f>S363*$AD$3</f>
        <v>13166.567668800004</v>
      </c>
      <c r="AE363" s="156">
        <f>S363*$AE$3</f>
        <v>6001.8542080000025</v>
      </c>
      <c r="AF363" s="156">
        <f>S363*$AF$3</f>
        <v>3000.9271040000012</v>
      </c>
      <c r="AG363" s="156">
        <f>S363*$AG$3</f>
        <v>3000.9271040000012</v>
      </c>
      <c r="AH363" s="156">
        <f>S363*$AH$3</f>
        <v>1500.4635520000006</v>
      </c>
      <c r="AI363" s="156">
        <f>S363*$AI$3</f>
        <v>3000.9271040000012</v>
      </c>
      <c r="AJ363" s="156">
        <f>S363*$AJ$3</f>
        <v>3000.9271040000012</v>
      </c>
      <c r="AK363" s="156">
        <f>S363*$AK$3</f>
        <v>10503.244864000004</v>
      </c>
      <c r="AL363" s="157">
        <f t="shared" si="242"/>
        <v>46176.765812800018</v>
      </c>
      <c r="AM363" s="158">
        <f t="shared" si="243"/>
        <v>2200</v>
      </c>
      <c r="AN363" s="159">
        <v>0.2</v>
      </c>
      <c r="AO363" s="160">
        <f t="shared" si="244"/>
        <v>1226933508.849004</v>
      </c>
      <c r="AP363" s="161">
        <f t="shared" si="245"/>
        <v>340814.89083435689</v>
      </c>
      <c r="AQ363" s="162">
        <f t="shared" si="246"/>
        <v>68162.978166871384</v>
      </c>
      <c r="AR363" s="580">
        <f t="shared" si="247"/>
        <v>9.7264523639942038</v>
      </c>
      <c r="AS363" s="582">
        <f t="shared" si="248"/>
        <v>9.7264523639942038</v>
      </c>
      <c r="AT363" s="165"/>
      <c r="AU363" s="166"/>
      <c r="AV363" s="167"/>
      <c r="AW363" s="146"/>
      <c r="AX363" s="168"/>
    </row>
    <row r="364" spans="1:50" s="139" customFormat="1" ht="11.25" x14ac:dyDescent="0.25">
      <c r="A364" s="140">
        <v>5</v>
      </c>
      <c r="B364" s="343" t="s">
        <v>393</v>
      </c>
      <c r="C364" s="142"/>
      <c r="D364" s="143"/>
      <c r="E364" s="143"/>
      <c r="F364" s="143"/>
      <c r="G364" s="143"/>
      <c r="H364" s="222"/>
      <c r="I364" s="222"/>
      <c r="J364" s="222"/>
      <c r="K364" s="222"/>
      <c r="L364" s="222"/>
      <c r="M364" s="222"/>
      <c r="N364" s="222">
        <v>1262427</v>
      </c>
      <c r="O364" s="145"/>
      <c r="P364" s="223">
        <f t="shared" si="249"/>
        <v>1262427</v>
      </c>
      <c r="Q364" s="147">
        <f>P364*$Q$6</f>
        <v>207038.02800000002</v>
      </c>
      <c r="R364" s="147">
        <f t="shared" si="241"/>
        <v>567.22747397260275</v>
      </c>
      <c r="S364" s="148">
        <f>R364*$S$3*$S$6</f>
        <v>165630.42240000001</v>
      </c>
      <c r="T364" s="199"/>
      <c r="U364" s="150"/>
      <c r="V364" s="151"/>
      <c r="W364" s="151"/>
      <c r="X364" s="152"/>
      <c r="Y364" s="153"/>
      <c r="Z364" s="153"/>
      <c r="AA364" s="154"/>
      <c r="AB364" s="155">
        <f>S364*$AB$3</f>
        <v>96065.644992000001</v>
      </c>
      <c r="AC364" s="156">
        <f>S364*$AC$3</f>
        <v>21531.954912000001</v>
      </c>
      <c r="AD364" s="156">
        <f>S364*$AD$3</f>
        <v>14534.069565600001</v>
      </c>
      <c r="AE364" s="156">
        <f>S364*$AE$3</f>
        <v>6625.2168960000008</v>
      </c>
      <c r="AF364" s="156">
        <f>S364*$AF$3</f>
        <v>3312.6084480000004</v>
      </c>
      <c r="AG364" s="156">
        <f>S364*$AG$3</f>
        <v>3312.6084480000004</v>
      </c>
      <c r="AH364" s="156">
        <f>S364*$AH$3</f>
        <v>1656.3042240000002</v>
      </c>
      <c r="AI364" s="156">
        <f>S364*$AI$3</f>
        <v>3312.6084480000004</v>
      </c>
      <c r="AJ364" s="156">
        <f>S364*$AJ$3</f>
        <v>3312.6084480000004</v>
      </c>
      <c r="AK364" s="156">
        <f>S364*$AK$3</f>
        <v>11594.129568000002</v>
      </c>
      <c r="AL364" s="157">
        <f t="shared" si="242"/>
        <v>50972.762493599999</v>
      </c>
      <c r="AM364" s="158">
        <f t="shared" si="243"/>
        <v>2200</v>
      </c>
      <c r="AN364" s="159">
        <v>0.2</v>
      </c>
      <c r="AO364" s="160">
        <f t="shared" si="244"/>
        <v>1354364889.8135622</v>
      </c>
      <c r="AP364" s="161">
        <f t="shared" si="245"/>
        <v>376212.49948965368</v>
      </c>
      <c r="AQ364" s="162">
        <f t="shared" si="246"/>
        <v>75242.499897930742</v>
      </c>
      <c r="AR364" s="580">
        <f t="shared" si="247"/>
        <v>10.736658090458153</v>
      </c>
      <c r="AS364" s="582">
        <f t="shared" si="248"/>
        <v>10.736658090458153</v>
      </c>
      <c r="AT364" s="165"/>
      <c r="AU364" s="166"/>
      <c r="AV364" s="167"/>
      <c r="AW364" s="146"/>
      <c r="AX364" s="168"/>
    </row>
    <row r="365" spans="1:50" s="139" customFormat="1" ht="11.25" x14ac:dyDescent="0.25">
      <c r="A365" s="140">
        <v>6</v>
      </c>
      <c r="B365" s="343" t="s">
        <v>394</v>
      </c>
      <c r="C365" s="142"/>
      <c r="D365" s="143"/>
      <c r="E365" s="143"/>
      <c r="F365" s="143"/>
      <c r="G365" s="143"/>
      <c r="H365" s="222"/>
      <c r="I365" s="222"/>
      <c r="J365" s="222"/>
      <c r="K365" s="222"/>
      <c r="L365" s="222"/>
      <c r="M365" s="222"/>
      <c r="N365" s="222">
        <v>1477190</v>
      </c>
      <c r="O365" s="145"/>
      <c r="P365" s="223">
        <f t="shared" si="249"/>
        <v>1477190</v>
      </c>
      <c r="Q365" s="147">
        <f>P365*$Q$6</f>
        <v>242259.16</v>
      </c>
      <c r="R365" s="147">
        <f t="shared" si="241"/>
        <v>663.72372602739722</v>
      </c>
      <c r="S365" s="148">
        <f>R365*$S$3*$S$6</f>
        <v>193807.32799999998</v>
      </c>
      <c r="T365" s="199"/>
      <c r="U365" s="150"/>
      <c r="V365" s="151"/>
      <c r="W365" s="151"/>
      <c r="X365" s="152"/>
      <c r="Y365" s="153"/>
      <c r="Z365" s="153"/>
      <c r="AA365" s="154"/>
      <c r="AB365" s="155">
        <f>S365*$AB$3</f>
        <v>112408.25023999998</v>
      </c>
      <c r="AC365" s="156">
        <f>S365*$AC$3</f>
        <v>25194.95264</v>
      </c>
      <c r="AD365" s="156">
        <f>S365*$AD$3</f>
        <v>17006.593031999997</v>
      </c>
      <c r="AE365" s="156">
        <f>S365*$AE$3</f>
        <v>7752.2931199999994</v>
      </c>
      <c r="AF365" s="156">
        <f>S365*$AF$3</f>
        <v>3876.1465599999997</v>
      </c>
      <c r="AG365" s="156">
        <f>S365*$AG$3</f>
        <v>3876.1465599999997</v>
      </c>
      <c r="AH365" s="156">
        <f>S365*$AH$3</f>
        <v>1938.0732799999998</v>
      </c>
      <c r="AI365" s="156">
        <f>S365*$AI$3</f>
        <v>3876.1465599999997</v>
      </c>
      <c r="AJ365" s="156">
        <f>S365*$AJ$3</f>
        <v>3876.1465599999997</v>
      </c>
      <c r="AK365" s="156">
        <f>S365*$AK$3</f>
        <v>13566.51296</v>
      </c>
      <c r="AL365" s="157">
        <f t="shared" si="242"/>
        <v>59644.205191999994</v>
      </c>
      <c r="AM365" s="158">
        <f t="shared" si="243"/>
        <v>2200</v>
      </c>
      <c r="AN365" s="159">
        <v>0.2</v>
      </c>
      <c r="AO365" s="160">
        <f t="shared" si="244"/>
        <v>1584768284.8859346</v>
      </c>
      <c r="AP365" s="161">
        <f t="shared" si="245"/>
        <v>440213.44768538815</v>
      </c>
      <c r="AQ365" s="162">
        <f t="shared" si="246"/>
        <v>88042.689537077633</v>
      </c>
      <c r="AR365" s="580">
        <f t="shared" si="247"/>
        <v>12.563169169103544</v>
      </c>
      <c r="AS365" s="582">
        <f t="shared" si="248"/>
        <v>12.563169169103544</v>
      </c>
      <c r="AT365" s="165"/>
      <c r="AU365" s="166"/>
      <c r="AV365" s="167"/>
      <c r="AW365" s="146"/>
      <c r="AX365" s="168"/>
    </row>
    <row r="366" spans="1:50" s="139" customFormat="1" ht="11.25" x14ac:dyDescent="0.25">
      <c r="A366" s="140">
        <v>7</v>
      </c>
      <c r="B366" s="343" t="s">
        <v>395</v>
      </c>
      <c r="C366" s="142"/>
      <c r="D366" s="143"/>
      <c r="E366" s="143"/>
      <c r="F366" s="143"/>
      <c r="G366" s="143"/>
      <c r="H366" s="222"/>
      <c r="I366" s="222"/>
      <c r="J366" s="222"/>
      <c r="K366" s="222"/>
      <c r="L366" s="222"/>
      <c r="M366" s="222"/>
      <c r="N366" s="222">
        <v>2837203</v>
      </c>
      <c r="O366" s="145"/>
      <c r="P366" s="223">
        <f t="shared" si="249"/>
        <v>2837203</v>
      </c>
      <c r="Q366" s="147">
        <f>P366*$Q$5</f>
        <v>672417.11099999992</v>
      </c>
      <c r="R366" s="147">
        <f t="shared" si="241"/>
        <v>1842.2386602739723</v>
      </c>
      <c r="S366" s="148">
        <f>R366*$S$3*$S$5</f>
        <v>605175.39989999996</v>
      </c>
      <c r="T366" s="199"/>
      <c r="U366" s="150"/>
      <c r="V366" s="151"/>
      <c r="W366" s="151"/>
      <c r="X366" s="152"/>
      <c r="Y366" s="153"/>
      <c r="Z366" s="153"/>
      <c r="AA366" s="154"/>
      <c r="AB366" s="155">
        <f>S366*$AB$3</f>
        <v>351001.73194199993</v>
      </c>
      <c r="AC366" s="156">
        <f>S366*$AC$3</f>
        <v>78672.801986999999</v>
      </c>
      <c r="AD366" s="156">
        <f>S366*$AD$3</f>
        <v>53104.141341224997</v>
      </c>
      <c r="AE366" s="156">
        <f>S366*$AE$3</f>
        <v>24207.015995999998</v>
      </c>
      <c r="AF366" s="156">
        <f>S366*$AF$3</f>
        <v>12103.507997999999</v>
      </c>
      <c r="AG366" s="156">
        <f>S366*$AG$3</f>
        <v>12103.507997999999</v>
      </c>
      <c r="AH366" s="156">
        <f>S366*$AH$3</f>
        <v>6051.7539989999996</v>
      </c>
      <c r="AI366" s="156">
        <f>S366*$AI$3</f>
        <v>12103.507997999999</v>
      </c>
      <c r="AJ366" s="156">
        <f>S366*$AJ$3</f>
        <v>12103.507997999999</v>
      </c>
      <c r="AK366" s="156">
        <f>S366*$AK$3</f>
        <v>42362.277993000003</v>
      </c>
      <c r="AL366" s="157">
        <f t="shared" si="242"/>
        <v>186242.72931922498</v>
      </c>
      <c r="AM366" s="158">
        <f t="shared" si="243"/>
        <v>2200</v>
      </c>
      <c r="AN366" s="159">
        <v>0.2</v>
      </c>
      <c r="AO366" s="160">
        <f t="shared" si="244"/>
        <v>4948537242.8986921</v>
      </c>
      <c r="AP366" s="161">
        <f t="shared" si="245"/>
        <v>1374593.7885504642</v>
      </c>
      <c r="AQ366" s="162">
        <f t="shared" si="246"/>
        <v>274918.75771009288</v>
      </c>
      <c r="AR366" s="580">
        <f t="shared" si="247"/>
        <v>39.229274787399099</v>
      </c>
      <c r="AS366" s="582">
        <f t="shared" si="248"/>
        <v>39.229274787399099</v>
      </c>
      <c r="AT366" s="165"/>
      <c r="AU366" s="166"/>
      <c r="AV366" s="167"/>
      <c r="AW366" s="146"/>
      <c r="AX366" s="168"/>
    </row>
    <row r="367" spans="1:50" s="139" customFormat="1" ht="11.25" x14ac:dyDescent="0.25">
      <c r="A367" s="140">
        <v>8</v>
      </c>
      <c r="B367" s="343" t="s">
        <v>396</v>
      </c>
      <c r="C367" s="142"/>
      <c r="D367" s="143"/>
      <c r="E367" s="143"/>
      <c r="F367" s="143"/>
      <c r="G367" s="143"/>
      <c r="H367" s="222"/>
      <c r="I367" s="222"/>
      <c r="J367" s="222"/>
      <c r="K367" s="222"/>
      <c r="L367" s="222"/>
      <c r="M367" s="222"/>
      <c r="N367" s="222">
        <v>1082298</v>
      </c>
      <c r="O367" s="145"/>
      <c r="P367" s="223">
        <f t="shared" si="249"/>
        <v>1082298</v>
      </c>
      <c r="Q367" s="147">
        <f>P367*$Q$6</f>
        <v>177496.872</v>
      </c>
      <c r="R367" s="147">
        <f t="shared" si="241"/>
        <v>486.2928</v>
      </c>
      <c r="S367" s="148">
        <f>R367*$S$3*$S$6</f>
        <v>141997.4976</v>
      </c>
      <c r="T367" s="199"/>
      <c r="U367" s="150"/>
      <c r="V367" s="151"/>
      <c r="W367" s="151"/>
      <c r="X367" s="152"/>
      <c r="Y367" s="153"/>
      <c r="Z367" s="153"/>
      <c r="AA367" s="154"/>
      <c r="AB367" s="155">
        <f>S367*$AB$3</f>
        <v>82358.548607999997</v>
      </c>
      <c r="AC367" s="156">
        <f>S367*$AC$3</f>
        <v>18459.674687999999</v>
      </c>
      <c r="AD367" s="156">
        <f>S367*$AD$3</f>
        <v>12460.2804144</v>
      </c>
      <c r="AE367" s="156">
        <f>S367*$AE$3</f>
        <v>5679.8999039999999</v>
      </c>
      <c r="AF367" s="156">
        <f>S367*$AF$3</f>
        <v>2839.9499519999999</v>
      </c>
      <c r="AG367" s="156">
        <f>S367*$AG$3</f>
        <v>2839.9499519999999</v>
      </c>
      <c r="AH367" s="156">
        <f>S367*$AH$3</f>
        <v>1419.974976</v>
      </c>
      <c r="AI367" s="156">
        <f>S367*$AI$3</f>
        <v>2839.9499519999999</v>
      </c>
      <c r="AJ367" s="156">
        <f>S367*$AJ$3</f>
        <v>2839.9499519999999</v>
      </c>
      <c r="AK367" s="156">
        <f>S367*$AK$3</f>
        <v>9939.8248320000002</v>
      </c>
      <c r="AL367" s="157">
        <f t="shared" si="242"/>
        <v>43699.729886400004</v>
      </c>
      <c r="AM367" s="158">
        <f t="shared" si="243"/>
        <v>2200</v>
      </c>
      <c r="AN367" s="159">
        <v>0.2</v>
      </c>
      <c r="AO367" s="160">
        <f t="shared" si="244"/>
        <v>1161117760.8807786</v>
      </c>
      <c r="AP367" s="161">
        <f t="shared" si="245"/>
        <v>322532.73715838871</v>
      </c>
      <c r="AQ367" s="162">
        <f t="shared" si="246"/>
        <v>64506.547431677747</v>
      </c>
      <c r="AR367" s="580">
        <f t="shared" si="247"/>
        <v>9.2047014029220531</v>
      </c>
      <c r="AS367" s="582">
        <f t="shared" si="248"/>
        <v>9.2047014029220531</v>
      </c>
      <c r="AT367" s="165"/>
      <c r="AU367" s="166"/>
      <c r="AV367" s="167"/>
      <c r="AW367" s="146"/>
      <c r="AX367" s="168"/>
    </row>
    <row r="368" spans="1:50" s="139" customFormat="1" ht="11.25" x14ac:dyDescent="0.25">
      <c r="A368" s="140">
        <v>9</v>
      </c>
      <c r="B368" s="343" t="s">
        <v>397</v>
      </c>
      <c r="C368" s="142"/>
      <c r="D368" s="143"/>
      <c r="E368" s="143"/>
      <c r="F368" s="143"/>
      <c r="G368" s="143"/>
      <c r="H368" s="222"/>
      <c r="I368" s="222"/>
      <c r="J368" s="222"/>
      <c r="K368" s="222"/>
      <c r="L368" s="222"/>
      <c r="M368" s="222"/>
      <c r="N368" s="222">
        <v>2268151</v>
      </c>
      <c r="O368" s="145"/>
      <c r="P368" s="223">
        <f t="shared" si="249"/>
        <v>2268151</v>
      </c>
      <c r="Q368" s="147">
        <f>P368*$Q$5</f>
        <v>537551.78700000001</v>
      </c>
      <c r="R368" s="147">
        <f t="shared" si="241"/>
        <v>1472.7446219178082</v>
      </c>
      <c r="S368" s="148">
        <f>R368*$S$3*$S$5</f>
        <v>483796.60830000002</v>
      </c>
      <c r="T368" s="199"/>
      <c r="U368" s="150"/>
      <c r="V368" s="151"/>
      <c r="W368" s="151"/>
      <c r="X368" s="152"/>
      <c r="Y368" s="153"/>
      <c r="Z368" s="153"/>
      <c r="AA368" s="154"/>
      <c r="AB368" s="155">
        <f>S368*$AB$3</f>
        <v>280602.03281399998</v>
      </c>
      <c r="AC368" s="156">
        <f>S368*$AC$3</f>
        <v>62893.559079000006</v>
      </c>
      <c r="AD368" s="156">
        <f>S368*$AD$3</f>
        <v>42453.152378325001</v>
      </c>
      <c r="AE368" s="156">
        <f>S368*$AE$3</f>
        <v>19351.864332000001</v>
      </c>
      <c r="AF368" s="156">
        <f>S368*$AF$3</f>
        <v>9675.9321660000005</v>
      </c>
      <c r="AG368" s="156">
        <f>S368*$AG$3</f>
        <v>9675.9321660000005</v>
      </c>
      <c r="AH368" s="156">
        <f>S368*$AH$3</f>
        <v>4837.9660830000003</v>
      </c>
      <c r="AI368" s="156">
        <f>S368*$AI$3</f>
        <v>9675.9321660000005</v>
      </c>
      <c r="AJ368" s="156">
        <f>S368*$AJ$3</f>
        <v>9675.9321660000005</v>
      </c>
      <c r="AK368" s="156">
        <f>S368*$AK$3</f>
        <v>33865.762581000003</v>
      </c>
      <c r="AL368" s="157">
        <f t="shared" si="242"/>
        <v>148888.40620432503</v>
      </c>
      <c r="AM368" s="158">
        <f t="shared" si="243"/>
        <v>2200</v>
      </c>
      <c r="AN368" s="159">
        <v>0.2</v>
      </c>
      <c r="AO368" s="160">
        <f t="shared" si="244"/>
        <v>3956019254.1802306</v>
      </c>
      <c r="AP368" s="161">
        <f t="shared" si="245"/>
        <v>1098894.3251838253</v>
      </c>
      <c r="AQ368" s="162">
        <f t="shared" si="246"/>
        <v>219778.86503676508</v>
      </c>
      <c r="AR368" s="580">
        <f t="shared" si="247"/>
        <v>31.361139417346617</v>
      </c>
      <c r="AS368" s="435">
        <f t="shared" si="248"/>
        <v>31.361139417346617</v>
      </c>
      <c r="AT368" s="187"/>
      <c r="AU368" s="166"/>
      <c r="AV368" s="167"/>
      <c r="AW368" s="146"/>
      <c r="AX368" s="168"/>
    </row>
    <row r="369" spans="1:50" s="139" customFormat="1" ht="11.25" x14ac:dyDescent="0.25">
      <c r="A369" s="140">
        <v>10</v>
      </c>
      <c r="B369" s="343" t="s">
        <v>398</v>
      </c>
      <c r="C369" s="142"/>
      <c r="D369" s="143"/>
      <c r="E369" s="143"/>
      <c r="F369" s="143"/>
      <c r="G369" s="143"/>
      <c r="H369" s="222"/>
      <c r="I369" s="222"/>
      <c r="J369" s="222"/>
      <c r="K369" s="222"/>
      <c r="L369" s="222"/>
      <c r="M369" s="222"/>
      <c r="N369" s="222">
        <v>1614366</v>
      </c>
      <c r="O369" s="145"/>
      <c r="P369" s="223">
        <f t="shared" si="249"/>
        <v>1614366</v>
      </c>
      <c r="Q369" s="147">
        <f>P369*$Q$5</f>
        <v>382604.74199999997</v>
      </c>
      <c r="R369" s="147">
        <f t="shared" si="241"/>
        <v>1048.2321698630137</v>
      </c>
      <c r="S369" s="148">
        <f>R369*$S$3*$S$5</f>
        <v>344344.26780000003</v>
      </c>
      <c r="T369" s="199"/>
      <c r="U369" s="150"/>
      <c r="V369" s="151"/>
      <c r="W369" s="151"/>
      <c r="X369" s="152"/>
      <c r="Y369" s="153"/>
      <c r="Z369" s="153"/>
      <c r="AA369" s="154"/>
      <c r="AB369" s="155">
        <f>S369*$AB$3</f>
        <v>199719.67532400001</v>
      </c>
      <c r="AC369" s="156">
        <f>S369*$AC$3</f>
        <v>44764.754814000007</v>
      </c>
      <c r="AD369" s="156">
        <f>S369*$AD$3</f>
        <v>30216.20949945</v>
      </c>
      <c r="AE369" s="156">
        <f>S369*$AE$3</f>
        <v>13773.770712000001</v>
      </c>
      <c r="AF369" s="156">
        <f>S369*$AF$3</f>
        <v>6886.8853560000007</v>
      </c>
      <c r="AG369" s="156">
        <f>S369*$AG$3</f>
        <v>6886.8853560000007</v>
      </c>
      <c r="AH369" s="156">
        <f>S369*$AH$3</f>
        <v>3443.4426780000003</v>
      </c>
      <c r="AI369" s="156">
        <f>S369*$AI$3</f>
        <v>6886.8853560000007</v>
      </c>
      <c r="AJ369" s="156">
        <f>S369*$AJ$3</f>
        <v>6886.8853560000007</v>
      </c>
      <c r="AK369" s="156">
        <f>S369*$AK$3</f>
        <v>24104.098746000003</v>
      </c>
      <c r="AL369" s="157">
        <f t="shared" si="242"/>
        <v>105971.94841545001</v>
      </c>
      <c r="AM369" s="158">
        <f t="shared" si="243"/>
        <v>2200</v>
      </c>
      <c r="AN369" s="159">
        <v>0.2</v>
      </c>
      <c r="AO369" s="160">
        <f t="shared" si="244"/>
        <v>2815713318.5991244</v>
      </c>
      <c r="AP369" s="161">
        <f t="shared" si="245"/>
        <v>782142.65107116383</v>
      </c>
      <c r="AQ369" s="162">
        <f t="shared" si="246"/>
        <v>156428.53021423277</v>
      </c>
      <c r="AR369" s="580">
        <f t="shared" si="247"/>
        <v>22.321422690387095</v>
      </c>
      <c r="AS369" s="582">
        <f t="shared" si="248"/>
        <v>22.321422690387095</v>
      </c>
      <c r="AT369" s="165"/>
      <c r="AU369" s="166"/>
      <c r="AV369" s="167"/>
      <c r="AW369" s="146"/>
      <c r="AX369" s="168"/>
    </row>
    <row r="370" spans="1:50" s="139" customFormat="1" ht="11.25" x14ac:dyDescent="0.25">
      <c r="A370" s="140">
        <v>11</v>
      </c>
      <c r="B370" s="342" t="s">
        <v>399</v>
      </c>
      <c r="C370" s="142"/>
      <c r="D370" s="143"/>
      <c r="E370" s="143"/>
      <c r="F370" s="143"/>
      <c r="G370" s="143"/>
      <c r="H370" s="222"/>
      <c r="I370" s="222"/>
      <c r="J370" s="222"/>
      <c r="K370" s="222"/>
      <c r="L370" s="222"/>
      <c r="M370" s="222"/>
      <c r="N370" s="222">
        <v>754857</v>
      </c>
      <c r="O370" s="145"/>
      <c r="P370" s="223">
        <f t="shared" si="249"/>
        <v>754857</v>
      </c>
      <c r="Q370" s="147">
        <f>P370*$Q$7</f>
        <v>110209.12199999999</v>
      </c>
      <c r="R370" s="147">
        <f t="shared" si="241"/>
        <v>301.94279999999998</v>
      </c>
      <c r="S370" s="148">
        <f>R370*$S$3*$S$7</f>
        <v>77146.385399999985</v>
      </c>
      <c r="T370" s="199"/>
      <c r="U370" s="150"/>
      <c r="V370" s="151"/>
      <c r="W370" s="151"/>
      <c r="X370" s="152"/>
      <c r="Y370" s="153"/>
      <c r="Z370" s="153"/>
      <c r="AA370" s="154"/>
      <c r="AB370" s="155">
        <f>S370*$AB$3</f>
        <v>44744.903531999989</v>
      </c>
      <c r="AC370" s="156">
        <f>S370*$AC$3</f>
        <v>10029.030101999999</v>
      </c>
      <c r="AD370" s="156">
        <f>S370*$AD$3</f>
        <v>6769.595318849998</v>
      </c>
      <c r="AE370" s="156">
        <f>S370*$AE$3</f>
        <v>3085.8554159999994</v>
      </c>
      <c r="AF370" s="156">
        <f>S370*$AF$3</f>
        <v>1542.9277079999997</v>
      </c>
      <c r="AG370" s="156">
        <f>S370*$AG$3</f>
        <v>1542.9277079999997</v>
      </c>
      <c r="AH370" s="156">
        <f>S370*$AH$3</f>
        <v>771.46385399999986</v>
      </c>
      <c r="AI370" s="156">
        <f>S370*$AI$3</f>
        <v>1542.9277079999997</v>
      </c>
      <c r="AJ370" s="156">
        <f>S370*$AJ$3</f>
        <v>1542.9277079999997</v>
      </c>
      <c r="AK370" s="156">
        <f>S370*$AK$3</f>
        <v>5400.2469779999992</v>
      </c>
      <c r="AL370" s="157">
        <f t="shared" si="242"/>
        <v>23741.800106849994</v>
      </c>
      <c r="AM370" s="158">
        <f t="shared" si="243"/>
        <v>2200</v>
      </c>
      <c r="AN370" s="159">
        <v>0.2</v>
      </c>
      <c r="AO370" s="160">
        <f t="shared" si="244"/>
        <v>630828287.74930167</v>
      </c>
      <c r="AP370" s="161">
        <f t="shared" si="245"/>
        <v>175230.09394876796</v>
      </c>
      <c r="AQ370" s="162">
        <f t="shared" si="246"/>
        <v>35046.018789753594</v>
      </c>
      <c r="AR370" s="580">
        <f t="shared" si="247"/>
        <v>5.0008588455698622</v>
      </c>
      <c r="AS370" s="582">
        <f t="shared" si="248"/>
        <v>5.0008588455698622</v>
      </c>
      <c r="AT370" s="165"/>
      <c r="AU370" s="166"/>
      <c r="AV370" s="167"/>
      <c r="AW370" s="146"/>
      <c r="AX370" s="168"/>
    </row>
    <row r="371" spans="1:50" s="139" customFormat="1" ht="11.25" x14ac:dyDescent="0.25">
      <c r="A371" s="140">
        <v>12</v>
      </c>
      <c r="B371" s="345" t="s">
        <v>400</v>
      </c>
      <c r="C371" s="142"/>
      <c r="D371" s="143"/>
      <c r="E371" s="143"/>
      <c r="F371" s="143"/>
      <c r="G371" s="143"/>
      <c r="H371" s="222"/>
      <c r="I371" s="222"/>
      <c r="J371" s="222"/>
      <c r="K371" s="222"/>
      <c r="L371" s="222"/>
      <c r="M371" s="222"/>
      <c r="N371" s="222">
        <v>653617</v>
      </c>
      <c r="O371" s="145"/>
      <c r="P371" s="223">
        <f t="shared" si="249"/>
        <v>653617</v>
      </c>
      <c r="Q371" s="147">
        <f>P371*$Q$7</f>
        <v>95428.081999999995</v>
      </c>
      <c r="R371" s="147">
        <f t="shared" si="241"/>
        <v>261.4468</v>
      </c>
      <c r="S371" s="148">
        <f>R371*$S$3*$S$7</f>
        <v>66799.657399999996</v>
      </c>
      <c r="T371" s="199"/>
      <c r="U371" s="150"/>
      <c r="V371" s="151"/>
      <c r="W371" s="151"/>
      <c r="X371" s="152"/>
      <c r="Y371" s="153"/>
      <c r="Z371" s="153"/>
      <c r="AA371" s="154"/>
      <c r="AB371" s="155">
        <f>S371*$AB$3</f>
        <v>38743.801291999996</v>
      </c>
      <c r="AC371" s="156">
        <f>S371*$AC$3</f>
        <v>8683.9554619999999</v>
      </c>
      <c r="AD371" s="156">
        <f>S371*$AD$3</f>
        <v>5861.6699368499994</v>
      </c>
      <c r="AE371" s="156">
        <f>S371*$AE$3</f>
        <v>2671.986296</v>
      </c>
      <c r="AF371" s="156">
        <f>S371*$AF$3</f>
        <v>1335.993148</v>
      </c>
      <c r="AG371" s="156">
        <f>S371*$AG$3</f>
        <v>1335.993148</v>
      </c>
      <c r="AH371" s="156">
        <f>S371*$AH$3</f>
        <v>667.99657400000001</v>
      </c>
      <c r="AI371" s="156">
        <f>S371*$AI$3</f>
        <v>1335.993148</v>
      </c>
      <c r="AJ371" s="156">
        <f>S371*$AJ$3</f>
        <v>1335.993148</v>
      </c>
      <c r="AK371" s="156">
        <f>S371*$AK$3</f>
        <v>4675.9760180000003</v>
      </c>
      <c r="AL371" s="157">
        <f t="shared" si="242"/>
        <v>20557.594564850002</v>
      </c>
      <c r="AM371" s="158">
        <f t="shared" si="243"/>
        <v>2200</v>
      </c>
      <c r="AN371" s="159">
        <v>0.2</v>
      </c>
      <c r="AO371" s="160">
        <f t="shared" si="244"/>
        <v>546222785.18161094</v>
      </c>
      <c r="AP371" s="161">
        <f t="shared" si="245"/>
        <v>151728.56357762049</v>
      </c>
      <c r="AQ371" s="162">
        <f t="shared" si="246"/>
        <v>30345.7127155241</v>
      </c>
      <c r="AR371" s="580">
        <f t="shared" si="247"/>
        <v>4.3301530701375714</v>
      </c>
      <c r="AS371" s="582">
        <f t="shared" si="248"/>
        <v>4.3301530701375714</v>
      </c>
      <c r="AT371" s="165"/>
      <c r="AU371" s="166"/>
      <c r="AV371" s="167"/>
      <c r="AW371" s="146"/>
      <c r="AX371" s="168"/>
    </row>
    <row r="372" spans="1:50" s="139" customFormat="1" ht="11.25" x14ac:dyDescent="0.25">
      <c r="A372" s="140">
        <v>13</v>
      </c>
      <c r="B372" s="335" t="s">
        <v>401</v>
      </c>
      <c r="C372" s="142"/>
      <c r="D372" s="143"/>
      <c r="E372" s="143"/>
      <c r="F372" s="143"/>
      <c r="G372" s="143"/>
      <c r="H372" s="222"/>
      <c r="I372" s="222"/>
      <c r="J372" s="222"/>
      <c r="K372" s="222"/>
      <c r="L372" s="222"/>
      <c r="M372" s="222"/>
      <c r="N372" s="222">
        <v>1184117</v>
      </c>
      <c r="O372" s="145"/>
      <c r="P372" s="223">
        <f t="shared" si="249"/>
        <v>1184117</v>
      </c>
      <c r="Q372" s="147">
        <f>P372*$Q$6</f>
        <v>194195.18799999999</v>
      </c>
      <c r="R372" s="147">
        <f t="shared" si="241"/>
        <v>532.04161095890413</v>
      </c>
      <c r="S372" s="148">
        <f>R372*$S$3*$S$6</f>
        <v>155356.15040000001</v>
      </c>
      <c r="T372" s="199"/>
      <c r="U372" s="150"/>
      <c r="V372" s="151"/>
      <c r="W372" s="151"/>
      <c r="X372" s="152"/>
      <c r="Y372" s="153"/>
      <c r="Z372" s="153"/>
      <c r="AA372" s="154"/>
      <c r="AB372" s="155">
        <f>S372*$AB$3</f>
        <v>90106.567232000001</v>
      </c>
      <c r="AC372" s="156">
        <f>S372*$AC$3</f>
        <v>20196.299552000004</v>
      </c>
      <c r="AD372" s="156">
        <f>S372*$AD$3</f>
        <v>13632.502197600001</v>
      </c>
      <c r="AE372" s="156">
        <f>S372*$AE$3</f>
        <v>6214.246016000001</v>
      </c>
      <c r="AF372" s="156">
        <f>S372*$AF$3</f>
        <v>3107.1230080000005</v>
      </c>
      <c r="AG372" s="156">
        <f>S372*$AG$3</f>
        <v>3107.1230080000005</v>
      </c>
      <c r="AH372" s="156">
        <f>S372*$AH$3</f>
        <v>1553.5615040000002</v>
      </c>
      <c r="AI372" s="156">
        <f>S372*$AI$3</f>
        <v>3107.1230080000005</v>
      </c>
      <c r="AJ372" s="156">
        <f>S372*$AJ$3</f>
        <v>3107.1230080000005</v>
      </c>
      <c r="AK372" s="156">
        <f>S372*$AK$3</f>
        <v>10874.930528000003</v>
      </c>
      <c r="AL372" s="157">
        <f t="shared" si="242"/>
        <v>47810.855285600002</v>
      </c>
      <c r="AM372" s="158">
        <f t="shared" si="243"/>
        <v>2200</v>
      </c>
      <c r="AN372" s="159">
        <v>0.2</v>
      </c>
      <c r="AO372" s="160">
        <f t="shared" si="244"/>
        <v>1270351862.1127129</v>
      </c>
      <c r="AP372" s="161">
        <f t="shared" si="245"/>
        <v>352875.5454835727</v>
      </c>
      <c r="AQ372" s="162">
        <f t="shared" si="246"/>
        <v>70575.109096714543</v>
      </c>
      <c r="AR372" s="580">
        <f t="shared" si="247"/>
        <v>10.070649129097395</v>
      </c>
      <c r="AS372" s="582">
        <f t="shared" si="248"/>
        <v>10.070649129097395</v>
      </c>
      <c r="AT372" s="165"/>
      <c r="AU372" s="166"/>
      <c r="AV372" s="167"/>
      <c r="AW372" s="146"/>
      <c r="AX372" s="168"/>
    </row>
    <row r="373" spans="1:50" s="139" customFormat="1" ht="11.25" x14ac:dyDescent="0.25">
      <c r="A373" s="140">
        <v>14</v>
      </c>
      <c r="B373" s="335" t="s">
        <v>402</v>
      </c>
      <c r="C373" s="142"/>
      <c r="D373" s="143"/>
      <c r="E373" s="143"/>
      <c r="F373" s="143"/>
      <c r="G373" s="143"/>
      <c r="H373" s="222"/>
      <c r="I373" s="222"/>
      <c r="J373" s="222"/>
      <c r="K373" s="222"/>
      <c r="L373" s="222"/>
      <c r="M373" s="222"/>
      <c r="N373" s="222">
        <v>1469516</v>
      </c>
      <c r="O373" s="145"/>
      <c r="P373" s="223">
        <f t="shared" si="249"/>
        <v>1469516</v>
      </c>
      <c r="Q373" s="147">
        <f>P373*$Q$6</f>
        <v>241000.62400000001</v>
      </c>
      <c r="R373" s="147">
        <f t="shared" si="241"/>
        <v>660.2756821917809</v>
      </c>
      <c r="S373" s="148">
        <f>R373*$S$3*$S$6</f>
        <v>192800.49920000005</v>
      </c>
      <c r="T373" s="199"/>
      <c r="U373" s="150"/>
      <c r="V373" s="151"/>
      <c r="W373" s="151"/>
      <c r="X373" s="152"/>
      <c r="Y373" s="153"/>
      <c r="Z373" s="153"/>
      <c r="AA373" s="154"/>
      <c r="AB373" s="155">
        <f>S373*$AB$3</f>
        <v>111824.28953600003</v>
      </c>
      <c r="AC373" s="156">
        <f>S373*$AC$3</f>
        <v>25064.064896000007</v>
      </c>
      <c r="AD373" s="156">
        <f>S373*$AD$3</f>
        <v>16918.243804800004</v>
      </c>
      <c r="AE373" s="156">
        <f>S373*$AE$3</f>
        <v>7712.0199680000023</v>
      </c>
      <c r="AF373" s="156">
        <f>S373*$AF$3</f>
        <v>3856.0099840000012</v>
      </c>
      <c r="AG373" s="156">
        <f>S373*$AG$3</f>
        <v>3856.0099840000012</v>
      </c>
      <c r="AH373" s="156">
        <f>S373*$AH$3</f>
        <v>1928.0049920000006</v>
      </c>
      <c r="AI373" s="156">
        <f>S373*$AI$3</f>
        <v>3856.0099840000012</v>
      </c>
      <c r="AJ373" s="156">
        <f>S373*$AJ$3</f>
        <v>3856.0099840000012</v>
      </c>
      <c r="AK373" s="156">
        <f>S373*$AK$3</f>
        <v>13496.034944000005</v>
      </c>
      <c r="AL373" s="157">
        <f t="shared" si="242"/>
        <v>59334.353628800025</v>
      </c>
      <c r="AM373" s="158">
        <f t="shared" si="243"/>
        <v>2200</v>
      </c>
      <c r="AN373" s="159">
        <v>0.2</v>
      </c>
      <c r="AO373" s="160">
        <f t="shared" si="244"/>
        <v>1576535415.8452466</v>
      </c>
      <c r="AP373" s="161">
        <f t="shared" si="245"/>
        <v>437926.5394355777</v>
      </c>
      <c r="AQ373" s="162">
        <f t="shared" si="246"/>
        <v>87585.307887115545</v>
      </c>
      <c r="AR373" s="580">
        <f t="shared" si="247"/>
        <v>12.497903522704844</v>
      </c>
      <c r="AS373" s="582">
        <f t="shared" si="248"/>
        <v>12.497903522704844</v>
      </c>
      <c r="AT373" s="165"/>
      <c r="AU373" s="166"/>
      <c r="AV373" s="167"/>
      <c r="AW373" s="146"/>
      <c r="AX373" s="168"/>
    </row>
    <row r="374" spans="1:50" s="139" customFormat="1" ht="11.25" x14ac:dyDescent="0.25">
      <c r="A374" s="140">
        <v>15</v>
      </c>
      <c r="B374" s="343" t="s">
        <v>403</v>
      </c>
      <c r="C374" s="142"/>
      <c r="D374" s="143"/>
      <c r="E374" s="143"/>
      <c r="F374" s="143"/>
      <c r="G374" s="143"/>
      <c r="H374" s="222"/>
      <c r="I374" s="222"/>
      <c r="J374" s="222"/>
      <c r="K374" s="222"/>
      <c r="L374" s="222"/>
      <c r="M374" s="222"/>
      <c r="N374" s="222">
        <v>1991776</v>
      </c>
      <c r="O374" s="145"/>
      <c r="P374" s="223">
        <f t="shared" si="249"/>
        <v>1991776</v>
      </c>
      <c r="Q374" s="147">
        <f>P374*$Q$5</f>
        <v>472050.91199999995</v>
      </c>
      <c r="R374" s="147">
        <f t="shared" si="241"/>
        <v>1293.2901698630135</v>
      </c>
      <c r="S374" s="148">
        <f>R374*$S$3*$S$5</f>
        <v>424845.82079999993</v>
      </c>
      <c r="T374" s="199"/>
      <c r="U374" s="150"/>
      <c r="V374" s="151"/>
      <c r="W374" s="151"/>
      <c r="X374" s="152"/>
      <c r="Y374" s="153"/>
      <c r="Z374" s="153"/>
      <c r="AA374" s="154"/>
      <c r="AB374" s="155">
        <f>S374*$AB$3</f>
        <v>246410.57606399994</v>
      </c>
      <c r="AC374" s="156">
        <f>S374*$AC$3</f>
        <v>55229.956703999989</v>
      </c>
      <c r="AD374" s="156">
        <f>S374*$AD$3</f>
        <v>37280.220775199989</v>
      </c>
      <c r="AE374" s="156">
        <f>S374*$AE$3</f>
        <v>16993.832831999996</v>
      </c>
      <c r="AF374" s="156">
        <f>S374*$AF$3</f>
        <v>8496.9164159999982</v>
      </c>
      <c r="AG374" s="156">
        <f>S374*$AG$3</f>
        <v>8496.9164159999982</v>
      </c>
      <c r="AH374" s="156">
        <f>S374*$AH$3</f>
        <v>4248.4582079999991</v>
      </c>
      <c r="AI374" s="156">
        <f>S374*$AI$3</f>
        <v>8496.9164159999982</v>
      </c>
      <c r="AJ374" s="156">
        <f>S374*$AJ$3</f>
        <v>8496.9164159999982</v>
      </c>
      <c r="AK374" s="156">
        <f>S374*$AK$3</f>
        <v>29739.207455999996</v>
      </c>
      <c r="AL374" s="157">
        <f t="shared" si="242"/>
        <v>130746.30135119996</v>
      </c>
      <c r="AM374" s="158">
        <f t="shared" si="243"/>
        <v>2200</v>
      </c>
      <c r="AN374" s="159">
        <v>0.2</v>
      </c>
      <c r="AO374" s="160">
        <f t="shared" si="244"/>
        <v>3473976911.5963092</v>
      </c>
      <c r="AP374" s="161">
        <f t="shared" si="245"/>
        <v>964993.66375401721</v>
      </c>
      <c r="AQ374" s="162">
        <f t="shared" si="246"/>
        <v>192998.73275080347</v>
      </c>
      <c r="AR374" s="580">
        <f t="shared" si="247"/>
        <v>27.53977350896168</v>
      </c>
      <c r="AS374" s="582">
        <f t="shared" si="248"/>
        <v>27.53977350896168</v>
      </c>
      <c r="AT374" s="165"/>
      <c r="AU374" s="166"/>
      <c r="AV374" s="167"/>
      <c r="AW374" s="146"/>
      <c r="AX374" s="168"/>
    </row>
    <row r="375" spans="1:50" s="139" customFormat="1" ht="11.25" x14ac:dyDescent="0.25">
      <c r="A375" s="140">
        <v>16</v>
      </c>
      <c r="B375" s="343" t="s">
        <v>404</v>
      </c>
      <c r="C375" s="142"/>
      <c r="D375" s="143"/>
      <c r="E375" s="143"/>
      <c r="F375" s="143"/>
      <c r="G375" s="143"/>
      <c r="H375" s="222"/>
      <c r="I375" s="222"/>
      <c r="J375" s="222"/>
      <c r="K375" s="222"/>
      <c r="L375" s="222"/>
      <c r="M375" s="222"/>
      <c r="N375" s="222">
        <v>1088632</v>
      </c>
      <c r="O375" s="145"/>
      <c r="P375" s="223">
        <f t="shared" si="249"/>
        <v>1088632</v>
      </c>
      <c r="Q375" s="147">
        <f>P375*$Q$6</f>
        <v>178535.64800000002</v>
      </c>
      <c r="R375" s="147">
        <f t="shared" si="241"/>
        <v>489.13876164383566</v>
      </c>
      <c r="S375" s="148">
        <f>R375*$S$3*$S$6</f>
        <v>142828.51840000003</v>
      </c>
      <c r="T375" s="199"/>
      <c r="U375" s="150"/>
      <c r="V375" s="151"/>
      <c r="W375" s="151"/>
      <c r="X375" s="152"/>
      <c r="Y375" s="153"/>
      <c r="Z375" s="153"/>
      <c r="AA375" s="154"/>
      <c r="AB375" s="155">
        <f>S375*$AB$3</f>
        <v>82840.540672000017</v>
      </c>
      <c r="AC375" s="156">
        <f>S375*$AC$3</f>
        <v>18567.707392000004</v>
      </c>
      <c r="AD375" s="156">
        <f>S375*$AD$3</f>
        <v>12533.202489600002</v>
      </c>
      <c r="AE375" s="156">
        <f>S375*$AE$3</f>
        <v>5713.1407360000012</v>
      </c>
      <c r="AF375" s="156">
        <f>S375*$AF$3</f>
        <v>2856.5703680000006</v>
      </c>
      <c r="AG375" s="156">
        <f>S375*$AG$3</f>
        <v>2856.5703680000006</v>
      </c>
      <c r="AH375" s="156">
        <f>S375*$AH$3</f>
        <v>1428.2851840000003</v>
      </c>
      <c r="AI375" s="156">
        <f>S375*$AI$3</f>
        <v>2856.5703680000006</v>
      </c>
      <c r="AJ375" s="156">
        <f>S375*$AJ$3</f>
        <v>2856.5703680000006</v>
      </c>
      <c r="AK375" s="156">
        <f>S375*$AK$3</f>
        <v>9997.9962880000039</v>
      </c>
      <c r="AL375" s="157">
        <f t="shared" si="242"/>
        <v>43955.476537600007</v>
      </c>
      <c r="AM375" s="158">
        <f t="shared" si="243"/>
        <v>2200</v>
      </c>
      <c r="AN375" s="159">
        <v>0.2</v>
      </c>
      <c r="AO375" s="160">
        <f t="shared" si="244"/>
        <v>1167913042.6769373</v>
      </c>
      <c r="AP375" s="161">
        <f t="shared" si="245"/>
        <v>324420.31558610575</v>
      </c>
      <c r="AQ375" s="162">
        <f t="shared" si="246"/>
        <v>64884.063117221151</v>
      </c>
      <c r="AR375" s="580">
        <f t="shared" si="247"/>
        <v>9.2585706502884069</v>
      </c>
      <c r="AS375" s="582">
        <f t="shared" si="248"/>
        <v>9.2585706502884069</v>
      </c>
      <c r="AT375" s="165"/>
      <c r="AU375" s="166"/>
      <c r="AV375" s="167"/>
      <c r="AW375" s="146"/>
      <c r="AX375" s="168"/>
    </row>
    <row r="376" spans="1:50" s="139" customFormat="1" ht="11.25" x14ac:dyDescent="0.25">
      <c r="A376" s="140">
        <v>17</v>
      </c>
      <c r="B376" s="343" t="s">
        <v>405</v>
      </c>
      <c r="C376" s="142"/>
      <c r="D376" s="143"/>
      <c r="E376" s="143"/>
      <c r="F376" s="143"/>
      <c r="G376" s="143"/>
      <c r="H376" s="222"/>
      <c r="I376" s="222"/>
      <c r="J376" s="222"/>
      <c r="K376" s="222"/>
      <c r="L376" s="222"/>
      <c r="M376" s="222"/>
      <c r="N376" s="222">
        <v>1388276</v>
      </c>
      <c r="O376" s="145"/>
      <c r="P376" s="223">
        <f t="shared" si="249"/>
        <v>1388276</v>
      </c>
      <c r="Q376" s="147">
        <f>P376*$Q$6</f>
        <v>227677.264</v>
      </c>
      <c r="R376" s="147">
        <f t="shared" si="241"/>
        <v>623.77332602739727</v>
      </c>
      <c r="S376" s="148">
        <f>R376*$S$3*$S$6</f>
        <v>182141.8112</v>
      </c>
      <c r="T376" s="199"/>
      <c r="U376" s="150"/>
      <c r="V376" s="151"/>
      <c r="W376" s="151"/>
      <c r="X376" s="152"/>
      <c r="Y376" s="153"/>
      <c r="Z376" s="153"/>
      <c r="AA376" s="154"/>
      <c r="AB376" s="155">
        <f>S376*$AB$3</f>
        <v>105642.25049599999</v>
      </c>
      <c r="AC376" s="156">
        <f>S376*$AC$3</f>
        <v>23678.435455999999</v>
      </c>
      <c r="AD376" s="156">
        <f>S376*$AD$3</f>
        <v>15982.943932799999</v>
      </c>
      <c r="AE376" s="156">
        <f>S376*$AE$3</f>
        <v>7285.6724480000003</v>
      </c>
      <c r="AF376" s="156">
        <f>S376*$AF$3</f>
        <v>3642.8362240000001</v>
      </c>
      <c r="AG376" s="156">
        <f>S376*$AG$3</f>
        <v>3642.8362240000001</v>
      </c>
      <c r="AH376" s="156">
        <f>S376*$AH$3</f>
        <v>1821.4181120000001</v>
      </c>
      <c r="AI376" s="156">
        <f>S376*$AI$3</f>
        <v>3642.8362240000001</v>
      </c>
      <c r="AJ376" s="156">
        <f>S376*$AJ$3</f>
        <v>3642.8362240000001</v>
      </c>
      <c r="AK376" s="156">
        <f>S376*$AK$3</f>
        <v>12749.926784000001</v>
      </c>
      <c r="AL376" s="157">
        <f t="shared" si="242"/>
        <v>56054.142396799994</v>
      </c>
      <c r="AM376" s="158">
        <f t="shared" si="243"/>
        <v>2200</v>
      </c>
      <c r="AN376" s="159">
        <v>0.2</v>
      </c>
      <c r="AO376" s="160">
        <f t="shared" si="244"/>
        <v>1489379007.0798647</v>
      </c>
      <c r="AP376" s="161">
        <f t="shared" si="245"/>
        <v>413716.42395282927</v>
      </c>
      <c r="AQ376" s="162">
        <f t="shared" si="246"/>
        <v>82743.284790565856</v>
      </c>
      <c r="AR376" s="580">
        <f t="shared" si="247"/>
        <v>11.80697556943006</v>
      </c>
      <c r="AS376" s="582">
        <f t="shared" si="248"/>
        <v>11.80697556943006</v>
      </c>
      <c r="AT376" s="165"/>
      <c r="AU376" s="166"/>
      <c r="AV376" s="167"/>
      <c r="AW376" s="146"/>
      <c r="AX376" s="168"/>
    </row>
    <row r="377" spans="1:50" s="139" customFormat="1" ht="11.25" x14ac:dyDescent="0.25">
      <c r="A377" s="140">
        <v>18</v>
      </c>
      <c r="B377" s="343" t="s">
        <v>406</v>
      </c>
      <c r="C377" s="142"/>
      <c r="D377" s="143"/>
      <c r="E377" s="143"/>
      <c r="F377" s="143"/>
      <c r="G377" s="143"/>
      <c r="H377" s="222"/>
      <c r="I377" s="222"/>
      <c r="J377" s="222"/>
      <c r="K377" s="222"/>
      <c r="L377" s="222"/>
      <c r="M377" s="222"/>
      <c r="N377" s="222">
        <v>1197935</v>
      </c>
      <c r="O377" s="145"/>
      <c r="P377" s="223">
        <f t="shared" si="249"/>
        <v>1197935</v>
      </c>
      <c r="Q377" s="147">
        <f>P377*$Q$6</f>
        <v>196461.34</v>
      </c>
      <c r="R377" s="147">
        <f t="shared" si="241"/>
        <v>538.25024657534243</v>
      </c>
      <c r="S377" s="148">
        <f>R377*$S$3*$S$6</f>
        <v>157169.07200000001</v>
      </c>
      <c r="T377" s="199"/>
      <c r="U377" s="150"/>
      <c r="V377" s="151"/>
      <c r="W377" s="151"/>
      <c r="X377" s="152"/>
      <c r="Y377" s="153"/>
      <c r="Z377" s="153"/>
      <c r="AA377" s="154"/>
      <c r="AB377" s="155">
        <f>S377*$AB$3</f>
        <v>91158.061759999997</v>
      </c>
      <c r="AC377" s="156">
        <f>S377*$AC$3</f>
        <v>20431.979360000001</v>
      </c>
      <c r="AD377" s="156">
        <f>S377*$AD$3</f>
        <v>13791.586068000001</v>
      </c>
      <c r="AE377" s="156">
        <f>S377*$AE$3</f>
        <v>6286.7628800000011</v>
      </c>
      <c r="AF377" s="156">
        <f>S377*$AF$3</f>
        <v>3143.3814400000006</v>
      </c>
      <c r="AG377" s="156">
        <f>S377*$AG$3</f>
        <v>3143.3814400000006</v>
      </c>
      <c r="AH377" s="156">
        <f>S377*$AH$3</f>
        <v>1571.6907200000003</v>
      </c>
      <c r="AI377" s="156">
        <f>S377*$AI$3</f>
        <v>3143.3814400000006</v>
      </c>
      <c r="AJ377" s="156">
        <f>S377*$AJ$3</f>
        <v>3143.3814400000006</v>
      </c>
      <c r="AK377" s="156">
        <f>S377*$AK$3</f>
        <v>11001.835040000002</v>
      </c>
      <c r="AL377" s="157">
        <f t="shared" si="242"/>
        <v>48368.781907999997</v>
      </c>
      <c r="AM377" s="158">
        <f t="shared" si="243"/>
        <v>2200</v>
      </c>
      <c r="AN377" s="159">
        <v>0.2</v>
      </c>
      <c r="AO377" s="160">
        <f t="shared" si="244"/>
        <v>1285176175.9522011</v>
      </c>
      <c r="AP377" s="161">
        <f t="shared" si="245"/>
        <v>356993.41076841531</v>
      </c>
      <c r="AQ377" s="162">
        <f t="shared" si="246"/>
        <v>71398.682153683068</v>
      </c>
      <c r="AR377" s="580">
        <f t="shared" si="247"/>
        <v>10.188168115536968</v>
      </c>
      <c r="AS377" s="582">
        <f t="shared" si="248"/>
        <v>10.188168115536968</v>
      </c>
      <c r="AT377" s="165"/>
      <c r="AU377" s="166"/>
      <c r="AV377" s="167"/>
      <c r="AW377" s="146"/>
      <c r="AX377" s="168"/>
    </row>
    <row r="378" spans="1:50" s="139" customFormat="1" ht="11.25" x14ac:dyDescent="0.25">
      <c r="A378" s="140">
        <v>19</v>
      </c>
      <c r="B378" s="342" t="s">
        <v>407</v>
      </c>
      <c r="C378" s="142"/>
      <c r="D378" s="143"/>
      <c r="E378" s="143"/>
      <c r="F378" s="143"/>
      <c r="G378" s="143"/>
      <c r="H378" s="222"/>
      <c r="I378" s="222"/>
      <c r="J378" s="222"/>
      <c r="K378" s="222"/>
      <c r="L378" s="222"/>
      <c r="M378" s="222"/>
      <c r="N378" s="222">
        <v>772859</v>
      </c>
      <c r="O378" s="145"/>
      <c r="P378" s="223">
        <f t="shared" si="249"/>
        <v>772859</v>
      </c>
      <c r="Q378" s="147">
        <f>P378*$Q$7</f>
        <v>112837.41399999999</v>
      </c>
      <c r="R378" s="147">
        <f t="shared" si="241"/>
        <v>309.14359999999999</v>
      </c>
      <c r="S378" s="148">
        <f>R378*$S$3*$S$7</f>
        <v>78986.189799999993</v>
      </c>
      <c r="T378" s="199"/>
      <c r="U378" s="150"/>
      <c r="V378" s="151"/>
      <c r="W378" s="151"/>
      <c r="X378" s="152"/>
      <c r="Y378" s="153"/>
      <c r="Z378" s="153"/>
      <c r="AA378" s="154"/>
      <c r="AB378" s="155">
        <f>S378*$AB$3</f>
        <v>45811.99008399999</v>
      </c>
      <c r="AC378" s="156">
        <f>S378*$AC$3</f>
        <v>10268.204673999999</v>
      </c>
      <c r="AD378" s="156">
        <f>S378*$AD$3</f>
        <v>6931.0381549499989</v>
      </c>
      <c r="AE378" s="156">
        <f>S378*$AE$3</f>
        <v>3159.447592</v>
      </c>
      <c r="AF378" s="156">
        <f>S378*$AF$3</f>
        <v>1579.723796</v>
      </c>
      <c r="AG378" s="156">
        <f>S378*$AG$3</f>
        <v>1579.723796</v>
      </c>
      <c r="AH378" s="156">
        <f>S378*$AH$3</f>
        <v>789.861898</v>
      </c>
      <c r="AI378" s="156">
        <f>S378*$AI$3</f>
        <v>1579.723796</v>
      </c>
      <c r="AJ378" s="156">
        <f>S378*$AJ$3</f>
        <v>1579.723796</v>
      </c>
      <c r="AK378" s="156">
        <f>S378*$AK$3</f>
        <v>5529.0332859999999</v>
      </c>
      <c r="AL378" s="157">
        <f t="shared" si="242"/>
        <v>24307.999910949995</v>
      </c>
      <c r="AM378" s="158">
        <f t="shared" si="243"/>
        <v>2200</v>
      </c>
      <c r="AN378" s="159">
        <v>0.2</v>
      </c>
      <c r="AO378" s="160">
        <f t="shared" si="244"/>
        <v>645872423.04388452</v>
      </c>
      <c r="AP378" s="161">
        <f t="shared" si="245"/>
        <v>179409.02075379953</v>
      </c>
      <c r="AQ378" s="162">
        <f t="shared" si="246"/>
        <v>35881.804150759905</v>
      </c>
      <c r="AR378" s="580">
        <f t="shared" si="247"/>
        <v>5.1201204553024979</v>
      </c>
      <c r="AS378" s="582">
        <f t="shared" si="248"/>
        <v>5.1201204553024979</v>
      </c>
      <c r="AT378" s="165"/>
      <c r="AU378" s="166"/>
      <c r="AV378" s="167"/>
      <c r="AW378" s="146"/>
      <c r="AX378" s="168"/>
    </row>
    <row r="379" spans="1:50" s="139" customFormat="1" ht="11.25" x14ac:dyDescent="0.25">
      <c r="A379" s="140">
        <v>20</v>
      </c>
      <c r="B379" s="342" t="s">
        <v>408</v>
      </c>
      <c r="C379" s="142"/>
      <c r="D379" s="143"/>
      <c r="E379" s="143"/>
      <c r="F379" s="143"/>
      <c r="G379" s="143"/>
      <c r="H379" s="222"/>
      <c r="I379" s="222"/>
      <c r="J379" s="222"/>
      <c r="K379" s="222"/>
      <c r="L379" s="222"/>
      <c r="M379" s="222"/>
      <c r="N379" s="222">
        <v>700896</v>
      </c>
      <c r="O379" s="145"/>
      <c r="P379" s="223">
        <f t="shared" si="249"/>
        <v>700896</v>
      </c>
      <c r="Q379" s="147">
        <f>P379*$Q$7</f>
        <v>102330.81599999999</v>
      </c>
      <c r="R379" s="147">
        <f t="shared" si="241"/>
        <v>280.35839999999996</v>
      </c>
      <c r="S379" s="148">
        <f>R379*$S$3*$S$7</f>
        <v>71631.571199999991</v>
      </c>
      <c r="T379" s="199"/>
      <c r="U379" s="150"/>
      <c r="V379" s="151"/>
      <c r="W379" s="151"/>
      <c r="X379" s="152"/>
      <c r="Y379" s="153"/>
      <c r="Z379" s="153"/>
      <c r="AA379" s="154"/>
      <c r="AB379" s="155">
        <f>S379*$AB$3</f>
        <v>41546.311295999993</v>
      </c>
      <c r="AC379" s="156">
        <f>S379*$AC$3</f>
        <v>9312.1042559999987</v>
      </c>
      <c r="AD379" s="156">
        <f>S379*$AD$3</f>
        <v>6285.6703727999984</v>
      </c>
      <c r="AE379" s="156">
        <f>S379*$AE$3</f>
        <v>2865.2628479999998</v>
      </c>
      <c r="AF379" s="156">
        <f>S379*$AF$3</f>
        <v>1432.6314239999999</v>
      </c>
      <c r="AG379" s="156">
        <f>S379*$AG$3</f>
        <v>1432.6314239999999</v>
      </c>
      <c r="AH379" s="156">
        <f>S379*$AH$3</f>
        <v>716.31571199999996</v>
      </c>
      <c r="AI379" s="156">
        <f>S379*$AI$3</f>
        <v>1432.6314239999999</v>
      </c>
      <c r="AJ379" s="156">
        <f>S379*$AJ$3</f>
        <v>1432.6314239999999</v>
      </c>
      <c r="AK379" s="156">
        <f>S379*$AK$3</f>
        <v>5014.2099840000001</v>
      </c>
      <c r="AL379" s="157">
        <f t="shared" si="242"/>
        <v>22044.616036799995</v>
      </c>
      <c r="AM379" s="158">
        <f t="shared" si="243"/>
        <v>2200</v>
      </c>
      <c r="AN379" s="159">
        <v>0.2</v>
      </c>
      <c r="AO379" s="160">
        <f t="shared" si="244"/>
        <v>585733488.02532732</v>
      </c>
      <c r="AP379" s="161">
        <f t="shared" si="245"/>
        <v>162703.75969000175</v>
      </c>
      <c r="AQ379" s="162">
        <f t="shared" si="246"/>
        <v>32540.75193800035</v>
      </c>
      <c r="AR379" s="580">
        <f t="shared" si="247"/>
        <v>4.6433721372717391</v>
      </c>
      <c r="AS379" s="582">
        <f t="shared" si="248"/>
        <v>4.6433721372717391</v>
      </c>
      <c r="AT379" s="165"/>
      <c r="AU379" s="166"/>
      <c r="AV379" s="167"/>
      <c r="AW379" s="146"/>
      <c r="AX379" s="168"/>
    </row>
    <row r="380" spans="1:50" s="139" customFormat="1" ht="11.25" x14ac:dyDescent="0.25">
      <c r="A380" s="140">
        <v>21</v>
      </c>
      <c r="B380" s="342" t="s">
        <v>409</v>
      </c>
      <c r="C380" s="142"/>
      <c r="D380" s="143"/>
      <c r="E380" s="143"/>
      <c r="F380" s="143"/>
      <c r="G380" s="143"/>
      <c r="H380" s="222"/>
      <c r="I380" s="222"/>
      <c r="J380" s="222"/>
      <c r="K380" s="222"/>
      <c r="L380" s="222"/>
      <c r="M380" s="222"/>
      <c r="N380" s="222">
        <v>912240</v>
      </c>
      <c r="O380" s="145"/>
      <c r="P380" s="223">
        <f t="shared" si="249"/>
        <v>912240</v>
      </c>
      <c r="Q380" s="147">
        <f>P380*$Q$7</f>
        <v>133187.03999999998</v>
      </c>
      <c r="R380" s="147">
        <f t="shared" si="241"/>
        <v>364.89599999999996</v>
      </c>
      <c r="S380" s="148">
        <f>R380*$S$3*$S$7</f>
        <v>93230.927999999985</v>
      </c>
      <c r="T380" s="199"/>
      <c r="U380" s="150"/>
      <c r="V380" s="151"/>
      <c r="W380" s="151"/>
      <c r="X380" s="152"/>
      <c r="Y380" s="153"/>
      <c r="Z380" s="153"/>
      <c r="AA380" s="154"/>
      <c r="AB380" s="155">
        <f>S380*$AB$3</f>
        <v>54073.938239999989</v>
      </c>
      <c r="AC380" s="156">
        <f>S380*$AC$3</f>
        <v>12120.020639999999</v>
      </c>
      <c r="AD380" s="156">
        <f>S380*$AD$3</f>
        <v>8181.013931999998</v>
      </c>
      <c r="AE380" s="156">
        <f>S380*$AE$3</f>
        <v>3729.2371199999993</v>
      </c>
      <c r="AF380" s="156">
        <f>S380*$AF$3</f>
        <v>1864.6185599999997</v>
      </c>
      <c r="AG380" s="156">
        <f>S380*$AG$3</f>
        <v>1864.6185599999997</v>
      </c>
      <c r="AH380" s="156">
        <f>S380*$AH$3</f>
        <v>932.30927999999983</v>
      </c>
      <c r="AI380" s="156">
        <f>S380*$AI$3</f>
        <v>1864.6185599999997</v>
      </c>
      <c r="AJ380" s="156">
        <f>S380*$AJ$3</f>
        <v>1864.6185599999997</v>
      </c>
      <c r="AK380" s="156">
        <f>S380*$AK$3</f>
        <v>6526.1649599999992</v>
      </c>
      <c r="AL380" s="157">
        <f t="shared" si="242"/>
        <v>28691.818091999994</v>
      </c>
      <c r="AM380" s="158">
        <f t="shared" si="243"/>
        <v>2200</v>
      </c>
      <c r="AN380" s="159">
        <v>0.2</v>
      </c>
      <c r="AO380" s="160">
        <f t="shared" si="244"/>
        <v>762352070.94379866</v>
      </c>
      <c r="AP380" s="161">
        <f t="shared" si="245"/>
        <v>211764.48109221231</v>
      </c>
      <c r="AQ380" s="162">
        <f t="shared" si="246"/>
        <v>42352.896218442467</v>
      </c>
      <c r="AR380" s="580">
        <f t="shared" si="247"/>
        <v>6.0435068804855119</v>
      </c>
      <c r="AS380" s="582">
        <f t="shared" si="248"/>
        <v>6.0435068804855119</v>
      </c>
      <c r="AT380" s="165"/>
      <c r="AU380" s="166"/>
      <c r="AV380" s="167"/>
      <c r="AW380" s="146"/>
      <c r="AX380" s="168"/>
    </row>
    <row r="381" spans="1:50" s="139" customFormat="1" ht="11.25" x14ac:dyDescent="0.25">
      <c r="A381" s="140">
        <v>22</v>
      </c>
      <c r="B381" s="343" t="s">
        <v>410</v>
      </c>
      <c r="C381" s="142"/>
      <c r="D381" s="143"/>
      <c r="E381" s="143"/>
      <c r="F381" s="143"/>
      <c r="G381" s="143"/>
      <c r="H381" s="222"/>
      <c r="I381" s="222"/>
      <c r="J381" s="222"/>
      <c r="K381" s="222"/>
      <c r="L381" s="222"/>
      <c r="M381" s="222"/>
      <c r="N381" s="222">
        <v>1415853</v>
      </c>
      <c r="O381" s="145"/>
      <c r="P381" s="223">
        <f t="shared" si="249"/>
        <v>1415853</v>
      </c>
      <c r="Q381" s="147">
        <f>P381*$Q$6</f>
        <v>232199.89200000002</v>
      </c>
      <c r="R381" s="147">
        <f t="shared" si="241"/>
        <v>636.16408767123289</v>
      </c>
      <c r="S381" s="148">
        <f>R381*$S$3*$S$6</f>
        <v>185759.9136</v>
      </c>
      <c r="T381" s="199"/>
      <c r="U381" s="150"/>
      <c r="V381" s="151"/>
      <c r="W381" s="151"/>
      <c r="X381" s="152"/>
      <c r="Y381" s="153"/>
      <c r="Z381" s="153"/>
      <c r="AA381" s="154"/>
      <c r="AB381" s="155">
        <f>S381*$AB$3</f>
        <v>107740.74988799999</v>
      </c>
      <c r="AC381" s="156">
        <f>S381*$AC$3</f>
        <v>24148.788768000002</v>
      </c>
      <c r="AD381" s="156">
        <f>S381*$AD$3</f>
        <v>16300.4324184</v>
      </c>
      <c r="AE381" s="156">
        <f>S381*$AE$3</f>
        <v>7430.3965440000002</v>
      </c>
      <c r="AF381" s="156">
        <f>S381*$AF$3</f>
        <v>3715.1982720000001</v>
      </c>
      <c r="AG381" s="156">
        <f>S381*$AG$3</f>
        <v>3715.1982720000001</v>
      </c>
      <c r="AH381" s="156">
        <f>S381*$AH$3</f>
        <v>1857.599136</v>
      </c>
      <c r="AI381" s="156">
        <f>S381*$AI$3</f>
        <v>3715.1982720000001</v>
      </c>
      <c r="AJ381" s="156">
        <f>S381*$AJ$3</f>
        <v>3715.1982720000001</v>
      </c>
      <c r="AK381" s="156">
        <f>S381*$AK$3</f>
        <v>13003.193952000001</v>
      </c>
      <c r="AL381" s="157">
        <f t="shared" si="242"/>
        <v>57167.613410400001</v>
      </c>
      <c r="AM381" s="158">
        <f t="shared" si="243"/>
        <v>2200</v>
      </c>
      <c r="AN381" s="159">
        <v>0.2</v>
      </c>
      <c r="AO381" s="160">
        <f t="shared" si="244"/>
        <v>1518964338.0070302</v>
      </c>
      <c r="AP381" s="161">
        <f t="shared" si="245"/>
        <v>421934.57209004922</v>
      </c>
      <c r="AQ381" s="162">
        <f t="shared" si="246"/>
        <v>84386.914418009852</v>
      </c>
      <c r="AR381" s="580">
        <f t="shared" si="247"/>
        <v>12.041511760560766</v>
      </c>
      <c r="AS381" s="582">
        <f t="shared" si="248"/>
        <v>12.041511760560766</v>
      </c>
      <c r="AT381" s="165"/>
      <c r="AU381" s="166"/>
      <c r="AV381" s="167"/>
      <c r="AW381" s="146"/>
      <c r="AX381" s="168"/>
    </row>
    <row r="382" spans="1:50" s="139" customFormat="1" ht="11.25" x14ac:dyDescent="0.25">
      <c r="A382" s="140">
        <v>23</v>
      </c>
      <c r="B382" s="343" t="s">
        <v>411</v>
      </c>
      <c r="C382" s="142"/>
      <c r="D382" s="143"/>
      <c r="E382" s="143"/>
      <c r="F382" s="143"/>
      <c r="G382" s="143"/>
      <c r="H382" s="222"/>
      <c r="I382" s="222"/>
      <c r="J382" s="222"/>
      <c r="K382" s="222"/>
      <c r="L382" s="222"/>
      <c r="M382" s="222"/>
      <c r="N382" s="222">
        <v>1239144</v>
      </c>
      <c r="O382" s="145"/>
      <c r="P382" s="223">
        <f t="shared" si="249"/>
        <v>1239144</v>
      </c>
      <c r="Q382" s="147">
        <f>P382*$Q$6</f>
        <v>203219.61600000001</v>
      </c>
      <c r="R382" s="147">
        <f t="shared" si="241"/>
        <v>556.7660712328767</v>
      </c>
      <c r="S382" s="148">
        <f>R382*$S$3*$S$6</f>
        <v>162575.69280000002</v>
      </c>
      <c r="T382" s="199"/>
      <c r="U382" s="150"/>
      <c r="V382" s="151"/>
      <c r="W382" s="151"/>
      <c r="X382" s="152"/>
      <c r="Y382" s="153"/>
      <c r="Z382" s="153"/>
      <c r="AA382" s="154"/>
      <c r="AB382" s="155">
        <f>S382*$AB$3</f>
        <v>94293.901824</v>
      </c>
      <c r="AC382" s="156">
        <f>S382*$AC$3</f>
        <v>21134.840064000004</v>
      </c>
      <c r="AD382" s="156">
        <f>S382*$AD$3</f>
        <v>14266.017043200001</v>
      </c>
      <c r="AE382" s="156">
        <f>S382*$AE$3</f>
        <v>6503.027712000001</v>
      </c>
      <c r="AF382" s="156">
        <f>S382*$AF$3</f>
        <v>3251.5138560000005</v>
      </c>
      <c r="AG382" s="156">
        <f>S382*$AG$3</f>
        <v>3251.5138560000005</v>
      </c>
      <c r="AH382" s="156">
        <f>S382*$AH$3</f>
        <v>1625.7569280000002</v>
      </c>
      <c r="AI382" s="156">
        <f>S382*$AI$3</f>
        <v>3251.5138560000005</v>
      </c>
      <c r="AJ382" s="156">
        <f>S382*$AJ$3</f>
        <v>3251.5138560000005</v>
      </c>
      <c r="AK382" s="156">
        <f>S382*$AK$3</f>
        <v>11380.298496000003</v>
      </c>
      <c r="AL382" s="157">
        <f t="shared" si="242"/>
        <v>50032.669459200006</v>
      </c>
      <c r="AM382" s="158">
        <f t="shared" si="243"/>
        <v>2200</v>
      </c>
      <c r="AN382" s="159">
        <v>0.2</v>
      </c>
      <c r="AO382" s="160">
        <f t="shared" si="244"/>
        <v>1329386275.0267038</v>
      </c>
      <c r="AP382" s="161">
        <f t="shared" si="245"/>
        <v>369273.99482711271</v>
      </c>
      <c r="AQ382" s="162">
        <f t="shared" si="246"/>
        <v>73854.798965422538</v>
      </c>
      <c r="AR382" s="580">
        <f t="shared" si="247"/>
        <v>10.538641404883354</v>
      </c>
      <c r="AS382" s="582">
        <f t="shared" si="248"/>
        <v>10.538641404883354</v>
      </c>
      <c r="AT382" s="165"/>
      <c r="AU382" s="166"/>
      <c r="AV382" s="167"/>
      <c r="AW382" s="146"/>
      <c r="AX382" s="168"/>
    </row>
    <row r="383" spans="1:50" s="139" customFormat="1" ht="11.25" x14ac:dyDescent="0.25">
      <c r="A383" s="140">
        <v>24</v>
      </c>
      <c r="B383" s="343" t="s">
        <v>412</v>
      </c>
      <c r="C383" s="142"/>
      <c r="D383" s="143"/>
      <c r="E383" s="143"/>
      <c r="F383" s="143"/>
      <c r="G383" s="143"/>
      <c r="H383" s="222"/>
      <c r="I383" s="222"/>
      <c r="J383" s="222"/>
      <c r="K383" s="222"/>
      <c r="L383" s="222"/>
      <c r="M383" s="222"/>
      <c r="N383" s="222">
        <v>1506878</v>
      </c>
      <c r="O383" s="145"/>
      <c r="P383" s="223">
        <f t="shared" si="249"/>
        <v>1506878</v>
      </c>
      <c r="Q383" s="147">
        <f>P383*$Q$5</f>
        <v>357130.08600000001</v>
      </c>
      <c r="R383" s="147">
        <f t="shared" si="241"/>
        <v>978.43859178082198</v>
      </c>
      <c r="S383" s="148">
        <f>R383*$S$3*$S$5</f>
        <v>321417.07740000001</v>
      </c>
      <c r="T383" s="199"/>
      <c r="U383" s="150"/>
      <c r="V383" s="151"/>
      <c r="W383" s="151"/>
      <c r="X383" s="152"/>
      <c r="Y383" s="153"/>
      <c r="Z383" s="153"/>
      <c r="AA383" s="154"/>
      <c r="AB383" s="155">
        <f>S383*$AB$3</f>
        <v>186421.90489199999</v>
      </c>
      <c r="AC383" s="156">
        <f>S383*$AC$3</f>
        <v>41784.220062</v>
      </c>
      <c r="AD383" s="156">
        <f>S383*$AD$3</f>
        <v>28204.348541849999</v>
      </c>
      <c r="AE383" s="156">
        <f>S383*$AE$3</f>
        <v>12856.683096000001</v>
      </c>
      <c r="AF383" s="156">
        <f>S383*$AF$3</f>
        <v>6428.3415480000003</v>
      </c>
      <c r="AG383" s="156">
        <f>S383*$AG$3</f>
        <v>6428.3415480000003</v>
      </c>
      <c r="AH383" s="156">
        <f>S383*$AH$3</f>
        <v>3214.1707740000002</v>
      </c>
      <c r="AI383" s="156">
        <f>S383*$AI$3</f>
        <v>6428.3415480000003</v>
      </c>
      <c r="AJ383" s="156">
        <f>S383*$AJ$3</f>
        <v>6428.3415480000003</v>
      </c>
      <c r="AK383" s="156">
        <f>S383*$AK$3</f>
        <v>22499.195418000003</v>
      </c>
      <c r="AL383" s="157">
        <f t="shared" si="242"/>
        <v>98916.105569849984</v>
      </c>
      <c r="AM383" s="158">
        <f t="shared" si="243"/>
        <v>2200</v>
      </c>
      <c r="AN383" s="159">
        <v>0.2</v>
      </c>
      <c r="AO383" s="160">
        <f t="shared" si="244"/>
        <v>2628237000.8436813</v>
      </c>
      <c r="AP383" s="161">
        <f t="shared" si="245"/>
        <v>730065.8919729559</v>
      </c>
      <c r="AQ383" s="162">
        <f t="shared" si="246"/>
        <v>146013.17839459117</v>
      </c>
      <c r="AR383" s="580">
        <f t="shared" si="247"/>
        <v>20.835213812013581</v>
      </c>
      <c r="AS383" s="582">
        <f t="shared" si="248"/>
        <v>20.835213812013581</v>
      </c>
      <c r="AT383" s="165"/>
      <c r="AU383" s="166"/>
      <c r="AV383" s="167"/>
      <c r="AW383" s="146"/>
      <c r="AX383" s="168"/>
    </row>
    <row r="384" spans="1:50" s="139" customFormat="1" ht="11.25" x14ac:dyDescent="0.25">
      <c r="A384" s="140">
        <v>25</v>
      </c>
      <c r="B384" s="343" t="s">
        <v>413</v>
      </c>
      <c r="C384" s="142"/>
      <c r="D384" s="143"/>
      <c r="E384" s="143"/>
      <c r="F384" s="143"/>
      <c r="G384" s="143"/>
      <c r="H384" s="222"/>
      <c r="I384" s="222"/>
      <c r="J384" s="222"/>
      <c r="K384" s="222"/>
      <c r="L384" s="222"/>
      <c r="M384" s="222"/>
      <c r="N384" s="222">
        <v>1249333</v>
      </c>
      <c r="O384" s="145"/>
      <c r="P384" s="223">
        <f t="shared" si="249"/>
        <v>1249333</v>
      </c>
      <c r="Q384" s="147">
        <f>P384*$Q$6</f>
        <v>204890.61200000002</v>
      </c>
      <c r="R384" s="147">
        <f t="shared" si="241"/>
        <v>561.34414246575352</v>
      </c>
      <c r="S384" s="148">
        <f>R384*$S$3*$S$6</f>
        <v>163912.48960000003</v>
      </c>
      <c r="T384" s="199"/>
      <c r="U384" s="150"/>
      <c r="V384" s="151"/>
      <c r="W384" s="151"/>
      <c r="X384" s="152"/>
      <c r="Y384" s="153"/>
      <c r="Z384" s="153"/>
      <c r="AA384" s="154"/>
      <c r="AB384" s="155">
        <f>S384*$AB$3</f>
        <v>95069.24396800001</v>
      </c>
      <c r="AC384" s="156">
        <f>S384*$AC$3</f>
        <v>21308.623648000004</v>
      </c>
      <c r="AD384" s="156">
        <f>S384*$AD$3</f>
        <v>14383.320962400001</v>
      </c>
      <c r="AE384" s="156">
        <f>S384*$AE$3</f>
        <v>6556.4995840000011</v>
      </c>
      <c r="AF384" s="156">
        <f>S384*$AF$3</f>
        <v>3278.2497920000005</v>
      </c>
      <c r="AG384" s="156">
        <f>S384*$AG$3</f>
        <v>3278.2497920000005</v>
      </c>
      <c r="AH384" s="156">
        <f>S384*$AH$3</f>
        <v>1639.1248960000003</v>
      </c>
      <c r="AI384" s="156">
        <f>S384*$AI$3</f>
        <v>3278.2497920000005</v>
      </c>
      <c r="AJ384" s="156">
        <f>S384*$AJ$3</f>
        <v>3278.2497920000005</v>
      </c>
      <c r="AK384" s="156">
        <f>S384*$AK$3</f>
        <v>11473.874272000003</v>
      </c>
      <c r="AL384" s="157">
        <f t="shared" si="242"/>
        <v>50444.06867440002</v>
      </c>
      <c r="AM384" s="158">
        <f t="shared" si="243"/>
        <v>2200</v>
      </c>
      <c r="AN384" s="159">
        <v>0.2</v>
      </c>
      <c r="AO384" s="160">
        <f t="shared" si="244"/>
        <v>1340317302.2166412</v>
      </c>
      <c r="AP384" s="161">
        <f t="shared" si="245"/>
        <v>372310.39151167369</v>
      </c>
      <c r="AQ384" s="162">
        <f t="shared" si="246"/>
        <v>74462.078302334747</v>
      </c>
      <c r="AR384" s="580">
        <f t="shared" si="247"/>
        <v>10.625296561406214</v>
      </c>
      <c r="AS384" s="582">
        <f t="shared" si="248"/>
        <v>10.625296561406214</v>
      </c>
      <c r="AT384" s="165"/>
      <c r="AU384" s="166"/>
      <c r="AV384" s="167"/>
      <c r="AW384" s="146"/>
      <c r="AX384" s="168"/>
    </row>
    <row r="385" spans="1:50" s="139" customFormat="1" ht="11.25" x14ac:dyDescent="0.25">
      <c r="A385" s="140">
        <v>26</v>
      </c>
      <c r="B385" s="342" t="s">
        <v>414</v>
      </c>
      <c r="C385" s="142"/>
      <c r="D385" s="143"/>
      <c r="E385" s="143"/>
      <c r="F385" s="143"/>
      <c r="G385" s="143"/>
      <c r="H385" s="222"/>
      <c r="I385" s="222"/>
      <c r="J385" s="222"/>
      <c r="K385" s="222"/>
      <c r="L385" s="222"/>
      <c r="M385" s="222"/>
      <c r="N385" s="222">
        <v>301241</v>
      </c>
      <c r="O385" s="145"/>
      <c r="P385" s="223">
        <f t="shared" si="249"/>
        <v>301241</v>
      </c>
      <c r="Q385" s="147">
        <f>P385*$Q$8</f>
        <v>33136.51</v>
      </c>
      <c r="R385" s="147">
        <f t="shared" si="241"/>
        <v>90.784958904109601</v>
      </c>
      <c r="S385" s="148">
        <f>R385*$S$3*$S$8</f>
        <v>19881.905999999999</v>
      </c>
      <c r="T385" s="199"/>
      <c r="U385" s="150"/>
      <c r="V385" s="151"/>
      <c r="W385" s="151"/>
      <c r="X385" s="152"/>
      <c r="Y385" s="153"/>
      <c r="Z385" s="153"/>
      <c r="AA385" s="154"/>
      <c r="AB385" s="155">
        <f>S385*$AB$3</f>
        <v>11531.505479999998</v>
      </c>
      <c r="AC385" s="156">
        <f>S385*$AC$3</f>
        <v>2584.6477799999998</v>
      </c>
      <c r="AD385" s="156">
        <f>S385*$AD$3</f>
        <v>1744.6372514999998</v>
      </c>
      <c r="AE385" s="156">
        <f>S385*$AE$3</f>
        <v>795.27624000000003</v>
      </c>
      <c r="AF385" s="156">
        <f>S385*$AF$3</f>
        <v>397.63812000000001</v>
      </c>
      <c r="AG385" s="156">
        <f>S385*$AG$3</f>
        <v>397.63812000000001</v>
      </c>
      <c r="AH385" s="156">
        <f>S385*$AH$3</f>
        <v>198.81906000000001</v>
      </c>
      <c r="AI385" s="156">
        <f>S385*$AI$3</f>
        <v>397.63812000000001</v>
      </c>
      <c r="AJ385" s="156">
        <f>S385*$AJ$3</f>
        <v>397.63812000000001</v>
      </c>
      <c r="AK385" s="156">
        <f>S385*$AK$3</f>
        <v>1391.73342</v>
      </c>
      <c r="AL385" s="157">
        <f t="shared" si="242"/>
        <v>6118.6565714999988</v>
      </c>
      <c r="AM385" s="158">
        <f t="shared" si="243"/>
        <v>2200</v>
      </c>
      <c r="AN385" s="159">
        <v>0.2</v>
      </c>
      <c r="AO385" s="160">
        <f t="shared" si="244"/>
        <v>162574936.6498844</v>
      </c>
      <c r="AP385" s="161">
        <f t="shared" si="245"/>
        <v>45159.708237744257</v>
      </c>
      <c r="AQ385" s="162">
        <f t="shared" si="246"/>
        <v>9031.9416475488524</v>
      </c>
      <c r="AR385" s="580">
        <f t="shared" si="247"/>
        <v>1.2888044588397336</v>
      </c>
      <c r="AS385" s="582">
        <f t="shared" si="248"/>
        <v>1.2888044588397336</v>
      </c>
      <c r="AT385" s="165"/>
      <c r="AU385" s="166"/>
      <c r="AV385" s="167"/>
      <c r="AW385" s="146"/>
      <c r="AX385" s="168"/>
    </row>
    <row r="386" spans="1:50" s="139" customFormat="1" ht="11.25" x14ac:dyDescent="0.25">
      <c r="A386" s="140">
        <v>27</v>
      </c>
      <c r="B386" s="342" t="s">
        <v>415</v>
      </c>
      <c r="C386" s="142"/>
      <c r="D386" s="143"/>
      <c r="E386" s="143"/>
      <c r="F386" s="143"/>
      <c r="G386" s="143"/>
      <c r="H386" s="222"/>
      <c r="I386" s="222"/>
      <c r="J386" s="222"/>
      <c r="K386" s="222"/>
      <c r="L386" s="222"/>
      <c r="M386" s="222"/>
      <c r="N386" s="222">
        <v>145306</v>
      </c>
      <c r="O386" s="145"/>
      <c r="P386" s="223">
        <f t="shared" si="249"/>
        <v>145306</v>
      </c>
      <c r="Q386" s="147">
        <f>P386*$Q$8</f>
        <v>15983.66</v>
      </c>
      <c r="R386" s="147">
        <f t="shared" si="241"/>
        <v>43.790849315068492</v>
      </c>
      <c r="S386" s="148">
        <f>R386*$S$3*$S$8</f>
        <v>9590.1959999999999</v>
      </c>
      <c r="T386" s="199"/>
      <c r="U386" s="150"/>
      <c r="V386" s="151"/>
      <c r="W386" s="151"/>
      <c r="X386" s="152"/>
      <c r="Y386" s="153"/>
      <c r="Z386" s="153"/>
      <c r="AA386" s="154"/>
      <c r="AB386" s="155">
        <f>S386*$AB$3</f>
        <v>5562.3136799999993</v>
      </c>
      <c r="AC386" s="156">
        <f>S386*$AC$3</f>
        <v>1246.7254800000001</v>
      </c>
      <c r="AD386" s="156">
        <f>S386*$AD$3</f>
        <v>841.53969899999993</v>
      </c>
      <c r="AE386" s="156">
        <f>S386*$AE$3</f>
        <v>383.60784000000001</v>
      </c>
      <c r="AF386" s="156">
        <f>S386*$AF$3</f>
        <v>191.80392000000001</v>
      </c>
      <c r="AG386" s="156">
        <f>S386*$AG$3</f>
        <v>191.80392000000001</v>
      </c>
      <c r="AH386" s="156">
        <f>S386*$AH$3</f>
        <v>95.901960000000003</v>
      </c>
      <c r="AI386" s="156">
        <f>S386*$AI$3</f>
        <v>191.80392000000001</v>
      </c>
      <c r="AJ386" s="156">
        <f>S386*$AJ$3</f>
        <v>191.80392000000001</v>
      </c>
      <c r="AK386" s="156">
        <f>S386*$AK$3</f>
        <v>671.3137200000001</v>
      </c>
      <c r="AL386" s="157">
        <f t="shared" si="242"/>
        <v>2951.3828189999999</v>
      </c>
      <c r="AM386" s="158">
        <f t="shared" si="243"/>
        <v>2200</v>
      </c>
      <c r="AN386" s="159">
        <v>0.2</v>
      </c>
      <c r="AO386" s="160">
        <f t="shared" si="244"/>
        <v>78419317.904429033</v>
      </c>
      <c r="AP386" s="161">
        <f t="shared" si="245"/>
        <v>21783.145604992907</v>
      </c>
      <c r="AQ386" s="162">
        <f t="shared" si="246"/>
        <v>4356.629120998582</v>
      </c>
      <c r="AR386" s="580">
        <f t="shared" si="247"/>
        <v>0.62166511429774285</v>
      </c>
      <c r="AS386" s="582">
        <f t="shared" si="248"/>
        <v>0.62166511429774285</v>
      </c>
      <c r="AT386" s="165"/>
      <c r="AU386" s="166"/>
      <c r="AV386" s="167"/>
      <c r="AW386" s="146"/>
      <c r="AX386" s="168"/>
    </row>
    <row r="387" spans="1:50" s="139" customFormat="1" ht="11.25" x14ac:dyDescent="0.25">
      <c r="A387" s="140">
        <v>28</v>
      </c>
      <c r="B387" s="343" t="s">
        <v>416</v>
      </c>
      <c r="C387" s="142"/>
      <c r="D387" s="143"/>
      <c r="E387" s="143"/>
      <c r="F387" s="143"/>
      <c r="G387" s="143"/>
      <c r="H387" s="222"/>
      <c r="I387" s="222"/>
      <c r="J387" s="222"/>
      <c r="K387" s="222"/>
      <c r="L387" s="222"/>
      <c r="M387" s="222"/>
      <c r="N387" s="222">
        <v>893883</v>
      </c>
      <c r="O387" s="145"/>
      <c r="P387" s="223">
        <f t="shared" si="249"/>
        <v>893883</v>
      </c>
      <c r="Q387" s="147">
        <f>P387*$Q$7</f>
        <v>130506.91799999999</v>
      </c>
      <c r="R387" s="147">
        <f t="shared" si="241"/>
        <v>357.55319999999995</v>
      </c>
      <c r="S387" s="148">
        <f>R387*$S$3*$S$7</f>
        <v>91354.842599999974</v>
      </c>
      <c r="T387" s="199"/>
      <c r="U387" s="150"/>
      <c r="V387" s="151"/>
      <c r="W387" s="151"/>
      <c r="X387" s="152"/>
      <c r="Y387" s="153"/>
      <c r="Z387" s="153"/>
      <c r="AA387" s="154"/>
      <c r="AB387" s="155">
        <f>S387*$AB$3</f>
        <v>52985.808707999982</v>
      </c>
      <c r="AC387" s="156">
        <f>S387*$AC$3</f>
        <v>11876.129537999997</v>
      </c>
      <c r="AD387" s="156">
        <f>S387*$AD$3</f>
        <v>8016.3874381499973</v>
      </c>
      <c r="AE387" s="156">
        <f>S387*$AE$3</f>
        <v>3654.1937039999989</v>
      </c>
      <c r="AF387" s="156">
        <f>S387*$AF$3</f>
        <v>1827.0968519999994</v>
      </c>
      <c r="AG387" s="156">
        <f>S387*$AG$3</f>
        <v>1827.0968519999994</v>
      </c>
      <c r="AH387" s="156">
        <f>S387*$AH$3</f>
        <v>913.54842599999972</v>
      </c>
      <c r="AI387" s="156">
        <f>S387*$AI$3</f>
        <v>1827.0968519999994</v>
      </c>
      <c r="AJ387" s="156">
        <f>S387*$AJ$3</f>
        <v>1827.0968519999994</v>
      </c>
      <c r="AK387" s="156">
        <f>S387*$AK$3</f>
        <v>6394.8389819999984</v>
      </c>
      <c r="AL387" s="157">
        <f t="shared" si="242"/>
        <v>28114.452810149989</v>
      </c>
      <c r="AM387" s="158">
        <f t="shared" si="243"/>
        <v>2200</v>
      </c>
      <c r="AN387" s="159">
        <v>0.2</v>
      </c>
      <c r="AO387" s="160">
        <f t="shared" si="244"/>
        <v>747011264.83321869</v>
      </c>
      <c r="AP387" s="161">
        <f t="shared" si="245"/>
        <v>207503.14572058886</v>
      </c>
      <c r="AQ387" s="162">
        <f t="shared" si="246"/>
        <v>41500.629144117775</v>
      </c>
      <c r="AR387" s="580">
        <f t="shared" si="247"/>
        <v>5.9218934280989979</v>
      </c>
      <c r="AS387" s="582">
        <f t="shared" si="248"/>
        <v>5.9218934280989979</v>
      </c>
      <c r="AT387" s="165"/>
      <c r="AU387" s="166"/>
      <c r="AV387" s="167"/>
      <c r="AW387" s="146"/>
      <c r="AX387" s="168"/>
    </row>
    <row r="388" spans="1:50" s="139" customFormat="1" ht="11.25" x14ac:dyDescent="0.25">
      <c r="A388" s="140">
        <v>29</v>
      </c>
      <c r="B388" s="342" t="s">
        <v>417</v>
      </c>
      <c r="C388" s="235"/>
      <c r="D388" s="236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>
        <v>217990</v>
      </c>
      <c r="O388" s="237"/>
      <c r="P388" s="223">
        <f t="shared" si="249"/>
        <v>217990</v>
      </c>
      <c r="Q388" s="147">
        <f>P388*$Q$8</f>
        <v>23978.9</v>
      </c>
      <c r="R388" s="147">
        <f t="shared" si="241"/>
        <v>65.695616438356168</v>
      </c>
      <c r="S388" s="148">
        <f>R388*$S$3*$S$8</f>
        <v>14387.34</v>
      </c>
      <c r="T388" s="199"/>
      <c r="U388" s="150"/>
      <c r="V388" s="151"/>
      <c r="W388" s="151"/>
      <c r="X388" s="152"/>
      <c r="Y388" s="153"/>
      <c r="Z388" s="153"/>
      <c r="AA388" s="154"/>
      <c r="AB388" s="155">
        <f>S388*$AB$3</f>
        <v>8344.6571999999996</v>
      </c>
      <c r="AC388" s="156">
        <f>S388*$AC$3</f>
        <v>1870.3542</v>
      </c>
      <c r="AD388" s="156">
        <f>S388*$AD$3</f>
        <v>1262.4890849999999</v>
      </c>
      <c r="AE388" s="156">
        <f>S388*$AE$3</f>
        <v>575.49360000000001</v>
      </c>
      <c r="AF388" s="156">
        <f>S388*$AF$3</f>
        <v>287.74680000000001</v>
      </c>
      <c r="AG388" s="156">
        <f>S388*$AG$3</f>
        <v>287.74680000000001</v>
      </c>
      <c r="AH388" s="156">
        <f>S388*$AH$3</f>
        <v>143.8734</v>
      </c>
      <c r="AI388" s="156">
        <f>S388*$AI$3</f>
        <v>287.74680000000001</v>
      </c>
      <c r="AJ388" s="156">
        <f>S388*$AJ$3</f>
        <v>287.74680000000001</v>
      </c>
      <c r="AK388" s="156">
        <f>S388*$AK$3</f>
        <v>1007.1138000000001</v>
      </c>
      <c r="AL388" s="157">
        <f t="shared" si="242"/>
        <v>4427.7038849999999</v>
      </c>
      <c r="AM388" s="158">
        <f t="shared" si="243"/>
        <v>2200</v>
      </c>
      <c r="AN388" s="159">
        <v>0.2</v>
      </c>
      <c r="AO388" s="160">
        <f t="shared" si="244"/>
        <v>117645707.0594916</v>
      </c>
      <c r="AP388" s="161">
        <f t="shared" si="245"/>
        <v>32679.365686430046</v>
      </c>
      <c r="AQ388" s="162">
        <f t="shared" si="246"/>
        <v>6535.8731372860093</v>
      </c>
      <c r="AR388" s="580">
        <f t="shared" si="247"/>
        <v>0.93263029927026386</v>
      </c>
      <c r="AS388" s="582">
        <f t="shared" si="248"/>
        <v>0.93263029927026386</v>
      </c>
      <c r="AT388" s="165"/>
      <c r="AU388" s="166"/>
      <c r="AV388" s="167"/>
      <c r="AW388" s="146"/>
      <c r="AX388" s="168"/>
    </row>
    <row r="389" spans="1:50" s="139" customFormat="1" ht="11.25" x14ac:dyDescent="0.25">
      <c r="A389" s="140">
        <v>30</v>
      </c>
      <c r="B389" s="342" t="s">
        <v>418</v>
      </c>
      <c r="C389" s="235"/>
      <c r="D389" s="236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>
        <v>201364</v>
      </c>
      <c r="O389" s="237"/>
      <c r="P389" s="223">
        <f t="shared" si="249"/>
        <v>201364</v>
      </c>
      <c r="Q389" s="147">
        <f>P389*$Q$8</f>
        <v>22150.04</v>
      </c>
      <c r="R389" s="147">
        <f t="shared" si="241"/>
        <v>60.685041095890412</v>
      </c>
      <c r="S389" s="148">
        <f>R389*$S$3*$S$8</f>
        <v>13290.023999999999</v>
      </c>
      <c r="T389" s="199"/>
      <c r="U389" s="150"/>
      <c r="V389" s="151"/>
      <c r="W389" s="151"/>
      <c r="X389" s="152"/>
      <c r="Y389" s="153"/>
      <c r="Z389" s="153"/>
      <c r="AA389" s="154"/>
      <c r="AB389" s="155">
        <f>S389*$AB$3</f>
        <v>7708.2139199999992</v>
      </c>
      <c r="AC389" s="156">
        <f>S389*$AC$3</f>
        <v>1727.7031199999999</v>
      </c>
      <c r="AD389" s="156">
        <f>S389*$AD$3</f>
        <v>1166.1996059999999</v>
      </c>
      <c r="AE389" s="156">
        <f>S389*$AE$3</f>
        <v>531.60095999999999</v>
      </c>
      <c r="AF389" s="156">
        <f>S389*$AF$3</f>
        <v>265.80047999999999</v>
      </c>
      <c r="AG389" s="156">
        <f>S389*$AG$3</f>
        <v>265.80047999999999</v>
      </c>
      <c r="AH389" s="156">
        <f>S389*$AH$3</f>
        <v>132.90024</v>
      </c>
      <c r="AI389" s="156">
        <f>S389*$AI$3</f>
        <v>265.80047999999999</v>
      </c>
      <c r="AJ389" s="156">
        <f>S389*$AJ$3</f>
        <v>265.80047999999999</v>
      </c>
      <c r="AK389" s="156">
        <f>S389*$AK$3</f>
        <v>930.30168000000003</v>
      </c>
      <c r="AL389" s="157">
        <f t="shared" si="242"/>
        <v>4090.0048859999997</v>
      </c>
      <c r="AM389" s="158">
        <f t="shared" si="243"/>
        <v>2200</v>
      </c>
      <c r="AN389" s="159">
        <v>0.2</v>
      </c>
      <c r="AO389" s="160">
        <f t="shared" si="244"/>
        <v>108672921.49331376</v>
      </c>
      <c r="AP389" s="161">
        <f t="shared" si="245"/>
        <v>30186.92505198541</v>
      </c>
      <c r="AQ389" s="162">
        <f t="shared" si="246"/>
        <v>6037.3850103970826</v>
      </c>
      <c r="AR389" s="580">
        <f t="shared" si="247"/>
        <v>0.86149900262515444</v>
      </c>
      <c r="AS389" s="582">
        <f t="shared" si="248"/>
        <v>0.86149900262515444</v>
      </c>
      <c r="AT389" s="165"/>
      <c r="AU389" s="166"/>
      <c r="AV389" s="167"/>
      <c r="AW389" s="146"/>
      <c r="AX389" s="168"/>
    </row>
    <row r="390" spans="1:50" s="139" customFormat="1" ht="11.25" x14ac:dyDescent="0.25">
      <c r="A390" s="140">
        <v>31</v>
      </c>
      <c r="B390" s="342" t="s">
        <v>419</v>
      </c>
      <c r="C390" s="235"/>
      <c r="D390" s="236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>
        <v>133900</v>
      </c>
      <c r="O390" s="237"/>
      <c r="P390" s="223">
        <f t="shared" si="249"/>
        <v>133900</v>
      </c>
      <c r="Q390" s="147">
        <f>P390*$Q$8</f>
        <v>14729</v>
      </c>
      <c r="R390" s="147">
        <f t="shared" si="241"/>
        <v>40.353424657534248</v>
      </c>
      <c r="S390" s="148">
        <f>R390*$S$3*$S$8</f>
        <v>8837.4</v>
      </c>
      <c r="T390" s="199"/>
      <c r="U390" s="150"/>
      <c r="V390" s="151"/>
      <c r="W390" s="151"/>
      <c r="X390" s="152"/>
      <c r="Y390" s="153"/>
      <c r="Z390" s="153"/>
      <c r="AA390" s="154"/>
      <c r="AB390" s="155">
        <f>S390*$AB$3</f>
        <v>5125.6919999999991</v>
      </c>
      <c r="AC390" s="156">
        <f>S390*$AC$3</f>
        <v>1148.8620000000001</v>
      </c>
      <c r="AD390" s="156">
        <f>S390*$AD$3</f>
        <v>775.48184999999989</v>
      </c>
      <c r="AE390" s="156">
        <f>S390*$AE$3</f>
        <v>353.49599999999998</v>
      </c>
      <c r="AF390" s="156">
        <f>S390*$AF$3</f>
        <v>176.74799999999999</v>
      </c>
      <c r="AG390" s="156">
        <f>S390*$AG$3</f>
        <v>176.74799999999999</v>
      </c>
      <c r="AH390" s="156">
        <f>S390*$AH$3</f>
        <v>88.373999999999995</v>
      </c>
      <c r="AI390" s="156">
        <f>S390*$AI$3</f>
        <v>176.74799999999999</v>
      </c>
      <c r="AJ390" s="156">
        <f>S390*$AJ$3</f>
        <v>176.74799999999999</v>
      </c>
      <c r="AK390" s="156">
        <f>S390*$AK$3</f>
        <v>618.61800000000005</v>
      </c>
      <c r="AL390" s="157">
        <f t="shared" si="242"/>
        <v>2719.7098499999997</v>
      </c>
      <c r="AM390" s="158">
        <f t="shared" si="243"/>
        <v>2200</v>
      </c>
      <c r="AN390" s="159">
        <v>0.2</v>
      </c>
      <c r="AO390" s="160">
        <f t="shared" si="244"/>
        <v>72263682.624275982</v>
      </c>
      <c r="AP390" s="161">
        <f t="shared" si="245"/>
        <v>20073.246779269608</v>
      </c>
      <c r="AQ390" s="162">
        <f t="shared" si="246"/>
        <v>4014.6493558539219</v>
      </c>
      <c r="AR390" s="580">
        <f t="shared" si="247"/>
        <v>0.57286663182847064</v>
      </c>
      <c r="AS390" s="435">
        <f t="shared" si="248"/>
        <v>0.57286663182847064</v>
      </c>
      <c r="AT390" s="187"/>
      <c r="AU390" s="166"/>
      <c r="AV390" s="167"/>
      <c r="AW390" s="146"/>
      <c r="AX390" s="168"/>
    </row>
    <row r="391" spans="1:50" s="139" customFormat="1" ht="11.25" x14ac:dyDescent="0.25">
      <c r="A391" s="140">
        <v>32</v>
      </c>
      <c r="B391" s="342" t="s">
        <v>420</v>
      </c>
      <c r="C391" s="235"/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>
        <v>198981</v>
      </c>
      <c r="O391" s="237"/>
      <c r="P391" s="223">
        <f t="shared" si="249"/>
        <v>198981</v>
      </c>
      <c r="Q391" s="147">
        <f>P391*$Q$8</f>
        <v>21887.91</v>
      </c>
      <c r="R391" s="147">
        <f t="shared" si="241"/>
        <v>59.966876712328769</v>
      </c>
      <c r="S391" s="148">
        <f>R391*$S$3*$S$8</f>
        <v>13132.745999999999</v>
      </c>
      <c r="T391" s="199"/>
      <c r="U391" s="150"/>
      <c r="V391" s="151"/>
      <c r="W391" s="151"/>
      <c r="X391" s="152"/>
      <c r="Y391" s="153"/>
      <c r="Z391" s="153"/>
      <c r="AA391" s="154"/>
      <c r="AB391" s="155">
        <f>S391*$AB$3</f>
        <v>7616.9926799999994</v>
      </c>
      <c r="AC391" s="156">
        <f>S391*$AC$3</f>
        <v>1707.2569799999999</v>
      </c>
      <c r="AD391" s="156">
        <f>S391*$AD$3</f>
        <v>1152.3984614999999</v>
      </c>
      <c r="AE391" s="156">
        <f>S391*$AE$3</f>
        <v>525.30984000000001</v>
      </c>
      <c r="AF391" s="156">
        <f>S391*$AF$3</f>
        <v>262.65492</v>
      </c>
      <c r="AG391" s="156">
        <f>S391*$AG$3</f>
        <v>262.65492</v>
      </c>
      <c r="AH391" s="156">
        <f>S391*$AH$3</f>
        <v>131.32746</v>
      </c>
      <c r="AI391" s="156">
        <f>S391*$AI$3</f>
        <v>262.65492</v>
      </c>
      <c r="AJ391" s="156">
        <f>S391*$AJ$3</f>
        <v>262.65492</v>
      </c>
      <c r="AK391" s="156">
        <f>S391*$AK$3</f>
        <v>919.29222000000004</v>
      </c>
      <c r="AL391" s="157">
        <f t="shared" si="242"/>
        <v>4041.6025814999998</v>
      </c>
      <c r="AM391" s="158">
        <f t="shared" si="243"/>
        <v>2200</v>
      </c>
      <c r="AN391" s="159">
        <v>0.2</v>
      </c>
      <c r="AO391" s="160">
        <f t="shared" si="244"/>
        <v>107386854.60986602</v>
      </c>
      <c r="AP391" s="161">
        <f t="shared" si="245"/>
        <v>29829.684222448443</v>
      </c>
      <c r="AQ391" s="162">
        <f t="shared" si="246"/>
        <v>5965.9368444896891</v>
      </c>
      <c r="AR391" s="580">
        <f t="shared" si="247"/>
        <v>0.85130377347170216</v>
      </c>
      <c r="AS391" s="582">
        <f t="shared" si="248"/>
        <v>0.85130377347170216</v>
      </c>
      <c r="AT391" s="165"/>
      <c r="AU391" s="166"/>
      <c r="AV391" s="167"/>
      <c r="AW391" s="146"/>
      <c r="AX391" s="168"/>
    </row>
    <row r="392" spans="1:50" s="139" customFormat="1" ht="11.25" x14ac:dyDescent="0.25">
      <c r="A392" s="140">
        <v>33</v>
      </c>
      <c r="B392" s="343" t="s">
        <v>421</v>
      </c>
      <c r="C392" s="235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>
        <v>2992487</v>
      </c>
      <c r="O392" s="237"/>
      <c r="P392" s="223">
        <f t="shared" si="249"/>
        <v>2992487</v>
      </c>
      <c r="Q392" s="147">
        <f>P392*$Q$5</f>
        <v>709219.41899999999</v>
      </c>
      <c r="R392" s="147">
        <f t="shared" si="241"/>
        <v>1943.066901369863</v>
      </c>
      <c r="S392" s="148">
        <f>R392*$S$3*$S$5</f>
        <v>638297.47710000002</v>
      </c>
      <c r="T392" s="199"/>
      <c r="U392" s="150"/>
      <c r="V392" s="151"/>
      <c r="W392" s="151"/>
      <c r="X392" s="152"/>
      <c r="Y392" s="153"/>
      <c r="Z392" s="153"/>
      <c r="AA392" s="154"/>
      <c r="AB392" s="155">
        <f>S392*$AB$3</f>
        <v>370212.53671799996</v>
      </c>
      <c r="AC392" s="156">
        <f>S392*$AC$3</f>
        <v>82978.672023000006</v>
      </c>
      <c r="AD392" s="156">
        <f>S392*$AD$3</f>
        <v>56010.603615524997</v>
      </c>
      <c r="AE392" s="156">
        <f>S392*$AE$3</f>
        <v>25531.899084000001</v>
      </c>
      <c r="AF392" s="156">
        <f>S392*$AF$3</f>
        <v>12765.949542</v>
      </c>
      <c r="AG392" s="156">
        <f>S392*$AG$3</f>
        <v>12765.949542</v>
      </c>
      <c r="AH392" s="156">
        <f>S392*$AH$3</f>
        <v>6382.9747710000001</v>
      </c>
      <c r="AI392" s="156">
        <f>S392*$AI$3</f>
        <v>12765.949542</v>
      </c>
      <c r="AJ392" s="156">
        <f>S392*$AJ$3</f>
        <v>12765.949542</v>
      </c>
      <c r="AK392" s="156">
        <f>S392*$AK$3</f>
        <v>44680.823397000007</v>
      </c>
      <c r="AL392" s="157">
        <f>SUM(AC392:AH392)</f>
        <v>196436.04857752498</v>
      </c>
      <c r="AM392" s="158">
        <f t="shared" si="243"/>
        <v>2200</v>
      </c>
      <c r="AN392" s="159">
        <v>0.2</v>
      </c>
      <c r="AO392" s="160">
        <f t="shared" si="244"/>
        <v>5219377453.2136679</v>
      </c>
      <c r="AP392" s="161">
        <f t="shared" si="245"/>
        <v>1449827.1863232956</v>
      </c>
      <c r="AQ392" s="162">
        <f t="shared" si="246"/>
        <v>289965.43726465915</v>
      </c>
      <c r="AR392" s="580">
        <f t="shared" si="247"/>
        <v>41.37634664164657</v>
      </c>
      <c r="AS392" s="582">
        <f t="shared" si="248"/>
        <v>41.37634664164657</v>
      </c>
      <c r="AT392" s="165"/>
      <c r="AU392" s="166"/>
      <c r="AV392" s="167"/>
      <c r="AW392" s="146"/>
      <c r="AX392" s="168"/>
    </row>
    <row r="393" spans="1:50" s="139" customFormat="1" ht="11.25" x14ac:dyDescent="0.25">
      <c r="A393" s="140">
        <v>34</v>
      </c>
      <c r="B393" s="342" t="s">
        <v>422</v>
      </c>
      <c r="C393" s="235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>
        <v>206629</v>
      </c>
      <c r="O393" s="237"/>
      <c r="P393" s="223">
        <f t="shared" si="249"/>
        <v>206629</v>
      </c>
      <c r="Q393" s="147">
        <f>P393*$Q$8</f>
        <v>22729.19</v>
      </c>
      <c r="R393" s="147">
        <f t="shared" si="241"/>
        <v>62.271753424657533</v>
      </c>
      <c r="S393" s="148">
        <f>R393*$S$3*$S$8</f>
        <v>13637.513999999999</v>
      </c>
      <c r="T393" s="199"/>
      <c r="U393" s="150"/>
      <c r="V393" s="151"/>
      <c r="W393" s="151"/>
      <c r="X393" s="152"/>
      <c r="Y393" s="153"/>
      <c r="Z393" s="153"/>
      <c r="AA393" s="154"/>
      <c r="AB393" s="155">
        <f>S393*$AB$3</f>
        <v>7909.7581199999986</v>
      </c>
      <c r="AC393" s="156">
        <f>S393*$AC$3</f>
        <v>1772.87682</v>
      </c>
      <c r="AD393" s="156">
        <f>S393*$AD$3</f>
        <v>1196.6918534999998</v>
      </c>
      <c r="AE393" s="156">
        <f>S393*$AE$3</f>
        <v>545.50055999999995</v>
      </c>
      <c r="AF393" s="156">
        <f>S393*$AF$3</f>
        <v>272.75027999999998</v>
      </c>
      <c r="AG393" s="156">
        <f>S393*$AG$3</f>
        <v>272.75027999999998</v>
      </c>
      <c r="AH393" s="156">
        <f>S393*$AH$3</f>
        <v>136.37513999999999</v>
      </c>
      <c r="AI393" s="156">
        <f>S393*$AI$3</f>
        <v>272.75027999999998</v>
      </c>
      <c r="AJ393" s="156">
        <f>S393*$AJ$3</f>
        <v>272.75027999999998</v>
      </c>
      <c r="AK393" s="156">
        <f>S393*$AK$3</f>
        <v>954.62598000000003</v>
      </c>
      <c r="AL393" s="157">
        <f t="shared" si="242"/>
        <v>4196.9449334999999</v>
      </c>
      <c r="AM393" s="158">
        <f t="shared" si="243"/>
        <v>2200</v>
      </c>
      <c r="AN393" s="159">
        <v>0.2</v>
      </c>
      <c r="AO393" s="160">
        <f t="shared" si="244"/>
        <v>111514357.55766633</v>
      </c>
      <c r="AP393" s="161">
        <f t="shared" si="245"/>
        <v>30976.212910781927</v>
      </c>
      <c r="AQ393" s="162">
        <f t="shared" si="246"/>
        <v>6195.2425821563857</v>
      </c>
      <c r="AR393" s="580">
        <f t="shared" si="247"/>
        <v>0.88402434106112804</v>
      </c>
      <c r="AS393" s="582">
        <f t="shared" si="248"/>
        <v>0.88402434106112804</v>
      </c>
      <c r="AT393" s="165"/>
      <c r="AU393" s="166"/>
      <c r="AV393" s="167"/>
      <c r="AW393" s="167"/>
      <c r="AX393" s="168"/>
    </row>
    <row r="394" spans="1:50" s="190" customFormat="1" ht="11.25" x14ac:dyDescent="0.25">
      <c r="A394" s="120"/>
      <c r="B394" s="121" t="s">
        <v>423</v>
      </c>
      <c r="C394" s="240">
        <f>SUM(C360:C393)</f>
        <v>0</v>
      </c>
      <c r="D394" s="240">
        <f>SUM(D360:D393)</f>
        <v>0</v>
      </c>
      <c r="E394" s="240">
        <f>SUM(E360:E393)</f>
        <v>0</v>
      </c>
      <c r="F394" s="240">
        <f>SUM(F360:F393)</f>
        <v>0</v>
      </c>
      <c r="G394" s="240">
        <f>SUM(G360:G393)</f>
        <v>0</v>
      </c>
      <c r="H394" s="240">
        <v>35835204</v>
      </c>
      <c r="I394" s="240">
        <v>36914545</v>
      </c>
      <c r="J394" s="240">
        <v>37291102</v>
      </c>
      <c r="K394" s="240">
        <v>38412548</v>
      </c>
      <c r="L394" s="240">
        <v>38975046</v>
      </c>
      <c r="M394" s="240">
        <v>40054049</v>
      </c>
      <c r="N394" s="240">
        <f t="shared" ref="N394:T394" si="250">SUM(N360:N393)</f>
        <v>36908257</v>
      </c>
      <c r="O394" s="240">
        <f t="shared" si="250"/>
        <v>0</v>
      </c>
      <c r="P394" s="240">
        <f t="shared" si="250"/>
        <v>36908257</v>
      </c>
      <c r="Q394" s="240">
        <f t="shared" si="250"/>
        <v>6831933.3210000005</v>
      </c>
      <c r="R394" s="240">
        <f t="shared" si="250"/>
        <v>18717.625536986299</v>
      </c>
      <c r="S394" s="240">
        <f t="shared" si="250"/>
        <v>5658890.9263000013</v>
      </c>
      <c r="T394" s="199">
        <f t="shared" si="250"/>
        <v>0</v>
      </c>
      <c r="U394" s="241"/>
      <c r="V394" s="242">
        <f>SUM(V360:V393)</f>
        <v>0</v>
      </c>
      <c r="W394" s="242">
        <f>SUM(W360:W393)</f>
        <v>0</v>
      </c>
      <c r="X394" s="242">
        <f>SUM(X360:X393)</f>
        <v>0</v>
      </c>
      <c r="Y394" s="199"/>
      <c r="Z394" s="199"/>
      <c r="AA394" s="243"/>
      <c r="AB394" s="240">
        <f t="shared" ref="AB394:AL394" si="251">SUM(AB360:AB393)</f>
        <v>3282156.7372539998</v>
      </c>
      <c r="AC394" s="244">
        <f t="shared" si="251"/>
        <v>735655.82041899976</v>
      </c>
      <c r="AD394" s="244">
        <f t="shared" si="251"/>
        <v>496567.67878282483</v>
      </c>
      <c r="AE394" s="244">
        <f t="shared" si="251"/>
        <v>226355.63705200006</v>
      </c>
      <c r="AF394" s="244">
        <f t="shared" si="251"/>
        <v>113177.81852600003</v>
      </c>
      <c r="AG394" s="244">
        <f t="shared" si="251"/>
        <v>113177.81852600003</v>
      </c>
      <c r="AH394" s="244">
        <f t="shared" si="251"/>
        <v>56588.909263000016</v>
      </c>
      <c r="AI394" s="244">
        <f t="shared" si="251"/>
        <v>113177.81852600003</v>
      </c>
      <c r="AJ394" s="244">
        <f t="shared" si="251"/>
        <v>113177.81852600003</v>
      </c>
      <c r="AK394" s="244">
        <f t="shared" si="251"/>
        <v>396122.36484100006</v>
      </c>
      <c r="AL394" s="245">
        <f t="shared" si="251"/>
        <v>1741523.6825688244</v>
      </c>
      <c r="AM394" s="158"/>
      <c r="AN394" s="183"/>
      <c r="AO394" s="184">
        <f>SUM(AO360:AO393)</f>
        <v>46272919399.771248</v>
      </c>
      <c r="AP394" s="184">
        <f>SUM(AP360:AP393)</f>
        <v>12853589.750445774</v>
      </c>
      <c r="AQ394" s="184">
        <f>SUM(AQ360:AQ393)</f>
        <v>2570717.9500891543</v>
      </c>
      <c r="AR394" s="186">
        <f>SUM(AR360:AR393)</f>
        <v>366.82619150815583</v>
      </c>
      <c r="AS394" s="435">
        <f>SUM(AS360:AS393)</f>
        <v>366.82619150815583</v>
      </c>
      <c r="AT394" s="187"/>
      <c r="AU394" s="246">
        <f>SUM(AU364:AU392)</f>
        <v>0</v>
      </c>
      <c r="AV394" s="246"/>
      <c r="AW394" s="185">
        <f>SUM(AW364:AW392)</f>
        <v>0</v>
      </c>
      <c r="AX394" s="189"/>
    </row>
    <row r="396" spans="1:50" s="139" customFormat="1" ht="11.25" x14ac:dyDescent="0.25">
      <c r="A396" s="120"/>
      <c r="B396" s="121" t="s">
        <v>424</v>
      </c>
      <c r="C396" s="122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213"/>
      <c r="P396" s="76"/>
      <c r="Q396" s="108"/>
      <c r="R396" s="108"/>
      <c r="S396" s="94"/>
      <c r="T396" s="199"/>
      <c r="U396" s="179"/>
      <c r="V396" s="180"/>
      <c r="W396" s="180"/>
      <c r="X396" s="214"/>
      <c r="Y396" s="181"/>
      <c r="Z396" s="181"/>
      <c r="AA396" s="182"/>
      <c r="AB396" s="62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125"/>
      <c r="AM396" s="75"/>
      <c r="AN396" s="216"/>
      <c r="AO396" s="75"/>
      <c r="AP396" s="51"/>
      <c r="AQ396" s="217"/>
      <c r="AR396" s="583"/>
      <c r="AS396" s="584"/>
      <c r="AT396" s="220"/>
      <c r="AU396" s="135"/>
      <c r="AV396" s="136"/>
      <c r="AW396" s="137"/>
      <c r="AX396" s="138"/>
    </row>
    <row r="397" spans="1:50" s="139" customFormat="1" ht="11.25" x14ac:dyDescent="0.25">
      <c r="A397" s="140">
        <v>35</v>
      </c>
      <c r="B397" s="335" t="s">
        <v>425</v>
      </c>
      <c r="C397" s="142"/>
      <c r="D397" s="143"/>
      <c r="E397" s="143"/>
      <c r="F397" s="143"/>
      <c r="G397" s="143"/>
      <c r="H397" s="222"/>
      <c r="I397" s="222"/>
      <c r="J397" s="222"/>
      <c r="K397" s="222"/>
      <c r="L397" s="222"/>
      <c r="M397" s="222"/>
      <c r="N397" s="222">
        <v>1190129</v>
      </c>
      <c r="O397" s="145"/>
      <c r="P397" s="223">
        <f>N397</f>
        <v>1190129</v>
      </c>
      <c r="Q397" s="147">
        <f>P397*$Q$6</f>
        <v>195181.15600000002</v>
      </c>
      <c r="R397" s="147">
        <f>Q397/$R$3</f>
        <v>534.74289315068495</v>
      </c>
      <c r="S397" s="148">
        <f>R397*$S$3*$S$6</f>
        <v>156144.92480000001</v>
      </c>
      <c r="T397" s="199"/>
      <c r="U397" s="150"/>
      <c r="V397" s="151"/>
      <c r="W397" s="151"/>
      <c r="X397" s="152"/>
      <c r="Y397" s="153"/>
      <c r="Z397" s="153"/>
      <c r="AA397" s="154"/>
      <c r="AB397" s="155">
        <f>S397*$AB$3</f>
        <v>90564.056383999996</v>
      </c>
      <c r="AC397" s="156">
        <f>S397*$AC$3</f>
        <v>20298.840224000003</v>
      </c>
      <c r="AD397" s="156">
        <f>S397*$AD$3</f>
        <v>13701.7171512</v>
      </c>
      <c r="AE397" s="156">
        <f>S397*$AE$3</f>
        <v>6245.7969920000005</v>
      </c>
      <c r="AF397" s="156">
        <f>S397*$AF$3</f>
        <v>3122.8984960000003</v>
      </c>
      <c r="AG397" s="156">
        <f>S397*$AG$3</f>
        <v>3122.8984960000003</v>
      </c>
      <c r="AH397" s="156">
        <f>S397*$AH$3</f>
        <v>1561.4492480000001</v>
      </c>
      <c r="AI397" s="156">
        <f>S397*$AI$3</f>
        <v>3122.8984960000003</v>
      </c>
      <c r="AJ397" s="156">
        <f>S397*$AJ$3</f>
        <v>3122.8984960000003</v>
      </c>
      <c r="AK397" s="156">
        <f>S397*$AK$3</f>
        <v>10930.144736000002</v>
      </c>
      <c r="AL397" s="157">
        <f>SUM(AC397:AH397)</f>
        <v>48053.600607200009</v>
      </c>
      <c r="AM397" s="158">
        <f>$AM$3</f>
        <v>2200</v>
      </c>
      <c r="AN397" s="159">
        <v>0.2</v>
      </c>
      <c r="AO397" s="160">
        <f>(AB397+AL397)*AM397*$AO$3</f>
        <v>1276801693.8396633</v>
      </c>
      <c r="AP397" s="161">
        <f>AO397*$AP$3</f>
        <v>354667.16555105522</v>
      </c>
      <c r="AQ397" s="162">
        <f>AP397*$AQ$3</f>
        <v>70933.433110211045</v>
      </c>
      <c r="AR397" s="580">
        <f>AQ397/$AR$3</f>
        <v>10.121779838785823</v>
      </c>
      <c r="AS397" s="582">
        <f>AR397</f>
        <v>10.121779838785823</v>
      </c>
      <c r="AT397" s="165"/>
      <c r="AU397" s="166"/>
      <c r="AV397" s="167"/>
      <c r="AW397" s="146"/>
      <c r="AX397" s="168"/>
    </row>
    <row r="398" spans="1:50" s="139" customFormat="1" ht="11.25" x14ac:dyDescent="0.25">
      <c r="A398" s="140">
        <v>36</v>
      </c>
      <c r="B398" s="335" t="s">
        <v>426</v>
      </c>
      <c r="C398" s="142"/>
      <c r="D398" s="143"/>
      <c r="E398" s="143"/>
      <c r="F398" s="143"/>
      <c r="G398" s="143"/>
      <c r="H398" s="222"/>
      <c r="I398" s="222"/>
      <c r="J398" s="222"/>
      <c r="K398" s="222"/>
      <c r="L398" s="222"/>
      <c r="M398" s="222"/>
      <c r="N398" s="222">
        <v>871038</v>
      </c>
      <c r="O398" s="145"/>
      <c r="P398" s="223">
        <f>N398</f>
        <v>871038</v>
      </c>
      <c r="Q398" s="147">
        <f>P398*$Q$7</f>
        <v>127171.548</v>
      </c>
      <c r="R398" s="147">
        <f>Q398/$R$3</f>
        <v>348.41519999999997</v>
      </c>
      <c r="S398" s="148">
        <f>R398*$S$3*$S$7</f>
        <v>89020.083599999998</v>
      </c>
      <c r="T398" s="199"/>
      <c r="U398" s="150"/>
      <c r="V398" s="151"/>
      <c r="W398" s="151"/>
      <c r="X398" s="152"/>
      <c r="Y398" s="153"/>
      <c r="Z398" s="153"/>
      <c r="AA398" s="154"/>
      <c r="AB398" s="155">
        <f>S398*$AB$3</f>
        <v>51631.648487999999</v>
      </c>
      <c r="AC398" s="156">
        <f>S398*$AC$3</f>
        <v>11572.610868</v>
      </c>
      <c r="AD398" s="156">
        <f>S398*$AD$3</f>
        <v>7811.512335899999</v>
      </c>
      <c r="AE398" s="156">
        <f>S398*$AE$3</f>
        <v>3560.8033439999999</v>
      </c>
      <c r="AF398" s="156">
        <f>S398*$AF$3</f>
        <v>1780.401672</v>
      </c>
      <c r="AG398" s="156">
        <f>S398*$AG$3</f>
        <v>1780.401672</v>
      </c>
      <c r="AH398" s="156">
        <f>S398*$AH$3</f>
        <v>890.20083599999998</v>
      </c>
      <c r="AI398" s="156">
        <f>S398*$AI$3</f>
        <v>1780.401672</v>
      </c>
      <c r="AJ398" s="156">
        <f>S398*$AJ$3</f>
        <v>1780.401672</v>
      </c>
      <c r="AK398" s="156">
        <f>S398*$AK$3</f>
        <v>6231.4058520000008</v>
      </c>
      <c r="AL398" s="157">
        <f>SUM(AC398:AH398)</f>
        <v>27395.930727899999</v>
      </c>
      <c r="AM398" s="158">
        <f>$AM$3</f>
        <v>2200</v>
      </c>
      <c r="AN398" s="159">
        <v>0.2</v>
      </c>
      <c r="AO398" s="160">
        <f>(AB398+AL398)*AM398*$AO$3</f>
        <v>727919871.05448627</v>
      </c>
      <c r="AP398" s="161">
        <f>AO398*$AP$3</f>
        <v>202199.98035779886</v>
      </c>
      <c r="AQ398" s="162">
        <f>AP398*$AQ$3</f>
        <v>40439.996071559777</v>
      </c>
      <c r="AR398" s="580">
        <f>AQ398/$AR$3</f>
        <v>5.7705473846403788</v>
      </c>
      <c r="AS398" s="582">
        <f>AR398</f>
        <v>5.7705473846403788</v>
      </c>
      <c r="AT398" s="165"/>
      <c r="AU398" s="166"/>
      <c r="AV398" s="167"/>
      <c r="AW398" s="146"/>
      <c r="AX398" s="168"/>
    </row>
    <row r="399" spans="1:50" s="139" customFormat="1" ht="11.25" x14ac:dyDescent="0.25">
      <c r="A399" s="140">
        <v>37</v>
      </c>
      <c r="B399" s="335" t="s">
        <v>427</v>
      </c>
      <c r="C399" s="142"/>
      <c r="D399" s="143"/>
      <c r="E399" s="143"/>
      <c r="F399" s="143"/>
      <c r="G399" s="143"/>
      <c r="H399" s="222"/>
      <c r="I399" s="222"/>
      <c r="J399" s="222"/>
      <c r="K399" s="222"/>
      <c r="L399" s="222"/>
      <c r="M399" s="222"/>
      <c r="N399" s="222">
        <v>833265</v>
      </c>
      <c r="O399" s="145"/>
      <c r="P399" s="223">
        <f>N399</f>
        <v>833265</v>
      </c>
      <c r="Q399" s="147">
        <f>P399*$Q$7</f>
        <v>121656.68999999999</v>
      </c>
      <c r="R399" s="147">
        <f>Q399/$R$3</f>
        <v>333.30599999999998</v>
      </c>
      <c r="S399" s="148">
        <f>R399*$S$3*$S$7</f>
        <v>85159.68299999999</v>
      </c>
      <c r="T399" s="199"/>
      <c r="U399" s="150"/>
      <c r="V399" s="151"/>
      <c r="W399" s="151"/>
      <c r="X399" s="152"/>
      <c r="Y399" s="153"/>
      <c r="Z399" s="153"/>
      <c r="AA399" s="154"/>
      <c r="AB399" s="155">
        <f>S399*$AB$3</f>
        <v>49392.616139999991</v>
      </c>
      <c r="AC399" s="156">
        <f>S399*$AC$3</f>
        <v>11070.75879</v>
      </c>
      <c r="AD399" s="156">
        <f>S399*$AD$3</f>
        <v>7472.762183249999</v>
      </c>
      <c r="AE399" s="156">
        <f>S399*$AE$3</f>
        <v>3406.3873199999998</v>
      </c>
      <c r="AF399" s="156">
        <f>S399*$AF$3</f>
        <v>1703.1936599999999</v>
      </c>
      <c r="AG399" s="156">
        <f>S399*$AG$3</f>
        <v>1703.1936599999999</v>
      </c>
      <c r="AH399" s="156">
        <f>S399*$AH$3</f>
        <v>851.59682999999995</v>
      </c>
      <c r="AI399" s="156">
        <f>S399*$AI$3</f>
        <v>1703.1936599999999</v>
      </c>
      <c r="AJ399" s="156">
        <f>S399*$AJ$3</f>
        <v>1703.1936599999999</v>
      </c>
      <c r="AK399" s="156">
        <f>S399*$AK$3</f>
        <v>5961.1778100000001</v>
      </c>
      <c r="AL399" s="157">
        <f>SUM(AC399:AH399)</f>
        <v>26207.892443250003</v>
      </c>
      <c r="AM399" s="158">
        <f>$AM$3</f>
        <v>2200</v>
      </c>
      <c r="AN399" s="159">
        <v>0.2</v>
      </c>
      <c r="AO399" s="160">
        <f>(AB399+AL399)*AM399*$AO$3</f>
        <v>696353260.53997231</v>
      </c>
      <c r="AP399" s="161">
        <f>AO399*$AP$3</f>
        <v>193431.47673562032</v>
      </c>
      <c r="AQ399" s="162">
        <f>AP399*$AQ$3</f>
        <v>38686.295347124069</v>
      </c>
      <c r="AR399" s="580">
        <f>AQ399/$AR$3</f>
        <v>5.5203047013590281</v>
      </c>
      <c r="AS399" s="582">
        <f>AR399</f>
        <v>5.5203047013590281</v>
      </c>
      <c r="AT399" s="165"/>
      <c r="AU399" s="166"/>
      <c r="AV399" s="167"/>
      <c r="AW399" s="146"/>
      <c r="AX399" s="168"/>
    </row>
    <row r="400" spans="1:50" s="139" customFormat="1" ht="11.25" x14ac:dyDescent="0.25">
      <c r="A400" s="140">
        <v>38</v>
      </c>
      <c r="B400" s="343" t="s">
        <v>428</v>
      </c>
      <c r="C400" s="142"/>
      <c r="D400" s="143"/>
      <c r="E400" s="143"/>
      <c r="F400" s="143"/>
      <c r="G400" s="143"/>
      <c r="H400" s="222"/>
      <c r="I400" s="222"/>
      <c r="J400" s="222"/>
      <c r="K400" s="222"/>
      <c r="L400" s="222"/>
      <c r="M400" s="222"/>
      <c r="N400" s="222">
        <v>1100711</v>
      </c>
      <c r="O400" s="145"/>
      <c r="P400" s="223">
        <f>N400</f>
        <v>1100711</v>
      </c>
      <c r="Q400" s="147">
        <f>P400*$Q$6</f>
        <v>180516.60400000002</v>
      </c>
      <c r="R400" s="147">
        <f>Q400/$R$3</f>
        <v>494.56603835616443</v>
      </c>
      <c r="S400" s="148">
        <f>R400*$S$3*$S$6</f>
        <v>144413.28320000003</v>
      </c>
      <c r="T400" s="199"/>
      <c r="U400" s="150"/>
      <c r="V400" s="151"/>
      <c r="W400" s="151"/>
      <c r="X400" s="152"/>
      <c r="Y400" s="153"/>
      <c r="Z400" s="153"/>
      <c r="AA400" s="154"/>
      <c r="AB400" s="155">
        <f>S400*$AB$3</f>
        <v>83759.704256000012</v>
      </c>
      <c r="AC400" s="156">
        <f>S400*$AC$3</f>
        <v>18773.726816000006</v>
      </c>
      <c r="AD400" s="156">
        <f>S400*$AD$3</f>
        <v>12672.265600800003</v>
      </c>
      <c r="AE400" s="156">
        <f>S400*$AE$3</f>
        <v>5776.5313280000018</v>
      </c>
      <c r="AF400" s="156">
        <f>S400*$AF$3</f>
        <v>2888.2656640000009</v>
      </c>
      <c r="AG400" s="156">
        <f>S400*$AG$3</f>
        <v>2888.2656640000009</v>
      </c>
      <c r="AH400" s="156">
        <f>S400*$AH$3</f>
        <v>1444.1328320000005</v>
      </c>
      <c r="AI400" s="156">
        <f>S400*$AI$3</f>
        <v>2888.2656640000009</v>
      </c>
      <c r="AJ400" s="156">
        <f>S400*$AJ$3</f>
        <v>2888.2656640000009</v>
      </c>
      <c r="AK400" s="156">
        <f>S400*$AK$3</f>
        <v>10108.929824000003</v>
      </c>
      <c r="AL400" s="157">
        <f>SUM(AC400:AH400)</f>
        <v>44443.187904800012</v>
      </c>
      <c r="AM400" s="158">
        <f>$AM$3</f>
        <v>2200</v>
      </c>
      <c r="AN400" s="159">
        <v>0.2</v>
      </c>
      <c r="AO400" s="160">
        <f>(AB400+AL400)*AM400*$AO$3</f>
        <v>1180871711.5774424</v>
      </c>
      <c r="AP400" s="161">
        <f>AO400*$AP$3</f>
        <v>328019.94612421648</v>
      </c>
      <c r="AQ400" s="162">
        <f>AP400*$AQ$3</f>
        <v>65603.989224843303</v>
      </c>
      <c r="AR400" s="580">
        <f>AQ400/$AR$3</f>
        <v>9.361299832312115</v>
      </c>
      <c r="AS400" s="582">
        <f>AR400</f>
        <v>9.361299832312115</v>
      </c>
      <c r="AT400" s="165"/>
      <c r="AU400" s="166"/>
      <c r="AV400" s="167"/>
      <c r="AW400" s="146"/>
      <c r="AX400" s="168"/>
    </row>
    <row r="401" spans="1:50" s="190" customFormat="1" ht="11.25" x14ac:dyDescent="0.25">
      <c r="A401" s="120"/>
      <c r="B401" s="121" t="s">
        <v>423</v>
      </c>
      <c r="C401" s="240">
        <f>SUM(C397:C400)</f>
        <v>0</v>
      </c>
      <c r="D401" s="240">
        <f>SUM(D397:D400)</f>
        <v>0</v>
      </c>
      <c r="E401" s="240">
        <f>SUM(E397:E400)</f>
        <v>0</v>
      </c>
      <c r="F401" s="240">
        <f>SUM(F397:F400)</f>
        <v>0</v>
      </c>
      <c r="G401" s="240">
        <f>SUM(G397:G400)</f>
        <v>0</v>
      </c>
      <c r="H401" s="240">
        <v>35835204</v>
      </c>
      <c r="I401" s="240">
        <v>36914545</v>
      </c>
      <c r="J401" s="240">
        <v>37291102</v>
      </c>
      <c r="K401" s="240">
        <v>38412548</v>
      </c>
      <c r="L401" s="240">
        <v>38975046</v>
      </c>
      <c r="M401" s="240">
        <v>40054049</v>
      </c>
      <c r="N401" s="240">
        <f t="shared" ref="N401:T401" si="252">SUM(N397:N400)</f>
        <v>3995143</v>
      </c>
      <c r="O401" s="240">
        <f t="shared" si="252"/>
        <v>0</v>
      </c>
      <c r="P401" s="240">
        <f t="shared" si="252"/>
        <v>3995143</v>
      </c>
      <c r="Q401" s="240">
        <f t="shared" si="252"/>
        <v>624525.99800000002</v>
      </c>
      <c r="R401" s="240">
        <f t="shared" si="252"/>
        <v>1711.0301315068493</v>
      </c>
      <c r="S401" s="240">
        <f t="shared" si="252"/>
        <v>474737.97460000007</v>
      </c>
      <c r="T401" s="199">
        <f t="shared" si="252"/>
        <v>0</v>
      </c>
      <c r="U401" s="241"/>
      <c r="V401" s="242">
        <f>SUM(V397:V400)</f>
        <v>0</v>
      </c>
      <c r="W401" s="242">
        <f>SUM(W397:W400)</f>
        <v>0</v>
      </c>
      <c r="X401" s="242">
        <f>SUM(X397:X400)</f>
        <v>0</v>
      </c>
      <c r="Y401" s="199"/>
      <c r="Z401" s="199"/>
      <c r="AA401" s="243"/>
      <c r="AB401" s="240">
        <f t="shared" ref="AB401:AL401" si="253">SUM(AB397:AB400)</f>
        <v>275348.02526800003</v>
      </c>
      <c r="AC401" s="244">
        <f t="shared" si="253"/>
        <v>61715.936698000005</v>
      </c>
      <c r="AD401" s="244">
        <f t="shared" si="253"/>
        <v>41658.257271150003</v>
      </c>
      <c r="AE401" s="244">
        <f t="shared" si="253"/>
        <v>18989.518984000002</v>
      </c>
      <c r="AF401" s="244">
        <f t="shared" si="253"/>
        <v>9494.759492000001</v>
      </c>
      <c r="AG401" s="244">
        <f t="shared" si="253"/>
        <v>9494.759492000001</v>
      </c>
      <c r="AH401" s="244">
        <f t="shared" si="253"/>
        <v>4747.3797460000005</v>
      </c>
      <c r="AI401" s="244">
        <f t="shared" si="253"/>
        <v>9494.759492000001</v>
      </c>
      <c r="AJ401" s="244">
        <f t="shared" si="253"/>
        <v>9494.759492000001</v>
      </c>
      <c r="AK401" s="244">
        <f t="shared" si="253"/>
        <v>33231.658222000005</v>
      </c>
      <c r="AL401" s="245">
        <f t="shared" si="253"/>
        <v>146100.61168315003</v>
      </c>
      <c r="AM401" s="158"/>
      <c r="AN401" s="183"/>
      <c r="AO401" s="184">
        <f>SUM(AO397:AO400)</f>
        <v>3881946537.0115643</v>
      </c>
      <c r="AP401" s="184">
        <f>SUM(AP397:AP400)</f>
        <v>1078318.5687686908</v>
      </c>
      <c r="AQ401" s="184">
        <f>SUM(AQ397:AQ400)</f>
        <v>215663.71375373821</v>
      </c>
      <c r="AR401" s="186">
        <f>SUM(AR397:AR400)</f>
        <v>30.773931757097344</v>
      </c>
      <c r="AS401" s="435">
        <f>SUM(AS397:AS400)</f>
        <v>30.773931757097344</v>
      </c>
      <c r="AT401" s="187"/>
      <c r="AU401" s="246">
        <f>SUM(AU397:AU400)</f>
        <v>0</v>
      </c>
      <c r="AV401" s="246"/>
      <c r="AW401" s="185">
        <f>SUM(AW397:AW400)</f>
        <v>0</v>
      </c>
      <c r="AX401" s="189"/>
    </row>
    <row r="402" spans="1:50" s="139" customFormat="1" ht="11.25" x14ac:dyDescent="0.25">
      <c r="P402" s="310"/>
      <c r="Q402" s="310"/>
      <c r="R402" s="310"/>
      <c r="S402" s="310"/>
      <c r="T402" s="311"/>
      <c r="U402" s="312"/>
      <c r="V402" s="310"/>
      <c r="W402" s="310"/>
      <c r="Y402" s="86"/>
      <c r="Z402" s="86"/>
      <c r="AA402" s="313"/>
      <c r="AC402" s="314"/>
      <c r="AD402" s="314"/>
      <c r="AE402" s="314"/>
      <c r="AF402" s="314"/>
      <c r="AG402" s="314"/>
      <c r="AH402" s="314"/>
      <c r="AI402" s="314"/>
      <c r="AJ402" s="314"/>
      <c r="AK402" s="314"/>
      <c r="AL402" s="315"/>
      <c r="AM402" s="310"/>
      <c r="AN402" s="316"/>
      <c r="AO402" s="310"/>
      <c r="AP402" s="317"/>
      <c r="AQ402" s="317"/>
      <c r="AR402" s="318"/>
      <c r="AS402" s="318"/>
      <c r="AT402" s="319"/>
      <c r="AU402" s="310"/>
      <c r="AV402" s="310"/>
      <c r="AW402" s="310"/>
      <c r="AX402" s="310"/>
    </row>
    <row r="403" spans="1:50" s="139" customFormat="1" ht="11.25" x14ac:dyDescent="0.25">
      <c r="A403" s="120"/>
      <c r="B403" s="121" t="s">
        <v>429</v>
      </c>
      <c r="C403" s="122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213"/>
      <c r="P403" s="76"/>
      <c r="Q403" s="108"/>
      <c r="R403" s="108"/>
      <c r="S403" s="94"/>
      <c r="T403" s="199"/>
      <c r="U403" s="179"/>
      <c r="V403" s="180"/>
      <c r="W403" s="180"/>
      <c r="X403" s="214"/>
      <c r="Y403" s="181"/>
      <c r="Z403" s="181"/>
      <c r="AA403" s="182"/>
      <c r="AB403" s="62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125"/>
      <c r="AM403" s="75"/>
      <c r="AN403" s="216"/>
      <c r="AO403" s="75"/>
      <c r="AP403" s="51"/>
      <c r="AQ403" s="217"/>
      <c r="AR403" s="583"/>
      <c r="AS403" s="584"/>
      <c r="AT403" s="220"/>
      <c r="AU403" s="135"/>
      <c r="AV403" s="136"/>
      <c r="AW403" s="137"/>
      <c r="AX403" s="138"/>
    </row>
    <row r="404" spans="1:50" s="139" customFormat="1" ht="11.25" x14ac:dyDescent="0.2">
      <c r="A404" s="140">
        <v>1</v>
      </c>
      <c r="B404" s="63" t="s">
        <v>430</v>
      </c>
      <c r="C404" s="142"/>
      <c r="D404" s="143"/>
      <c r="E404" s="143"/>
      <c r="F404" s="143"/>
      <c r="G404" s="143"/>
      <c r="H404" s="143"/>
      <c r="I404" s="143"/>
      <c r="J404" s="143"/>
      <c r="K404" s="143"/>
      <c r="L404" s="143"/>
      <c r="M404" s="328">
        <v>261638</v>
      </c>
      <c r="N404" s="328">
        <v>267051</v>
      </c>
      <c r="O404" s="145"/>
      <c r="P404" s="223">
        <f t="shared" ref="P404:P412" si="254">MAX(C404:O404)</f>
        <v>267051</v>
      </c>
      <c r="Q404" s="147">
        <f>P404*$Q$8</f>
        <v>29375.61</v>
      </c>
      <c r="R404" s="147">
        <f t="shared" ref="R404:R412" si="255">Q404/$R$3</f>
        <v>80.481123287671238</v>
      </c>
      <c r="S404" s="148">
        <f>R404*$S$3*$S$8</f>
        <v>17625.365999999998</v>
      </c>
      <c r="T404" s="199"/>
      <c r="U404" s="150"/>
      <c r="V404" s="151"/>
      <c r="W404" s="151"/>
      <c r="X404" s="152"/>
      <c r="Y404" s="153"/>
      <c r="Z404" s="153"/>
      <c r="AA404" s="154"/>
      <c r="AB404" s="155">
        <f>S404*$AB$3</f>
        <v>10222.712279999998</v>
      </c>
      <c r="AC404" s="156">
        <f>S404*$AC$3</f>
        <v>2291.2975799999999</v>
      </c>
      <c r="AD404" s="156">
        <f>S404*$AD$3</f>
        <v>1546.6258664999998</v>
      </c>
      <c r="AE404" s="156">
        <f>S404*$AE$3</f>
        <v>705.01463999999999</v>
      </c>
      <c r="AF404" s="156">
        <f>S404*$AF$3</f>
        <v>352.50731999999999</v>
      </c>
      <c r="AG404" s="156">
        <f>S404*$AG$3</f>
        <v>352.50731999999999</v>
      </c>
      <c r="AH404" s="156">
        <f>S404*$AH$3</f>
        <v>176.25366</v>
      </c>
      <c r="AI404" s="156">
        <f>S404*$AI$3</f>
        <v>352.50731999999999</v>
      </c>
      <c r="AJ404" s="156">
        <f>S404*$AJ$3</f>
        <v>352.50731999999999</v>
      </c>
      <c r="AK404" s="156">
        <f>S404*$AK$3</f>
        <v>1233.7756199999999</v>
      </c>
      <c r="AL404" s="157">
        <f t="shared" ref="AL404:AL412" si="256">SUM(AC404:AH404)</f>
        <v>5424.2063865</v>
      </c>
      <c r="AM404" s="158">
        <f t="shared" ref="AM404:AM412" si="257">$AM$3</f>
        <v>2200</v>
      </c>
      <c r="AN404" s="159">
        <v>0.2</v>
      </c>
      <c r="AO404" s="160">
        <f t="shared" ref="AO404:AO412" si="258">(AB404+AL404)*AM404*$AO$3</f>
        <v>144123141.96038482</v>
      </c>
      <c r="AP404" s="161">
        <f t="shared" ref="AP404:AP412" si="259">AO404*$AP$3</f>
        <v>40034.209302843381</v>
      </c>
      <c r="AQ404" s="162">
        <f t="shared" ref="AQ404:AQ412" si="260">AP404*$AQ$3</f>
        <v>8006.8418605686766</v>
      </c>
      <c r="AR404" s="580">
        <f t="shared" ref="AR404:AR412" si="261">AQ404/$AR$3</f>
        <v>1.1425288043048911</v>
      </c>
      <c r="AS404" s="582">
        <f t="shared" ref="AS404:AS412" si="262">AR404</f>
        <v>1.1425288043048911</v>
      </c>
      <c r="AT404" s="165"/>
      <c r="AU404" s="166"/>
      <c r="AV404" s="167"/>
      <c r="AW404" s="146"/>
      <c r="AX404" s="168"/>
    </row>
    <row r="405" spans="1:50" s="139" customFormat="1" ht="11.25" x14ac:dyDescent="0.2">
      <c r="A405" s="140">
        <v>2</v>
      </c>
      <c r="B405" s="63" t="s">
        <v>431</v>
      </c>
      <c r="C405" s="142"/>
      <c r="D405" s="143"/>
      <c r="E405" s="143"/>
      <c r="F405" s="143"/>
      <c r="G405" s="143"/>
      <c r="H405" s="143"/>
      <c r="I405" s="143"/>
      <c r="J405" s="143"/>
      <c r="K405" s="143"/>
      <c r="L405" s="143"/>
      <c r="M405" s="328">
        <v>420913</v>
      </c>
      <c r="N405" s="328">
        <v>429622</v>
      </c>
      <c r="O405" s="145"/>
      <c r="P405" s="223">
        <f t="shared" si="254"/>
        <v>429622</v>
      </c>
      <c r="Q405" s="147">
        <f>P405*$Q$8</f>
        <v>47258.42</v>
      </c>
      <c r="R405" s="147">
        <f t="shared" si="255"/>
        <v>129.47512328767124</v>
      </c>
      <c r="S405" s="148">
        <f>R405*$S$3*$S$8</f>
        <v>28355.052</v>
      </c>
      <c r="T405" s="199"/>
      <c r="U405" s="150"/>
      <c r="V405" s="151"/>
      <c r="W405" s="151"/>
      <c r="X405" s="152"/>
      <c r="Y405" s="153"/>
      <c r="Z405" s="153"/>
      <c r="AA405" s="154"/>
      <c r="AB405" s="155">
        <f>S405*$AB$3</f>
        <v>16445.93016</v>
      </c>
      <c r="AC405" s="156">
        <f>S405*$AC$3</f>
        <v>3686.1567600000003</v>
      </c>
      <c r="AD405" s="156">
        <f>S405*$AD$3</f>
        <v>2488.1558129999999</v>
      </c>
      <c r="AE405" s="156">
        <f>S405*$AE$3</f>
        <v>1134.20208</v>
      </c>
      <c r="AF405" s="156">
        <f>S405*$AF$3</f>
        <v>567.10104000000001</v>
      </c>
      <c r="AG405" s="156">
        <f>S405*$AG$3</f>
        <v>567.10104000000001</v>
      </c>
      <c r="AH405" s="156">
        <f>S405*$AH$3</f>
        <v>283.55052000000001</v>
      </c>
      <c r="AI405" s="156">
        <f>S405*$AI$3</f>
        <v>567.10104000000001</v>
      </c>
      <c r="AJ405" s="156">
        <f>S405*$AJ$3</f>
        <v>567.10104000000001</v>
      </c>
      <c r="AK405" s="156">
        <f>S405*$AK$3</f>
        <v>1984.8536400000003</v>
      </c>
      <c r="AL405" s="157">
        <f t="shared" si="256"/>
        <v>8726.267253</v>
      </c>
      <c r="AM405" s="158">
        <f t="shared" si="257"/>
        <v>2200</v>
      </c>
      <c r="AN405" s="159">
        <v>0.2</v>
      </c>
      <c r="AO405" s="160">
        <f t="shared" si="258"/>
        <v>231860103.48324648</v>
      </c>
      <c r="AP405" s="161">
        <f t="shared" si="259"/>
        <v>64405.589453348541</v>
      </c>
      <c r="AQ405" s="162">
        <f t="shared" si="260"/>
        <v>12881.11789066971</v>
      </c>
      <c r="AR405" s="580">
        <f t="shared" si="261"/>
        <v>1.8380590597416824</v>
      </c>
      <c r="AS405" s="582">
        <f t="shared" si="262"/>
        <v>1.8380590597416824</v>
      </c>
      <c r="AT405" s="165"/>
      <c r="AU405" s="166"/>
      <c r="AV405" s="167"/>
      <c r="AW405" s="146"/>
      <c r="AX405" s="168"/>
    </row>
    <row r="406" spans="1:50" s="139" customFormat="1" ht="11.25" x14ac:dyDescent="0.2">
      <c r="A406" s="140">
        <v>3</v>
      </c>
      <c r="B406" s="63" t="s">
        <v>432</v>
      </c>
      <c r="C406" s="142"/>
      <c r="D406" s="143"/>
      <c r="E406" s="143"/>
      <c r="F406" s="143"/>
      <c r="G406" s="143"/>
      <c r="H406" s="143"/>
      <c r="I406" s="143"/>
      <c r="J406" s="143"/>
      <c r="K406" s="143"/>
      <c r="L406" s="143"/>
      <c r="M406" s="328">
        <v>543332</v>
      </c>
      <c r="N406" s="328">
        <v>554574</v>
      </c>
      <c r="O406" s="145"/>
      <c r="P406" s="223">
        <f t="shared" si="254"/>
        <v>554574</v>
      </c>
      <c r="Q406" s="147">
        <f>P406*$Q$7</f>
        <v>80967.803999999989</v>
      </c>
      <c r="R406" s="147">
        <f t="shared" si="255"/>
        <v>221.82959999999997</v>
      </c>
      <c r="S406" s="148">
        <f>R406*$S$3*$S$7</f>
        <v>56677.462799999987</v>
      </c>
      <c r="T406" s="199"/>
      <c r="U406" s="150"/>
      <c r="V406" s="151"/>
      <c r="W406" s="151"/>
      <c r="X406" s="152"/>
      <c r="Y406" s="153"/>
      <c r="Z406" s="153"/>
      <c r="AA406" s="154"/>
      <c r="AB406" s="155">
        <f>S406*$AB$3</f>
        <v>32872.928423999991</v>
      </c>
      <c r="AC406" s="156">
        <f>S406*$AC$3</f>
        <v>7368.0701639999988</v>
      </c>
      <c r="AD406" s="156">
        <f>S406*$AD$3</f>
        <v>4973.4473606999982</v>
      </c>
      <c r="AE406" s="156">
        <f>S406*$AE$3</f>
        <v>2267.0985119999996</v>
      </c>
      <c r="AF406" s="156">
        <f>S406*$AF$3</f>
        <v>1133.5492559999998</v>
      </c>
      <c r="AG406" s="156">
        <f>S406*$AG$3</f>
        <v>1133.5492559999998</v>
      </c>
      <c r="AH406" s="156">
        <f>S406*$AH$3</f>
        <v>566.77462799999989</v>
      </c>
      <c r="AI406" s="156">
        <f>S406*$AI$3</f>
        <v>1133.5492559999998</v>
      </c>
      <c r="AJ406" s="156">
        <f>S406*$AJ$3</f>
        <v>1133.5492559999998</v>
      </c>
      <c r="AK406" s="156">
        <f>S406*$AK$3</f>
        <v>3967.4223959999995</v>
      </c>
      <c r="AL406" s="157">
        <f t="shared" si="256"/>
        <v>17442.489176699997</v>
      </c>
      <c r="AM406" s="158">
        <f t="shared" si="257"/>
        <v>2200</v>
      </c>
      <c r="AN406" s="159">
        <v>0.2</v>
      </c>
      <c r="AO406" s="160">
        <f t="shared" si="258"/>
        <v>463453298.90334356</v>
      </c>
      <c r="AP406" s="161">
        <f t="shared" si="259"/>
        <v>128737.03777211318</v>
      </c>
      <c r="AQ406" s="162">
        <f t="shared" si="260"/>
        <v>25747.407554422636</v>
      </c>
      <c r="AR406" s="580">
        <f t="shared" si="261"/>
        <v>3.674002219523778</v>
      </c>
      <c r="AS406" s="582">
        <f t="shared" si="262"/>
        <v>3.674002219523778</v>
      </c>
      <c r="AT406" s="165"/>
      <c r="AU406" s="166"/>
      <c r="AV406" s="167"/>
      <c r="AW406" s="146"/>
      <c r="AX406" s="168"/>
    </row>
    <row r="407" spans="1:50" s="139" customFormat="1" ht="11.25" x14ac:dyDescent="0.2">
      <c r="A407" s="140">
        <v>4</v>
      </c>
      <c r="B407" s="63" t="s">
        <v>433</v>
      </c>
      <c r="C407" s="142"/>
      <c r="D407" s="143"/>
      <c r="E407" s="143"/>
      <c r="F407" s="143"/>
      <c r="G407" s="143"/>
      <c r="H407" s="143"/>
      <c r="I407" s="143"/>
      <c r="J407" s="143"/>
      <c r="K407" s="143"/>
      <c r="L407" s="143"/>
      <c r="M407" s="328">
        <v>469777</v>
      </c>
      <c r="N407" s="328">
        <v>479497</v>
      </c>
      <c r="O407" s="145"/>
      <c r="P407" s="223">
        <f t="shared" si="254"/>
        <v>479497</v>
      </c>
      <c r="Q407" s="147">
        <f>P407*$Q$8</f>
        <v>52744.67</v>
      </c>
      <c r="R407" s="147">
        <f t="shared" si="255"/>
        <v>144.50594520547943</v>
      </c>
      <c r="S407" s="148">
        <f>R407*$S$3*$S$8</f>
        <v>31646.801999999992</v>
      </c>
      <c r="T407" s="199"/>
      <c r="U407" s="150"/>
      <c r="V407" s="151"/>
      <c r="W407" s="151"/>
      <c r="X407" s="152"/>
      <c r="Y407" s="153"/>
      <c r="Z407" s="153"/>
      <c r="AA407" s="154"/>
      <c r="AB407" s="155">
        <f>S407*$AB$3</f>
        <v>18355.145159999993</v>
      </c>
      <c r="AC407" s="156">
        <f>S407*$AC$3</f>
        <v>4114.0842599999987</v>
      </c>
      <c r="AD407" s="156">
        <f>S407*$AD$3</f>
        <v>2777.0068754999993</v>
      </c>
      <c r="AE407" s="156">
        <f>S407*$AE$3</f>
        <v>1265.8720799999996</v>
      </c>
      <c r="AF407" s="156">
        <f>S407*$AF$3</f>
        <v>632.93603999999982</v>
      </c>
      <c r="AG407" s="156">
        <f>S407*$AG$3</f>
        <v>632.93603999999982</v>
      </c>
      <c r="AH407" s="156">
        <f>S407*$AH$3</f>
        <v>316.46801999999991</v>
      </c>
      <c r="AI407" s="156">
        <f>S407*$AI$3</f>
        <v>632.93603999999982</v>
      </c>
      <c r="AJ407" s="156">
        <f>S407*$AJ$3</f>
        <v>632.93603999999982</v>
      </c>
      <c r="AK407" s="156">
        <f>S407*$AK$3</f>
        <v>2215.2761399999995</v>
      </c>
      <c r="AL407" s="157">
        <f t="shared" si="256"/>
        <v>9739.3033154999994</v>
      </c>
      <c r="AM407" s="158">
        <f t="shared" si="257"/>
        <v>2200</v>
      </c>
      <c r="AN407" s="159">
        <v>0.2</v>
      </c>
      <c r="AO407" s="160">
        <f t="shared" si="258"/>
        <v>258776841.1298914</v>
      </c>
      <c r="AP407" s="161">
        <f t="shared" si="259"/>
        <v>71882.461620010741</v>
      </c>
      <c r="AQ407" s="162">
        <f t="shared" si="260"/>
        <v>14376.492324002149</v>
      </c>
      <c r="AR407" s="580">
        <f t="shared" si="261"/>
        <v>2.0514401147263341</v>
      </c>
      <c r="AS407" s="582">
        <f t="shared" si="262"/>
        <v>2.0514401147263341</v>
      </c>
      <c r="AT407" s="165"/>
      <c r="AU407" s="166"/>
      <c r="AV407" s="167"/>
      <c r="AW407" s="146"/>
      <c r="AX407" s="168"/>
    </row>
    <row r="408" spans="1:50" s="139" customFormat="1" ht="11.25" x14ac:dyDescent="0.2">
      <c r="A408" s="140">
        <v>5</v>
      </c>
      <c r="B408" s="63" t="s">
        <v>434</v>
      </c>
      <c r="C408" s="142"/>
      <c r="D408" s="143"/>
      <c r="E408" s="143"/>
      <c r="F408" s="143"/>
      <c r="G408" s="143"/>
      <c r="H408" s="143"/>
      <c r="I408" s="143"/>
      <c r="J408" s="143"/>
      <c r="K408" s="143"/>
      <c r="L408" s="143"/>
      <c r="M408" s="328">
        <v>170543</v>
      </c>
      <c r="N408" s="328">
        <v>174073</v>
      </c>
      <c r="O408" s="145"/>
      <c r="P408" s="223">
        <f t="shared" si="254"/>
        <v>174073</v>
      </c>
      <c r="Q408" s="147">
        <f>P408*$Q$8</f>
        <v>19148.03</v>
      </c>
      <c r="R408" s="147">
        <f t="shared" si="255"/>
        <v>52.460356164383562</v>
      </c>
      <c r="S408" s="148">
        <f>R408*$S$3*$S$8</f>
        <v>11488.817999999999</v>
      </c>
      <c r="T408" s="199"/>
      <c r="U408" s="150"/>
      <c r="V408" s="151"/>
      <c r="W408" s="151"/>
      <c r="X408" s="152"/>
      <c r="Y408" s="153"/>
      <c r="Z408" s="153"/>
      <c r="AA408" s="154"/>
      <c r="AB408" s="155">
        <f>S408*$AB$3</f>
        <v>6663.514439999999</v>
      </c>
      <c r="AC408" s="156">
        <f>S408*$AC$3</f>
        <v>1493.5463399999999</v>
      </c>
      <c r="AD408" s="156">
        <f>S408*$AD$3</f>
        <v>1008.1437794999998</v>
      </c>
      <c r="AE408" s="156">
        <f>S408*$AE$3</f>
        <v>459.55271999999997</v>
      </c>
      <c r="AF408" s="156">
        <f>S408*$AF$3</f>
        <v>229.77635999999998</v>
      </c>
      <c r="AG408" s="156">
        <f>S408*$AG$3</f>
        <v>229.77635999999998</v>
      </c>
      <c r="AH408" s="156">
        <f>S408*$AH$3</f>
        <v>114.88817999999999</v>
      </c>
      <c r="AI408" s="156">
        <f>S408*$AI$3</f>
        <v>229.77635999999998</v>
      </c>
      <c r="AJ408" s="156">
        <f>S408*$AJ$3</f>
        <v>229.77635999999998</v>
      </c>
      <c r="AK408" s="156">
        <f>S408*$AK$3</f>
        <v>804.21726000000001</v>
      </c>
      <c r="AL408" s="157">
        <f t="shared" si="256"/>
        <v>3535.6837394999993</v>
      </c>
      <c r="AM408" s="158">
        <f t="shared" si="257"/>
        <v>2200</v>
      </c>
      <c r="AN408" s="159">
        <v>0.2</v>
      </c>
      <c r="AO408" s="160">
        <f t="shared" si="258"/>
        <v>93944406.463447317</v>
      </c>
      <c r="AP408" s="161">
        <f t="shared" si="259"/>
        <v>26095.670549722177</v>
      </c>
      <c r="AQ408" s="162">
        <f t="shared" si="260"/>
        <v>5219.1341099444362</v>
      </c>
      <c r="AR408" s="580">
        <f t="shared" si="261"/>
        <v>0.74473945632768779</v>
      </c>
      <c r="AS408" s="582">
        <f t="shared" si="262"/>
        <v>0.74473945632768779</v>
      </c>
      <c r="AT408" s="165"/>
      <c r="AU408" s="166"/>
      <c r="AV408" s="167"/>
      <c r="AW408" s="146"/>
      <c r="AX408" s="168"/>
    </row>
    <row r="409" spans="1:50" s="139" customFormat="1" ht="11.25" x14ac:dyDescent="0.2">
      <c r="A409" s="140">
        <v>6</v>
      </c>
      <c r="B409" s="63" t="s">
        <v>435</v>
      </c>
      <c r="C409" s="142"/>
      <c r="D409" s="143"/>
      <c r="E409" s="143"/>
      <c r="F409" s="143"/>
      <c r="G409" s="143"/>
      <c r="H409" s="143"/>
      <c r="I409" s="143"/>
      <c r="J409" s="143"/>
      <c r="K409" s="143"/>
      <c r="L409" s="143"/>
      <c r="M409" s="328">
        <v>215353</v>
      </c>
      <c r="N409" s="328">
        <v>219809</v>
      </c>
      <c r="O409" s="145"/>
      <c r="P409" s="223">
        <f t="shared" si="254"/>
        <v>219809</v>
      </c>
      <c r="Q409" s="147">
        <f>P409*$Q$8</f>
        <v>24178.99</v>
      </c>
      <c r="R409" s="147">
        <f t="shared" si="255"/>
        <v>66.243808219178092</v>
      </c>
      <c r="S409" s="148">
        <f>R409*$S$3*$S$8</f>
        <v>14507.394000000002</v>
      </c>
      <c r="T409" s="199"/>
      <c r="U409" s="150"/>
      <c r="V409" s="151"/>
      <c r="W409" s="151"/>
      <c r="X409" s="152"/>
      <c r="Y409" s="153"/>
      <c r="Z409" s="153"/>
      <c r="AA409" s="154"/>
      <c r="AB409" s="155">
        <f>S409*$AB$3</f>
        <v>8414.2885200000001</v>
      </c>
      <c r="AC409" s="156">
        <f>S409*$AC$3</f>
        <v>1885.9612200000004</v>
      </c>
      <c r="AD409" s="156">
        <f>S409*$AD$3</f>
        <v>1273.0238235000002</v>
      </c>
      <c r="AE409" s="156">
        <f>S409*$AE$3</f>
        <v>580.29576000000009</v>
      </c>
      <c r="AF409" s="156">
        <f>S409*$AF$3</f>
        <v>290.14788000000004</v>
      </c>
      <c r="AG409" s="156">
        <f>S409*$AG$3</f>
        <v>290.14788000000004</v>
      </c>
      <c r="AH409" s="156">
        <f>S409*$AH$3</f>
        <v>145.07394000000002</v>
      </c>
      <c r="AI409" s="156">
        <f>S409*$AI$3</f>
        <v>290.14788000000004</v>
      </c>
      <c r="AJ409" s="156">
        <f>S409*$AJ$3</f>
        <v>290.14788000000004</v>
      </c>
      <c r="AK409" s="156">
        <f>S409*$AK$3</f>
        <v>1015.5175800000003</v>
      </c>
      <c r="AL409" s="157">
        <f t="shared" si="256"/>
        <v>4464.6505035000009</v>
      </c>
      <c r="AM409" s="158">
        <f t="shared" si="257"/>
        <v>2200</v>
      </c>
      <c r="AN409" s="159">
        <v>0.2</v>
      </c>
      <c r="AO409" s="160">
        <f t="shared" si="258"/>
        <v>118627392.18789756</v>
      </c>
      <c r="AP409" s="161">
        <f t="shared" si="259"/>
        <v>32952.056021691373</v>
      </c>
      <c r="AQ409" s="162">
        <f t="shared" si="260"/>
        <v>6590.4112043382747</v>
      </c>
      <c r="AR409" s="580">
        <f t="shared" si="261"/>
        <v>0.94041255769667165</v>
      </c>
      <c r="AS409" s="582">
        <f t="shared" si="262"/>
        <v>0.94041255769667165</v>
      </c>
      <c r="AT409" s="165"/>
      <c r="AU409" s="166"/>
      <c r="AV409" s="167"/>
      <c r="AW409" s="146"/>
      <c r="AX409" s="168"/>
    </row>
    <row r="410" spans="1:50" s="139" customFormat="1" ht="11.25" x14ac:dyDescent="0.2">
      <c r="A410" s="140">
        <v>7</v>
      </c>
      <c r="B410" s="63" t="s">
        <v>436</v>
      </c>
      <c r="C410" s="142"/>
      <c r="D410" s="143"/>
      <c r="E410" s="143"/>
      <c r="F410" s="143"/>
      <c r="G410" s="143"/>
      <c r="H410" s="143"/>
      <c r="I410" s="143"/>
      <c r="J410" s="143"/>
      <c r="K410" s="143"/>
      <c r="L410" s="143"/>
      <c r="M410" s="328">
        <v>396487</v>
      </c>
      <c r="N410" s="328">
        <v>404690</v>
      </c>
      <c r="O410" s="145"/>
      <c r="P410" s="223">
        <f t="shared" si="254"/>
        <v>404690</v>
      </c>
      <c r="Q410" s="147">
        <f>P410*$Q$8</f>
        <v>44515.9</v>
      </c>
      <c r="R410" s="147">
        <f t="shared" si="255"/>
        <v>121.9613698630137</v>
      </c>
      <c r="S410" s="148">
        <f>R410*$S$3*$S$8</f>
        <v>26709.54</v>
      </c>
      <c r="T410" s="199"/>
      <c r="U410" s="150"/>
      <c r="V410" s="151"/>
      <c r="W410" s="151"/>
      <c r="X410" s="152"/>
      <c r="Y410" s="153"/>
      <c r="Z410" s="153"/>
      <c r="AA410" s="154"/>
      <c r="AB410" s="155">
        <f>S410*$AB$3</f>
        <v>15491.5332</v>
      </c>
      <c r="AC410" s="156">
        <f>S410*$AC$3</f>
        <v>3472.2402000000002</v>
      </c>
      <c r="AD410" s="156">
        <f>S410*$AD$3</f>
        <v>2343.7621349999999</v>
      </c>
      <c r="AE410" s="156">
        <f>S410*$AE$3</f>
        <v>1068.3816000000002</v>
      </c>
      <c r="AF410" s="156">
        <f>S410*$AF$3</f>
        <v>534.19080000000008</v>
      </c>
      <c r="AG410" s="156">
        <f>S410*$AG$3</f>
        <v>534.19080000000008</v>
      </c>
      <c r="AH410" s="156">
        <f>S410*$AH$3</f>
        <v>267.09540000000004</v>
      </c>
      <c r="AI410" s="156">
        <f>S410*$AI$3</f>
        <v>534.19080000000008</v>
      </c>
      <c r="AJ410" s="156">
        <f>S410*$AJ$3</f>
        <v>534.19080000000008</v>
      </c>
      <c r="AK410" s="156">
        <f>S410*$AK$3</f>
        <v>1869.6678000000002</v>
      </c>
      <c r="AL410" s="157">
        <f t="shared" si="256"/>
        <v>8219.8609350000006</v>
      </c>
      <c r="AM410" s="158">
        <f t="shared" si="257"/>
        <v>2200</v>
      </c>
      <c r="AN410" s="159">
        <v>0.2</v>
      </c>
      <c r="AO410" s="160">
        <f t="shared" si="258"/>
        <v>218404702.92171961</v>
      </c>
      <c r="AP410" s="161">
        <f t="shared" si="259"/>
        <v>60667.977887248846</v>
      </c>
      <c r="AQ410" s="162">
        <f t="shared" si="260"/>
        <v>12133.595577449771</v>
      </c>
      <c r="AR410" s="580">
        <f t="shared" si="261"/>
        <v>1.7313920629922619</v>
      </c>
      <c r="AS410" s="582">
        <f t="shared" si="262"/>
        <v>1.7313920629922619</v>
      </c>
      <c r="AT410" s="165"/>
      <c r="AU410" s="166"/>
      <c r="AV410" s="167"/>
      <c r="AW410" s="146"/>
      <c r="AX410" s="168"/>
    </row>
    <row r="411" spans="1:50" s="139" customFormat="1" ht="11.25" x14ac:dyDescent="0.2">
      <c r="A411" s="140">
        <v>8</v>
      </c>
      <c r="B411" s="63" t="s">
        <v>437</v>
      </c>
      <c r="C411" s="142"/>
      <c r="D411" s="143"/>
      <c r="E411" s="143"/>
      <c r="F411" s="143"/>
      <c r="G411" s="143"/>
      <c r="H411" s="143"/>
      <c r="I411" s="143"/>
      <c r="J411" s="143"/>
      <c r="K411" s="143"/>
      <c r="L411" s="143"/>
      <c r="M411" s="328">
        <v>624125</v>
      </c>
      <c r="N411" s="328">
        <v>637038</v>
      </c>
      <c r="O411" s="145"/>
      <c r="P411" s="223">
        <f t="shared" si="254"/>
        <v>637038</v>
      </c>
      <c r="Q411" s="147">
        <f>P411*$Q$7</f>
        <v>93007.547999999995</v>
      </c>
      <c r="R411" s="147">
        <f t="shared" si="255"/>
        <v>254.81519999999998</v>
      </c>
      <c r="S411" s="148">
        <f>R411*$S$3*$S$7</f>
        <v>65105.283599999995</v>
      </c>
      <c r="T411" s="199"/>
      <c r="U411" s="150"/>
      <c r="V411" s="151"/>
      <c r="W411" s="151"/>
      <c r="X411" s="152"/>
      <c r="Y411" s="153"/>
      <c r="Z411" s="153"/>
      <c r="AA411" s="154"/>
      <c r="AB411" s="155">
        <f>S411*$AB$3</f>
        <v>37761.064487999996</v>
      </c>
      <c r="AC411" s="156">
        <f>S411*$AC$3</f>
        <v>8463.6868679999989</v>
      </c>
      <c r="AD411" s="156">
        <f>S411*$AD$3</f>
        <v>5712.9886358999993</v>
      </c>
      <c r="AE411" s="156">
        <f>S411*$AE$3</f>
        <v>2604.2113439999998</v>
      </c>
      <c r="AF411" s="156">
        <f>S411*$AF$3</f>
        <v>1302.1056719999999</v>
      </c>
      <c r="AG411" s="156">
        <f>S411*$AG$3</f>
        <v>1302.1056719999999</v>
      </c>
      <c r="AH411" s="156">
        <f>S411*$AH$3</f>
        <v>651.05283599999996</v>
      </c>
      <c r="AI411" s="156">
        <f>S411*$AI$3</f>
        <v>1302.1056719999999</v>
      </c>
      <c r="AJ411" s="156">
        <f>S411*$AJ$3</f>
        <v>1302.1056719999999</v>
      </c>
      <c r="AK411" s="156">
        <f>S411*$AK$3</f>
        <v>4557.3698519999998</v>
      </c>
      <c r="AL411" s="157">
        <f t="shared" si="256"/>
        <v>20036.151027899999</v>
      </c>
      <c r="AM411" s="158">
        <f t="shared" si="257"/>
        <v>2200</v>
      </c>
      <c r="AN411" s="159">
        <v>0.2</v>
      </c>
      <c r="AO411" s="160">
        <f t="shared" si="258"/>
        <v>532367840.22833419</v>
      </c>
      <c r="AP411" s="161">
        <f t="shared" si="259"/>
        <v>147879.96744937816</v>
      </c>
      <c r="AQ411" s="162">
        <f t="shared" si="260"/>
        <v>29575.993489875633</v>
      </c>
      <c r="AR411" s="580">
        <f t="shared" si="261"/>
        <v>4.2203187057470934</v>
      </c>
      <c r="AS411" s="582">
        <f t="shared" si="262"/>
        <v>4.2203187057470934</v>
      </c>
      <c r="AT411" s="165"/>
      <c r="AU411" s="166"/>
      <c r="AV411" s="167"/>
      <c r="AW411" s="146"/>
      <c r="AX411" s="168"/>
    </row>
    <row r="412" spans="1:50" s="139" customFormat="1" ht="11.25" x14ac:dyDescent="0.2">
      <c r="A412" s="140">
        <v>9</v>
      </c>
      <c r="B412" s="258" t="s">
        <v>438</v>
      </c>
      <c r="C412" s="142"/>
      <c r="D412" s="143"/>
      <c r="E412" s="143"/>
      <c r="F412" s="143"/>
      <c r="G412" s="143"/>
      <c r="H412" s="143"/>
      <c r="I412" s="143"/>
      <c r="J412" s="143"/>
      <c r="K412" s="143"/>
      <c r="L412" s="143"/>
      <c r="M412" s="328">
        <v>788589</v>
      </c>
      <c r="N412" s="328">
        <v>804905</v>
      </c>
      <c r="O412" s="145"/>
      <c r="P412" s="223">
        <f t="shared" si="254"/>
        <v>804905</v>
      </c>
      <c r="Q412" s="147">
        <f>P412*$Q$7</f>
        <v>117516.12999999999</v>
      </c>
      <c r="R412" s="147">
        <f t="shared" si="255"/>
        <v>321.96199999999999</v>
      </c>
      <c r="S412" s="148">
        <f>R412*$S$3*$S$7</f>
        <v>82261.290999999983</v>
      </c>
      <c r="T412" s="199"/>
      <c r="U412" s="150"/>
      <c r="V412" s="151"/>
      <c r="W412" s="151"/>
      <c r="X412" s="152"/>
      <c r="Y412" s="153"/>
      <c r="Z412" s="153"/>
      <c r="AA412" s="154"/>
      <c r="AB412" s="155">
        <f>S412*$AB$3</f>
        <v>47711.54877999999</v>
      </c>
      <c r="AC412" s="156">
        <f>S412*$AC$3</f>
        <v>10693.967829999998</v>
      </c>
      <c r="AD412" s="156">
        <f>S412*$AD$3</f>
        <v>7218.4282852499982</v>
      </c>
      <c r="AE412" s="156">
        <f>S412*$AE$3</f>
        <v>3290.4516399999993</v>
      </c>
      <c r="AF412" s="156">
        <f>S412*$AF$3</f>
        <v>1645.2258199999997</v>
      </c>
      <c r="AG412" s="156">
        <f>S412*$AG$3</f>
        <v>1645.2258199999997</v>
      </c>
      <c r="AH412" s="156">
        <f>S412*$AH$3</f>
        <v>822.61290999999983</v>
      </c>
      <c r="AI412" s="156">
        <f>S412*$AI$3</f>
        <v>1645.2258199999997</v>
      </c>
      <c r="AJ412" s="156">
        <f>S412*$AJ$3</f>
        <v>1645.2258199999997</v>
      </c>
      <c r="AK412" s="156">
        <f>S412*$AK$3</f>
        <v>5758.2903699999997</v>
      </c>
      <c r="AL412" s="157">
        <f t="shared" si="256"/>
        <v>25315.912305249996</v>
      </c>
      <c r="AM412" s="158">
        <f t="shared" si="257"/>
        <v>2200</v>
      </c>
      <c r="AN412" s="159">
        <v>0.2</v>
      </c>
      <c r="AO412" s="160">
        <f t="shared" si="258"/>
        <v>672653022.95779419</v>
      </c>
      <c r="AP412" s="161">
        <f t="shared" si="259"/>
        <v>186848.07688056555</v>
      </c>
      <c r="AQ412" s="162">
        <f t="shared" si="260"/>
        <v>37369.615376113114</v>
      </c>
      <c r="AR412" s="580">
        <f t="shared" si="261"/>
        <v>5.3324222854042684</v>
      </c>
      <c r="AS412" s="435">
        <f t="shared" si="262"/>
        <v>5.3324222854042684</v>
      </c>
      <c r="AT412" s="187"/>
      <c r="AU412" s="166"/>
      <c r="AV412" s="167"/>
      <c r="AW412" s="146"/>
      <c r="AX412" s="168"/>
    </row>
    <row r="413" spans="1:50" s="190" customFormat="1" ht="11.25" x14ac:dyDescent="0.25">
      <c r="A413" s="120"/>
      <c r="B413" s="121" t="s">
        <v>439</v>
      </c>
      <c r="C413" s="240">
        <f t="shared" ref="C413:T413" si="263">SUM(C404:C412)</f>
        <v>0</v>
      </c>
      <c r="D413" s="240">
        <f t="shared" si="263"/>
        <v>0</v>
      </c>
      <c r="E413" s="240">
        <f t="shared" si="263"/>
        <v>0</v>
      </c>
      <c r="F413" s="240">
        <f t="shared" si="263"/>
        <v>0</v>
      </c>
      <c r="G413" s="240">
        <f t="shared" si="263"/>
        <v>0</v>
      </c>
      <c r="H413" s="240">
        <f t="shared" si="263"/>
        <v>0</v>
      </c>
      <c r="I413" s="240">
        <f t="shared" si="263"/>
        <v>0</v>
      </c>
      <c r="J413" s="240">
        <f t="shared" si="263"/>
        <v>0</v>
      </c>
      <c r="K413" s="240">
        <f t="shared" si="263"/>
        <v>0</v>
      </c>
      <c r="L413" s="240">
        <f t="shared" si="263"/>
        <v>0</v>
      </c>
      <c r="M413" s="240">
        <f t="shared" si="263"/>
        <v>3890757</v>
      </c>
      <c r="N413" s="240">
        <f t="shared" si="263"/>
        <v>3971259</v>
      </c>
      <c r="O413" s="240">
        <f t="shared" si="263"/>
        <v>0</v>
      </c>
      <c r="P413" s="240">
        <f t="shared" si="263"/>
        <v>3971259</v>
      </c>
      <c r="Q413" s="240">
        <f t="shared" si="263"/>
        <v>508713.10199999996</v>
      </c>
      <c r="R413" s="240">
        <f t="shared" si="263"/>
        <v>1393.7345260273971</v>
      </c>
      <c r="S413" s="240">
        <f t="shared" si="263"/>
        <v>334377.00939999998</v>
      </c>
      <c r="T413" s="199">
        <f t="shared" si="263"/>
        <v>0</v>
      </c>
      <c r="U413" s="241"/>
      <c r="V413" s="242">
        <f>SUM(V404:V412)</f>
        <v>0</v>
      </c>
      <c r="W413" s="242">
        <f>SUM(W404:W412)</f>
        <v>0</v>
      </c>
      <c r="X413" s="242">
        <f>SUM(X404:X412)</f>
        <v>0</v>
      </c>
      <c r="Y413" s="199"/>
      <c r="Z413" s="199"/>
      <c r="AA413" s="243"/>
      <c r="AB413" s="240">
        <f t="shared" ref="AB413:AL413" si="264">SUM(AB404:AB412)</f>
        <v>193938.66545199996</v>
      </c>
      <c r="AC413" s="244">
        <f t="shared" si="264"/>
        <v>43469.011222000001</v>
      </c>
      <c r="AD413" s="244">
        <f t="shared" si="264"/>
        <v>29341.582574849992</v>
      </c>
      <c r="AE413" s="244">
        <f t="shared" si="264"/>
        <v>13375.080375999996</v>
      </c>
      <c r="AF413" s="244">
        <f t="shared" si="264"/>
        <v>6687.5401879999981</v>
      </c>
      <c r="AG413" s="244">
        <f t="shared" si="264"/>
        <v>6687.5401879999981</v>
      </c>
      <c r="AH413" s="244">
        <f t="shared" si="264"/>
        <v>3343.7700939999991</v>
      </c>
      <c r="AI413" s="244">
        <f t="shared" si="264"/>
        <v>6687.5401879999981</v>
      </c>
      <c r="AJ413" s="244">
        <f t="shared" si="264"/>
        <v>6687.5401879999981</v>
      </c>
      <c r="AK413" s="244">
        <f t="shared" si="264"/>
        <v>23406.390657999997</v>
      </c>
      <c r="AL413" s="245">
        <f t="shared" si="264"/>
        <v>102904.52464285</v>
      </c>
      <c r="AM413" s="158"/>
      <c r="AN413" s="183"/>
      <c r="AO413" s="184">
        <f>SUM(AO404:AO412)</f>
        <v>2734210750.2360592</v>
      </c>
      <c r="AP413" s="184">
        <f>SUM(AP404:AP412)</f>
        <v>759503.04693692201</v>
      </c>
      <c r="AQ413" s="184">
        <f>SUM(AQ404:AQ412)</f>
        <v>151900.60938738441</v>
      </c>
      <c r="AR413" s="186">
        <f>SUM(AR404:AR412)</f>
        <v>21.675315266464672</v>
      </c>
      <c r="AS413" s="435">
        <f>SUM(AS404:AS412)</f>
        <v>21.675315266464672</v>
      </c>
      <c r="AT413" s="187"/>
      <c r="AU413" s="246">
        <f>SUM(AU408:AU412)</f>
        <v>0</v>
      </c>
      <c r="AV413" s="246"/>
      <c r="AW413" s="185">
        <f>SUM(AW408:AW412)</f>
        <v>0</v>
      </c>
      <c r="AX413" s="189"/>
    </row>
    <row r="414" spans="1:50" s="139" customFormat="1" ht="11.25" x14ac:dyDescent="0.25">
      <c r="P414" s="310"/>
      <c r="Q414" s="310"/>
      <c r="R414" s="310"/>
      <c r="S414" s="310"/>
      <c r="T414" s="311"/>
      <c r="U414" s="312"/>
      <c r="V414" s="310"/>
      <c r="W414" s="310"/>
      <c r="Y414" s="86"/>
      <c r="Z414" s="86"/>
      <c r="AA414" s="313"/>
      <c r="AC414" s="314"/>
      <c r="AD414" s="314"/>
      <c r="AE414" s="314"/>
      <c r="AF414" s="314"/>
      <c r="AG414" s="314"/>
      <c r="AH414" s="314"/>
      <c r="AI414" s="314"/>
      <c r="AJ414" s="314"/>
      <c r="AK414" s="314"/>
      <c r="AL414" s="315"/>
      <c r="AM414" s="310"/>
      <c r="AN414" s="316"/>
      <c r="AO414" s="310"/>
      <c r="AP414" s="317"/>
      <c r="AQ414" s="317"/>
      <c r="AR414" s="318"/>
      <c r="AS414" s="318"/>
      <c r="AT414" s="319"/>
      <c r="AU414" s="310"/>
      <c r="AV414" s="310"/>
      <c r="AW414" s="310"/>
      <c r="AX414" s="310"/>
    </row>
    <row r="415" spans="1:50" s="351" customFormat="1" ht="19.5" thickBot="1" x14ac:dyDescent="0.3">
      <c r="A415" s="347"/>
      <c r="B415" s="348" t="s">
        <v>440</v>
      </c>
      <c r="C415" s="349">
        <f t="shared" ref="C415:O415" si="265">C271+C282+C311+C349+C357+C394+C401+C413</f>
        <v>0</v>
      </c>
      <c r="D415" s="349">
        <f t="shared" si="265"/>
        <v>0</v>
      </c>
      <c r="E415" s="349">
        <f t="shared" si="265"/>
        <v>0</v>
      </c>
      <c r="F415" s="349">
        <f t="shared" si="265"/>
        <v>0</v>
      </c>
      <c r="G415" s="349">
        <f t="shared" si="265"/>
        <v>0</v>
      </c>
      <c r="H415" s="349">
        <f t="shared" si="265"/>
        <v>71670408</v>
      </c>
      <c r="I415" s="349">
        <f t="shared" si="265"/>
        <v>73829090</v>
      </c>
      <c r="J415" s="349">
        <f t="shared" si="265"/>
        <v>74582204</v>
      </c>
      <c r="K415" s="349">
        <f t="shared" si="265"/>
        <v>76825096</v>
      </c>
      <c r="L415" s="349">
        <f t="shared" si="265"/>
        <v>77950092</v>
      </c>
      <c r="M415" s="349">
        <f t="shared" si="265"/>
        <v>107667740</v>
      </c>
      <c r="N415" s="349">
        <f t="shared" si="265"/>
        <v>135928519</v>
      </c>
      <c r="O415" s="349">
        <f t="shared" si="265"/>
        <v>0</v>
      </c>
      <c r="P415" s="350">
        <f>P271+P282+P311+P349+P357+P394+P401+P413</f>
        <v>145532848</v>
      </c>
      <c r="Q415" s="350">
        <f>Q271+Q282+Q311+Q349+Q357+Q394+Q401+Q413</f>
        <v>28084149.244000003</v>
      </c>
      <c r="R415" s="350">
        <f>R271+R282+R311+R349+R357+R394+R401+R413</f>
        <v>76942.874641095899</v>
      </c>
      <c r="S415" s="350">
        <f>S271+S282+S311+S349+S357+S394+S401+S413</f>
        <v>23553287.563599996</v>
      </c>
      <c r="T415" s="350">
        <f t="shared" ref="T415:AA415" si="266">T267+T278+T307+T345+T353+T394+T401+T413</f>
        <v>0</v>
      </c>
      <c r="U415" s="350">
        <f t="shared" si="266"/>
        <v>0</v>
      </c>
      <c r="V415" s="350">
        <f t="shared" si="266"/>
        <v>0</v>
      </c>
      <c r="W415" s="350">
        <f t="shared" si="266"/>
        <v>0</v>
      </c>
      <c r="X415" s="350">
        <f t="shared" si="266"/>
        <v>0</v>
      </c>
      <c r="Y415" s="350">
        <f t="shared" si="266"/>
        <v>0</v>
      </c>
      <c r="Z415" s="350">
        <f t="shared" si="266"/>
        <v>0</v>
      </c>
      <c r="AA415" s="350">
        <f t="shared" si="266"/>
        <v>0</v>
      </c>
      <c r="AB415" s="350">
        <f t="shared" ref="AB415:AW415" si="267">AB271+AB282+AB311+AB349+AB357+AB394+AB401+AB413</f>
        <v>13660906.786887996</v>
      </c>
      <c r="AC415" s="349">
        <f t="shared" si="267"/>
        <v>3061927.3832680006</v>
      </c>
      <c r="AD415" s="349">
        <f t="shared" si="267"/>
        <v>2066800.9837058997</v>
      </c>
      <c r="AE415" s="349">
        <f t="shared" si="267"/>
        <v>942131.50254399993</v>
      </c>
      <c r="AF415" s="349">
        <f t="shared" si="267"/>
        <v>471065.75127199996</v>
      </c>
      <c r="AG415" s="349">
        <f t="shared" si="267"/>
        <v>471065.75127199996</v>
      </c>
      <c r="AH415" s="349">
        <f t="shared" si="267"/>
        <v>235532.87563599998</v>
      </c>
      <c r="AI415" s="349">
        <f t="shared" si="267"/>
        <v>471065.75127199996</v>
      </c>
      <c r="AJ415" s="349">
        <f t="shared" si="267"/>
        <v>471065.75127199996</v>
      </c>
      <c r="AK415" s="349">
        <f t="shared" si="267"/>
        <v>1648730.1294520004</v>
      </c>
      <c r="AL415" s="350">
        <f t="shared" si="267"/>
        <v>7248524.2476978991</v>
      </c>
      <c r="AM415" s="350">
        <f t="shared" si="267"/>
        <v>0</v>
      </c>
      <c r="AN415" s="350">
        <f t="shared" si="267"/>
        <v>0</v>
      </c>
      <c r="AO415" s="350">
        <f t="shared" si="267"/>
        <v>192595932882.32928</v>
      </c>
      <c r="AP415" s="350">
        <f t="shared" si="267"/>
        <v>53498874.525001094</v>
      </c>
      <c r="AQ415" s="350">
        <f t="shared" si="267"/>
        <v>10699774.905000217</v>
      </c>
      <c r="AR415" s="350">
        <f t="shared" si="267"/>
        <v>1526.7943642979769</v>
      </c>
      <c r="AS415" s="350">
        <f>AS271+AS282+AS311+AS349+AS357+AS394+AS401+AS413</f>
        <v>1526.7943642979769</v>
      </c>
      <c r="AT415" s="350">
        <f t="shared" si="267"/>
        <v>0</v>
      </c>
      <c r="AU415" s="350">
        <f t="shared" si="267"/>
        <v>0</v>
      </c>
      <c r="AV415" s="350"/>
      <c r="AW415" s="350">
        <f t="shared" si="267"/>
        <v>0</v>
      </c>
      <c r="AX415" s="350"/>
    </row>
    <row r="416" spans="1:50" s="139" customFormat="1" ht="11.25" x14ac:dyDescent="0.25">
      <c r="P416" s="310"/>
      <c r="Q416" s="310"/>
      <c r="R416" s="310"/>
      <c r="S416" s="310"/>
      <c r="T416" s="311"/>
      <c r="U416" s="312"/>
      <c r="V416" s="310"/>
      <c r="W416" s="310"/>
      <c r="Y416" s="86"/>
      <c r="Z416" s="86"/>
      <c r="AA416" s="313"/>
      <c r="AC416" s="314"/>
      <c r="AD416" s="314"/>
      <c r="AE416" s="314"/>
      <c r="AF416" s="314"/>
      <c r="AG416" s="314"/>
      <c r="AH416" s="314"/>
      <c r="AI416" s="314"/>
      <c r="AJ416" s="314"/>
      <c r="AK416" s="314"/>
      <c r="AL416" s="315"/>
      <c r="AM416" s="310"/>
      <c r="AN416" s="316"/>
      <c r="AO416" s="310"/>
      <c r="AP416" s="317"/>
      <c r="AQ416" s="317"/>
      <c r="AR416" s="318"/>
      <c r="AS416" s="318"/>
      <c r="AT416" s="319"/>
      <c r="AU416" s="310"/>
      <c r="AV416" s="310"/>
      <c r="AW416" s="310"/>
      <c r="AX416" s="310"/>
    </row>
    <row r="417" spans="1:50" s="290" customFormat="1" ht="18.75" x14ac:dyDescent="0.25">
      <c r="A417" s="291" t="s">
        <v>441</v>
      </c>
      <c r="B417" s="292"/>
      <c r="C417" s="293"/>
      <c r="D417" s="292"/>
      <c r="E417" s="292"/>
      <c r="F417" s="292"/>
      <c r="G417" s="292"/>
      <c r="H417" s="292"/>
      <c r="I417" s="292"/>
      <c r="J417" s="292"/>
      <c r="K417" s="292"/>
      <c r="L417" s="292"/>
      <c r="M417" s="292"/>
      <c r="N417" s="292"/>
      <c r="O417" s="292"/>
      <c r="P417" s="292"/>
      <c r="Q417" s="292"/>
      <c r="R417" s="294"/>
      <c r="S417" s="292"/>
      <c r="T417" s="292"/>
      <c r="U417" s="292"/>
      <c r="V417" s="292"/>
      <c r="W417" s="292"/>
      <c r="X417" s="292"/>
      <c r="Y417" s="295"/>
      <c r="Z417" s="296"/>
      <c r="AA417" s="116"/>
      <c r="AB417" s="117"/>
      <c r="AC417" s="117"/>
      <c r="AD417" s="117"/>
      <c r="AE417" s="117"/>
      <c r="AF417" s="117"/>
      <c r="AG417" s="117"/>
      <c r="AH417" s="117"/>
      <c r="AI417" s="117"/>
      <c r="AJ417" s="117"/>
      <c r="AK417" s="117"/>
      <c r="AL417" s="117"/>
      <c r="AM417" s="297"/>
      <c r="AN417" s="292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</row>
    <row r="418" spans="1:50" s="139" customFormat="1" ht="11.25" x14ac:dyDescent="0.25">
      <c r="A418" s="126"/>
      <c r="B418" s="352" t="s">
        <v>442</v>
      </c>
      <c r="C418" s="122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213"/>
      <c r="P418" s="76"/>
      <c r="Q418" s="108"/>
      <c r="R418" s="108"/>
      <c r="S418" s="94"/>
      <c r="T418" s="199"/>
      <c r="U418" s="179"/>
      <c r="V418" s="180"/>
      <c r="W418" s="180"/>
      <c r="X418" s="214"/>
      <c r="Y418" s="181"/>
      <c r="Z418" s="181"/>
      <c r="AA418" s="182"/>
      <c r="AB418" s="62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125"/>
      <c r="AM418" s="75"/>
      <c r="AN418" s="216"/>
      <c r="AO418" s="75"/>
      <c r="AP418" s="51"/>
      <c r="AQ418" s="259"/>
      <c r="AR418" s="583"/>
      <c r="AS418" s="584"/>
      <c r="AT418" s="220"/>
      <c r="AU418" s="135"/>
      <c r="AV418" s="136"/>
      <c r="AW418" s="137"/>
      <c r="AX418" s="138"/>
    </row>
    <row r="419" spans="1:50" ht="11.25" x14ac:dyDescent="0.25">
      <c r="A419" s="140">
        <v>1</v>
      </c>
      <c r="B419" s="170" t="s">
        <v>443</v>
      </c>
      <c r="C419" s="300"/>
      <c r="D419" s="236"/>
      <c r="E419" s="236"/>
      <c r="F419" s="236"/>
      <c r="G419" s="236"/>
      <c r="H419" s="236"/>
      <c r="I419" s="236"/>
      <c r="J419" s="236"/>
      <c r="K419" s="236"/>
      <c r="L419" s="236"/>
      <c r="M419" s="236"/>
      <c r="N419" s="237">
        <v>606044</v>
      </c>
      <c r="O419" s="237"/>
      <c r="P419" s="223">
        <f t="shared" ref="P419:P425" si="268">MAX(C419:O419)</f>
        <v>606044</v>
      </c>
      <c r="Q419" s="147">
        <f>P419*$Q$7</f>
        <v>88482.423999999999</v>
      </c>
      <c r="R419" s="147">
        <f t="shared" ref="R419:R428" si="269">Q419/$R$3</f>
        <v>242.41759999999999</v>
      </c>
      <c r="S419" s="148">
        <f>R419*$S$3*$S$7</f>
        <v>61937.696799999998</v>
      </c>
      <c r="T419" s="199"/>
      <c r="U419" s="150"/>
      <c r="V419" s="249"/>
      <c r="W419" s="249"/>
      <c r="X419" s="152"/>
      <c r="Y419" s="153"/>
      <c r="Z419" s="153"/>
      <c r="AA419" s="154"/>
      <c r="AB419" s="155">
        <f>S419*$AB$3</f>
        <v>35923.864143999999</v>
      </c>
      <c r="AC419" s="156">
        <f>S419*$AC$3</f>
        <v>8051.900584</v>
      </c>
      <c r="AD419" s="156">
        <f>S419*$AD$3</f>
        <v>5435.0328941999996</v>
      </c>
      <c r="AE419" s="156">
        <f>S419*$AE$3</f>
        <v>2477.5078720000001</v>
      </c>
      <c r="AF419" s="156">
        <f>S419*$AF$3</f>
        <v>1238.7539360000001</v>
      </c>
      <c r="AG419" s="156">
        <f>S419*$AG$3</f>
        <v>1238.7539360000001</v>
      </c>
      <c r="AH419" s="156">
        <f>S419*$AH$3</f>
        <v>619.37696800000003</v>
      </c>
      <c r="AI419" s="156">
        <f>S419*$AI$3</f>
        <v>1238.7539360000001</v>
      </c>
      <c r="AJ419" s="156">
        <f>S419*$AJ$3</f>
        <v>1238.7539360000001</v>
      </c>
      <c r="AK419" s="156">
        <f>S419*$AK$3</f>
        <v>4335.6387760000007</v>
      </c>
      <c r="AL419" s="157">
        <f t="shared" ref="AL419:AL425" si="270">SUM(AC419:AH419)</f>
        <v>19061.326190200001</v>
      </c>
      <c r="AM419" s="158">
        <f t="shared" ref="AM419:AM428" si="271">$AM$3</f>
        <v>2200</v>
      </c>
      <c r="AN419" s="159">
        <v>0.2</v>
      </c>
      <c r="AO419" s="160">
        <f t="shared" ref="AO419:AO428" si="272">(AB419+AL419)*AM419*$AO$3</f>
        <v>506466388.76070279</v>
      </c>
      <c r="AP419" s="161">
        <f t="shared" ref="AP419:AP428" si="273">AO419*$AP$3</f>
        <v>140685.11924389275</v>
      </c>
      <c r="AQ419" s="162">
        <f t="shared" ref="AQ419:AQ428" si="274">AP419*$AQ$3</f>
        <v>28137.023848778554</v>
      </c>
      <c r="AR419" s="580">
        <f t="shared" ref="AR419:AR428" si="275">AQ419/$AR$3</f>
        <v>4.0149862797914606</v>
      </c>
      <c r="AS419" s="582">
        <f t="shared" ref="AS419:AS425" si="276">AR419</f>
        <v>4.0149862797914606</v>
      </c>
      <c r="AT419" s="165"/>
      <c r="AU419" s="166"/>
      <c r="AV419" s="167"/>
      <c r="AW419" s="146"/>
      <c r="AX419" s="168"/>
    </row>
    <row r="420" spans="1:50" ht="11.25" x14ac:dyDescent="0.25">
      <c r="A420" s="140">
        <v>2</v>
      </c>
      <c r="B420" s="170" t="s">
        <v>444</v>
      </c>
      <c r="C420" s="300"/>
      <c r="D420" s="236"/>
      <c r="E420" s="236"/>
      <c r="F420" s="236"/>
      <c r="G420" s="236"/>
      <c r="H420" s="236"/>
      <c r="I420" s="236"/>
      <c r="J420" s="236"/>
      <c r="K420" s="236"/>
      <c r="L420" s="236"/>
      <c r="M420" s="236"/>
      <c r="N420" s="237">
        <v>868895</v>
      </c>
      <c r="O420" s="237"/>
      <c r="P420" s="223">
        <f t="shared" si="268"/>
        <v>868895</v>
      </c>
      <c r="Q420" s="147">
        <f>P420*$Q$7</f>
        <v>126858.67</v>
      </c>
      <c r="R420" s="147">
        <f t="shared" si="269"/>
        <v>347.55799999999999</v>
      </c>
      <c r="S420" s="148">
        <f>R420*$S$3*$S$7</f>
        <v>88801.068999999989</v>
      </c>
      <c r="T420" s="199"/>
      <c r="U420" s="150"/>
      <c r="V420" s="249"/>
      <c r="W420" s="249"/>
      <c r="X420" s="152"/>
      <c r="Y420" s="153"/>
      <c r="Z420" s="153"/>
      <c r="AA420" s="154"/>
      <c r="AB420" s="155">
        <f>S420*$AB$3</f>
        <v>51504.620019999988</v>
      </c>
      <c r="AC420" s="156">
        <f>S420*$AC$3</f>
        <v>11544.138969999998</v>
      </c>
      <c r="AD420" s="156">
        <f>S420*$AD$3</f>
        <v>7792.2938047499983</v>
      </c>
      <c r="AE420" s="156">
        <f>S420*$AE$3</f>
        <v>3552.0427599999998</v>
      </c>
      <c r="AF420" s="156">
        <f>S420*$AF$3</f>
        <v>1776.0213799999999</v>
      </c>
      <c r="AG420" s="156">
        <f>S420*$AG$3</f>
        <v>1776.0213799999999</v>
      </c>
      <c r="AH420" s="156">
        <f>S420*$AH$3</f>
        <v>888.01068999999995</v>
      </c>
      <c r="AI420" s="156">
        <f>S420*$AI$3</f>
        <v>1776.0213799999999</v>
      </c>
      <c r="AJ420" s="156">
        <f>S420*$AJ$3</f>
        <v>1776.0213799999999</v>
      </c>
      <c r="AK420" s="156">
        <f>S420*$AK$3</f>
        <v>6216.0748299999996</v>
      </c>
      <c r="AL420" s="157">
        <f t="shared" si="270"/>
        <v>27328.528984749992</v>
      </c>
      <c r="AM420" s="158">
        <f t="shared" si="271"/>
        <v>2200</v>
      </c>
      <c r="AN420" s="159">
        <v>0.2</v>
      </c>
      <c r="AO420" s="160">
        <f t="shared" si="272"/>
        <v>726128982.15679181</v>
      </c>
      <c r="AP420" s="161">
        <f t="shared" si="273"/>
        <v>201702.51117975288</v>
      </c>
      <c r="AQ420" s="162">
        <f t="shared" si="274"/>
        <v>40340.502235950582</v>
      </c>
      <c r="AR420" s="580">
        <f t="shared" si="275"/>
        <v>5.756350204901624</v>
      </c>
      <c r="AS420" s="582">
        <f t="shared" si="276"/>
        <v>5.756350204901624</v>
      </c>
      <c r="AT420" s="165"/>
      <c r="AU420" s="166"/>
      <c r="AV420" s="167"/>
      <c r="AW420" s="146"/>
      <c r="AX420" s="168"/>
    </row>
    <row r="421" spans="1:50" ht="11.25" x14ac:dyDescent="0.25">
      <c r="A421" s="140">
        <v>3</v>
      </c>
      <c r="B421" s="170" t="s">
        <v>445</v>
      </c>
      <c r="C421" s="300"/>
      <c r="D421" s="236"/>
      <c r="E421" s="236"/>
      <c r="F421" s="236"/>
      <c r="G421" s="236"/>
      <c r="H421" s="236"/>
      <c r="I421" s="236"/>
      <c r="J421" s="236"/>
      <c r="K421" s="236"/>
      <c r="L421" s="236"/>
      <c r="M421" s="236"/>
      <c r="N421" s="237">
        <v>1116745</v>
      </c>
      <c r="O421" s="237"/>
      <c r="P421" s="223">
        <f t="shared" si="268"/>
        <v>1116745</v>
      </c>
      <c r="Q421" s="147">
        <f>P421*$Q$6</f>
        <v>183146.18000000002</v>
      </c>
      <c r="R421" s="147">
        <f t="shared" si="269"/>
        <v>501.7703561643836</v>
      </c>
      <c r="S421" s="148">
        <f>R421*$S$3*$S$6</f>
        <v>146516.94400000002</v>
      </c>
      <c r="T421" s="199"/>
      <c r="U421" s="150"/>
      <c r="V421" s="249"/>
      <c r="W421" s="249"/>
      <c r="X421" s="152"/>
      <c r="Y421" s="153"/>
      <c r="Z421" s="153"/>
      <c r="AA421" s="154"/>
      <c r="AB421" s="155">
        <f>S421*$AB$3</f>
        <v>84979.827520000006</v>
      </c>
      <c r="AC421" s="156">
        <f>S421*$AC$3</f>
        <v>19047.202720000001</v>
      </c>
      <c r="AD421" s="156">
        <f>S421*$AD$3</f>
        <v>12856.861836</v>
      </c>
      <c r="AE421" s="156">
        <f>S421*$AE$3</f>
        <v>5860.6777600000005</v>
      </c>
      <c r="AF421" s="156">
        <f>S421*$AF$3</f>
        <v>2930.3388800000002</v>
      </c>
      <c r="AG421" s="156">
        <f>S421*$AG$3</f>
        <v>2930.3388800000002</v>
      </c>
      <c r="AH421" s="156">
        <f>S421*$AH$3</f>
        <v>1465.1694400000001</v>
      </c>
      <c r="AI421" s="156">
        <f>S421*$AI$3</f>
        <v>2930.3388800000002</v>
      </c>
      <c r="AJ421" s="156">
        <f>S421*$AJ$3</f>
        <v>2930.3388800000002</v>
      </c>
      <c r="AK421" s="156">
        <f>S421*$AK$3</f>
        <v>10256.186080000001</v>
      </c>
      <c r="AL421" s="157">
        <f t="shared" si="270"/>
        <v>45090.589516000007</v>
      </c>
      <c r="AM421" s="158">
        <f t="shared" si="271"/>
        <v>2200</v>
      </c>
      <c r="AN421" s="159">
        <v>0.2</v>
      </c>
      <c r="AO421" s="160">
        <f t="shared" si="272"/>
        <v>1198073408.5019145</v>
      </c>
      <c r="AP421" s="161">
        <f t="shared" si="273"/>
        <v>332798.19565216312</v>
      </c>
      <c r="AQ421" s="162">
        <f t="shared" si="274"/>
        <v>66559.639130432624</v>
      </c>
      <c r="AR421" s="580">
        <f t="shared" si="275"/>
        <v>9.4976654010320534</v>
      </c>
      <c r="AS421" s="582">
        <f t="shared" si="276"/>
        <v>9.4976654010320534</v>
      </c>
      <c r="AT421" s="165"/>
      <c r="AU421" s="166"/>
      <c r="AV421" s="167"/>
      <c r="AW421" s="146"/>
      <c r="AX421" s="168"/>
    </row>
    <row r="422" spans="1:50" ht="11.25" x14ac:dyDescent="0.25">
      <c r="A422" s="140">
        <v>4</v>
      </c>
      <c r="B422" s="170" t="s">
        <v>446</v>
      </c>
      <c r="C422" s="300"/>
      <c r="D422" s="236"/>
      <c r="E422" s="236"/>
      <c r="F422" s="236"/>
      <c r="G422" s="236"/>
      <c r="H422" s="236"/>
      <c r="I422" s="236"/>
      <c r="J422" s="236"/>
      <c r="K422" s="236"/>
      <c r="L422" s="236"/>
      <c r="M422" s="236"/>
      <c r="N422" s="237">
        <v>202092</v>
      </c>
      <c r="O422" s="237"/>
      <c r="P422" s="223">
        <f t="shared" si="268"/>
        <v>202092</v>
      </c>
      <c r="Q422" s="147">
        <f t="shared" ref="Q422:Q428" si="277">P422*$Q$8</f>
        <v>22230.12</v>
      </c>
      <c r="R422" s="147">
        <f t="shared" si="269"/>
        <v>60.904438356164384</v>
      </c>
      <c r="S422" s="148">
        <f t="shared" ref="S422:S428" si="278">R422*$S$3*$S$8</f>
        <v>13338.071999999998</v>
      </c>
      <c r="T422" s="199"/>
      <c r="U422" s="150"/>
      <c r="V422" s="249"/>
      <c r="W422" s="249"/>
      <c r="X422" s="152"/>
      <c r="Y422" s="153"/>
      <c r="Z422" s="153"/>
      <c r="AA422" s="154"/>
      <c r="AB422" s="155">
        <f>S422*$AB$3</f>
        <v>7736.0817599999982</v>
      </c>
      <c r="AC422" s="156">
        <f>S422*$AC$3</f>
        <v>1733.9493599999998</v>
      </c>
      <c r="AD422" s="156">
        <f>S422*$AD$3</f>
        <v>1170.4158179999997</v>
      </c>
      <c r="AE422" s="156">
        <f>S422*$AE$3</f>
        <v>533.52287999999999</v>
      </c>
      <c r="AF422" s="156">
        <f>S422*$AF$3</f>
        <v>266.76143999999999</v>
      </c>
      <c r="AG422" s="156">
        <f>S422*$AG$3</f>
        <v>266.76143999999999</v>
      </c>
      <c r="AH422" s="156">
        <f>S422*$AH$3</f>
        <v>133.38072</v>
      </c>
      <c r="AI422" s="156">
        <f>S422*$AI$3</f>
        <v>266.76143999999999</v>
      </c>
      <c r="AJ422" s="156">
        <f>S422*$AJ$3</f>
        <v>266.76143999999999</v>
      </c>
      <c r="AK422" s="156">
        <f>S422*$AK$3</f>
        <v>933.66503999999998</v>
      </c>
      <c r="AL422" s="157">
        <f t="shared" si="270"/>
        <v>4104.7916580000001</v>
      </c>
      <c r="AM422" s="158">
        <f t="shared" si="271"/>
        <v>2200</v>
      </c>
      <c r="AN422" s="159">
        <v>0.2</v>
      </c>
      <c r="AO422" s="160">
        <f t="shared" si="272"/>
        <v>109065811.41826126</v>
      </c>
      <c r="AP422" s="161">
        <f t="shared" si="273"/>
        <v>30296.061150979491</v>
      </c>
      <c r="AQ422" s="162">
        <f t="shared" si="274"/>
        <v>6059.2122301958989</v>
      </c>
      <c r="AR422" s="580">
        <f t="shared" si="275"/>
        <v>0.8646136173224741</v>
      </c>
      <c r="AS422" s="582">
        <f t="shared" si="276"/>
        <v>0.8646136173224741</v>
      </c>
      <c r="AT422" s="165"/>
      <c r="AU422" s="166"/>
      <c r="AV422" s="167"/>
      <c r="AW422" s="146"/>
      <c r="AX422" s="168"/>
    </row>
    <row r="423" spans="1:50" ht="11.25" x14ac:dyDescent="0.25">
      <c r="A423" s="140">
        <v>5</v>
      </c>
      <c r="B423" s="170" t="s">
        <v>447</v>
      </c>
      <c r="C423" s="300"/>
      <c r="D423" s="236"/>
      <c r="E423" s="236"/>
      <c r="F423" s="236"/>
      <c r="G423" s="236"/>
      <c r="H423" s="236"/>
      <c r="I423" s="236"/>
      <c r="J423" s="236"/>
      <c r="K423" s="236"/>
      <c r="L423" s="236"/>
      <c r="M423" s="236"/>
      <c r="N423" s="237">
        <v>144018</v>
      </c>
      <c r="O423" s="237"/>
      <c r="P423" s="223">
        <f>MAX(C423:O423)</f>
        <v>144018</v>
      </c>
      <c r="Q423" s="147">
        <f t="shared" si="277"/>
        <v>15841.98</v>
      </c>
      <c r="R423" s="147">
        <f t="shared" si="269"/>
        <v>43.402684931506847</v>
      </c>
      <c r="S423" s="148">
        <f t="shared" si="278"/>
        <v>9505.1880000000001</v>
      </c>
      <c r="T423" s="199"/>
      <c r="U423" s="150"/>
      <c r="V423" s="249"/>
      <c r="W423" s="249"/>
      <c r="X423" s="152"/>
      <c r="Y423" s="153"/>
      <c r="Z423" s="153"/>
      <c r="AA423" s="154"/>
      <c r="AB423" s="155">
        <f>S423*$AB$3</f>
        <v>5513.0090399999999</v>
      </c>
      <c r="AC423" s="156">
        <f>S423*$AC$3</f>
        <v>1235.67444</v>
      </c>
      <c r="AD423" s="156">
        <f>S423*$AD$3</f>
        <v>834.08024699999999</v>
      </c>
      <c r="AE423" s="156">
        <f>S423*$AE$3</f>
        <v>380.20751999999999</v>
      </c>
      <c r="AF423" s="156">
        <f>S423*$AF$3</f>
        <v>190.10375999999999</v>
      </c>
      <c r="AG423" s="156">
        <f>S423*$AG$3</f>
        <v>190.10375999999999</v>
      </c>
      <c r="AH423" s="156">
        <f>S423*$AH$3</f>
        <v>95.051879999999997</v>
      </c>
      <c r="AI423" s="156">
        <f>S423*$AI$3</f>
        <v>190.10375999999999</v>
      </c>
      <c r="AJ423" s="156">
        <f>S423*$AJ$3</f>
        <v>190.10375999999999</v>
      </c>
      <c r="AK423" s="156">
        <f>S423*$AK$3</f>
        <v>665.36316000000011</v>
      </c>
      <c r="AL423" s="157">
        <f>SUM(AC423:AH423)</f>
        <v>2925.2216069999999</v>
      </c>
      <c r="AM423" s="158">
        <f t="shared" si="271"/>
        <v>2200</v>
      </c>
      <c r="AN423" s="159">
        <v>0.2</v>
      </c>
      <c r="AO423" s="160">
        <f t="shared" si="272"/>
        <v>77724204.960291117</v>
      </c>
      <c r="AP423" s="161">
        <f t="shared" si="273"/>
        <v>21590.058660618753</v>
      </c>
      <c r="AQ423" s="162">
        <f t="shared" si="274"/>
        <v>4318.0117321237512</v>
      </c>
      <c r="AR423" s="580">
        <f t="shared" si="275"/>
        <v>0.61615464214094628</v>
      </c>
      <c r="AS423" s="582">
        <f>AR423</f>
        <v>0.61615464214094628</v>
      </c>
      <c r="AT423" s="165"/>
      <c r="AU423" s="166"/>
      <c r="AV423" s="167"/>
      <c r="AW423" s="146"/>
      <c r="AX423" s="168"/>
    </row>
    <row r="424" spans="1:50" ht="11.25" x14ac:dyDescent="0.25">
      <c r="A424" s="140">
        <v>6</v>
      </c>
      <c r="B424" s="170" t="s">
        <v>448</v>
      </c>
      <c r="C424" s="300"/>
      <c r="D424" s="236"/>
      <c r="E424" s="236"/>
      <c r="F424" s="236"/>
      <c r="G424" s="236"/>
      <c r="H424" s="236"/>
      <c r="I424" s="236"/>
      <c r="J424" s="236"/>
      <c r="K424" s="236"/>
      <c r="L424" s="236"/>
      <c r="M424" s="236"/>
      <c r="N424" s="237">
        <v>116112</v>
      </c>
      <c r="O424" s="237"/>
      <c r="P424" s="223">
        <f>MAX(C424:O424)</f>
        <v>116112</v>
      </c>
      <c r="Q424" s="147">
        <f t="shared" si="277"/>
        <v>12772.32</v>
      </c>
      <c r="R424" s="147">
        <f t="shared" si="269"/>
        <v>34.992657534246575</v>
      </c>
      <c r="S424" s="148">
        <f t="shared" si="278"/>
        <v>7663.3919999999998</v>
      </c>
      <c r="T424" s="199"/>
      <c r="U424" s="150"/>
      <c r="V424" s="249"/>
      <c r="W424" s="249"/>
      <c r="X424" s="152"/>
      <c r="Y424" s="153"/>
      <c r="Z424" s="153"/>
      <c r="AA424" s="154"/>
      <c r="AB424" s="155">
        <f>S424*$AB$3</f>
        <v>4444.7673599999998</v>
      </c>
      <c r="AC424" s="156">
        <f>S424*$AC$3</f>
        <v>996.24095999999997</v>
      </c>
      <c r="AD424" s="156">
        <f>S424*$AD$3</f>
        <v>672.46264799999994</v>
      </c>
      <c r="AE424" s="156">
        <f>S424*$AE$3</f>
        <v>306.53568000000001</v>
      </c>
      <c r="AF424" s="156">
        <f>S424*$AF$3</f>
        <v>153.26784000000001</v>
      </c>
      <c r="AG424" s="156">
        <f>S424*$AG$3</f>
        <v>153.26784000000001</v>
      </c>
      <c r="AH424" s="156">
        <f>S424*$AH$3</f>
        <v>76.633920000000003</v>
      </c>
      <c r="AI424" s="156">
        <f>S424*$AI$3</f>
        <v>153.26784000000001</v>
      </c>
      <c r="AJ424" s="156">
        <f>S424*$AJ$3</f>
        <v>153.26784000000001</v>
      </c>
      <c r="AK424" s="156">
        <f>S424*$AK$3</f>
        <v>536.43744000000004</v>
      </c>
      <c r="AL424" s="157">
        <f>SUM(AC424:AH424)</f>
        <v>2358.4088879999999</v>
      </c>
      <c r="AM424" s="158">
        <f t="shared" si="271"/>
        <v>2200</v>
      </c>
      <c r="AN424" s="159">
        <v>0.2</v>
      </c>
      <c r="AO424" s="160">
        <f t="shared" si="272"/>
        <v>62663784.293278076</v>
      </c>
      <c r="AP424" s="161">
        <f t="shared" si="273"/>
        <v>17406.608140661338</v>
      </c>
      <c r="AQ424" s="162">
        <f t="shared" si="274"/>
        <v>3481.3216281322675</v>
      </c>
      <c r="AR424" s="580">
        <f t="shared" si="275"/>
        <v>0.49676393095494686</v>
      </c>
      <c r="AS424" s="582">
        <f>AR424</f>
        <v>0.49676393095494686</v>
      </c>
      <c r="AT424" s="165"/>
      <c r="AU424" s="166"/>
      <c r="AV424" s="167"/>
      <c r="AW424" s="146"/>
      <c r="AX424" s="168"/>
    </row>
    <row r="425" spans="1:50" ht="11.25" x14ac:dyDescent="0.25">
      <c r="A425" s="140">
        <v>7</v>
      </c>
      <c r="B425" s="170" t="s">
        <v>449</v>
      </c>
      <c r="C425" s="300"/>
      <c r="D425" s="236"/>
      <c r="E425" s="236"/>
      <c r="F425" s="236"/>
      <c r="G425" s="236"/>
      <c r="H425" s="236"/>
      <c r="I425" s="236"/>
      <c r="J425" s="236"/>
      <c r="K425" s="236"/>
      <c r="L425" s="236"/>
      <c r="M425" s="236"/>
      <c r="N425" s="237">
        <v>419987</v>
      </c>
      <c r="O425" s="237"/>
      <c r="P425" s="223">
        <f t="shared" si="268"/>
        <v>419987</v>
      </c>
      <c r="Q425" s="147">
        <f t="shared" si="277"/>
        <v>46198.57</v>
      </c>
      <c r="R425" s="147">
        <f t="shared" si="269"/>
        <v>126.57142465753425</v>
      </c>
      <c r="S425" s="148">
        <f t="shared" si="278"/>
        <v>27719.142</v>
      </c>
      <c r="T425" s="199"/>
      <c r="U425" s="150"/>
      <c r="V425" s="249"/>
      <c r="W425" s="249"/>
      <c r="X425" s="152"/>
      <c r="Y425" s="153"/>
      <c r="Z425" s="153"/>
      <c r="AA425" s="154"/>
      <c r="AB425" s="155">
        <f>S425*$AB$3</f>
        <v>16077.102359999999</v>
      </c>
      <c r="AC425" s="156">
        <f>S425*$AC$3</f>
        <v>3603.48846</v>
      </c>
      <c r="AD425" s="156">
        <f>S425*$AD$3</f>
        <v>2432.3547104999998</v>
      </c>
      <c r="AE425" s="156">
        <f>S425*$AE$3</f>
        <v>1108.76568</v>
      </c>
      <c r="AF425" s="156">
        <f>S425*$AF$3</f>
        <v>554.38283999999999</v>
      </c>
      <c r="AG425" s="156">
        <f>S425*$AG$3</f>
        <v>554.38283999999999</v>
      </c>
      <c r="AH425" s="156">
        <f>S425*$AH$3</f>
        <v>277.19141999999999</v>
      </c>
      <c r="AI425" s="156">
        <f>S425*$AI$3</f>
        <v>554.38283999999999</v>
      </c>
      <c r="AJ425" s="156">
        <f>S425*$AJ$3</f>
        <v>554.38283999999999</v>
      </c>
      <c r="AK425" s="156">
        <f>S425*$AK$3</f>
        <v>1940.3399400000001</v>
      </c>
      <c r="AL425" s="157">
        <f t="shared" si="270"/>
        <v>8530.5659505000003</v>
      </c>
      <c r="AM425" s="158">
        <f t="shared" si="271"/>
        <v>2200</v>
      </c>
      <c r="AN425" s="159">
        <v>0.2</v>
      </c>
      <c r="AO425" s="160">
        <f t="shared" si="272"/>
        <v>226660248.50128305</v>
      </c>
      <c r="AP425" s="161">
        <f t="shared" si="273"/>
        <v>62961.185176139705</v>
      </c>
      <c r="AQ425" s="162">
        <f t="shared" si="274"/>
        <v>12592.237035227941</v>
      </c>
      <c r="AR425" s="580">
        <f t="shared" si="275"/>
        <v>1.7968374764880053</v>
      </c>
      <c r="AS425" s="582">
        <f t="shared" si="276"/>
        <v>1.7968374764880053</v>
      </c>
      <c r="AT425" s="165"/>
      <c r="AU425" s="166"/>
      <c r="AV425" s="167"/>
      <c r="AW425" s="146"/>
      <c r="AX425" s="168"/>
    </row>
    <row r="426" spans="1:50" ht="11.25" x14ac:dyDescent="0.25">
      <c r="A426" s="140">
        <v>8</v>
      </c>
      <c r="B426" s="170" t="s">
        <v>450</v>
      </c>
      <c r="C426" s="300"/>
      <c r="D426" s="236"/>
      <c r="E426" s="236"/>
      <c r="F426" s="236"/>
      <c r="G426" s="236"/>
      <c r="H426" s="236"/>
      <c r="I426" s="236"/>
      <c r="J426" s="236"/>
      <c r="K426" s="236"/>
      <c r="L426" s="236"/>
      <c r="M426" s="236"/>
      <c r="N426" s="237">
        <v>221184</v>
      </c>
      <c r="O426" s="237"/>
      <c r="P426" s="223">
        <f>MAX(C426:O426)</f>
        <v>221184</v>
      </c>
      <c r="Q426" s="147">
        <f t="shared" si="277"/>
        <v>24330.240000000002</v>
      </c>
      <c r="R426" s="147">
        <f t="shared" si="269"/>
        <v>66.658191780821923</v>
      </c>
      <c r="S426" s="148">
        <f t="shared" si="278"/>
        <v>14598.144</v>
      </c>
      <c r="T426" s="199"/>
      <c r="U426" s="150"/>
      <c r="V426" s="249"/>
      <c r="W426" s="249"/>
      <c r="X426" s="152"/>
      <c r="Y426" s="153"/>
      <c r="Z426" s="153"/>
      <c r="AA426" s="154"/>
      <c r="AB426" s="155">
        <f>S426*$AB$3</f>
        <v>8466.9235200000003</v>
      </c>
      <c r="AC426" s="156">
        <f>S426*$AC$3</f>
        <v>1897.75872</v>
      </c>
      <c r="AD426" s="156">
        <f>S426*$AD$3</f>
        <v>1280.987136</v>
      </c>
      <c r="AE426" s="156">
        <f>S426*$AE$3</f>
        <v>583.92575999999997</v>
      </c>
      <c r="AF426" s="156">
        <f>S426*$AF$3</f>
        <v>291.96287999999998</v>
      </c>
      <c r="AG426" s="156">
        <f>S426*$AG$3</f>
        <v>291.96287999999998</v>
      </c>
      <c r="AH426" s="156">
        <f>S426*$AH$3</f>
        <v>145.98143999999999</v>
      </c>
      <c r="AI426" s="156">
        <f>S426*$AI$3</f>
        <v>291.96287999999998</v>
      </c>
      <c r="AJ426" s="156">
        <f>S426*$AJ$3</f>
        <v>291.96287999999998</v>
      </c>
      <c r="AK426" s="156">
        <f>S426*$AK$3</f>
        <v>1021.8700800000001</v>
      </c>
      <c r="AL426" s="157">
        <f>SUM(AC426:AH426)</f>
        <v>4492.5788159999993</v>
      </c>
      <c r="AM426" s="158">
        <f t="shared" si="271"/>
        <v>2200</v>
      </c>
      <c r="AN426" s="159">
        <v>0.2</v>
      </c>
      <c r="AO426" s="160">
        <f t="shared" si="272"/>
        <v>119369457.63680255</v>
      </c>
      <c r="AP426" s="161">
        <f t="shared" si="273"/>
        <v>33158.185329544212</v>
      </c>
      <c r="AQ426" s="162">
        <f t="shared" si="274"/>
        <v>6631.6370659088425</v>
      </c>
      <c r="AR426" s="580">
        <f t="shared" si="275"/>
        <v>0.94629524342306537</v>
      </c>
      <c r="AS426" s="582">
        <f>AR426</f>
        <v>0.94629524342306537</v>
      </c>
      <c r="AT426" s="165"/>
      <c r="AU426" s="166"/>
      <c r="AV426" s="167"/>
      <c r="AW426" s="146"/>
      <c r="AX426" s="168"/>
    </row>
    <row r="427" spans="1:50" ht="11.25" x14ac:dyDescent="0.25">
      <c r="A427" s="140">
        <v>9</v>
      </c>
      <c r="B427" s="170" t="s">
        <v>451</v>
      </c>
      <c r="C427" s="300"/>
      <c r="D427" s="236"/>
      <c r="E427" s="236"/>
      <c r="F427" s="236"/>
      <c r="G427" s="236"/>
      <c r="H427" s="236"/>
      <c r="I427" s="236"/>
      <c r="J427" s="236"/>
      <c r="K427" s="236"/>
      <c r="L427" s="236"/>
      <c r="M427" s="236"/>
      <c r="N427" s="237">
        <v>443663</v>
      </c>
      <c r="O427" s="237"/>
      <c r="P427" s="223">
        <f>MAX(C427:O427)</f>
        <v>443663</v>
      </c>
      <c r="Q427" s="147">
        <f t="shared" si="277"/>
        <v>48802.93</v>
      </c>
      <c r="R427" s="147">
        <f t="shared" si="269"/>
        <v>133.70665753424657</v>
      </c>
      <c r="S427" s="148">
        <f t="shared" si="278"/>
        <v>29281.757999999998</v>
      </c>
      <c r="T427" s="199"/>
      <c r="U427" s="150"/>
      <c r="V427" s="249"/>
      <c r="W427" s="249"/>
      <c r="X427" s="152"/>
      <c r="Y427" s="153"/>
      <c r="Z427" s="153"/>
      <c r="AA427" s="154"/>
      <c r="AB427" s="155">
        <f>S427*$AB$3</f>
        <v>16983.419639999996</v>
      </c>
      <c r="AC427" s="156">
        <f>S427*$AC$3</f>
        <v>3806.6285399999997</v>
      </c>
      <c r="AD427" s="156">
        <f>S427*$AD$3</f>
        <v>2569.4742644999997</v>
      </c>
      <c r="AE427" s="156">
        <f>S427*$AE$3</f>
        <v>1171.2703199999999</v>
      </c>
      <c r="AF427" s="156">
        <f>S427*$AF$3</f>
        <v>585.63515999999993</v>
      </c>
      <c r="AG427" s="156">
        <f>S427*$AG$3</f>
        <v>585.63515999999993</v>
      </c>
      <c r="AH427" s="156">
        <f>S427*$AH$3</f>
        <v>292.81757999999996</v>
      </c>
      <c r="AI427" s="156">
        <f>S427*$AI$3</f>
        <v>585.63515999999993</v>
      </c>
      <c r="AJ427" s="156">
        <f>S427*$AJ$3</f>
        <v>585.63515999999993</v>
      </c>
      <c r="AK427" s="156">
        <f>S427*$AK$3</f>
        <v>2049.7230600000003</v>
      </c>
      <c r="AL427" s="157">
        <f>SUM(AC427:AH427)</f>
        <v>9011.4610245000003</v>
      </c>
      <c r="AM427" s="158">
        <f t="shared" si="271"/>
        <v>2200</v>
      </c>
      <c r="AN427" s="159">
        <v>0.2</v>
      </c>
      <c r="AO427" s="160">
        <f t="shared" si="272"/>
        <v>239437806.00548288</v>
      </c>
      <c r="AP427" s="161">
        <f t="shared" si="273"/>
        <v>66510.506989029818</v>
      </c>
      <c r="AQ427" s="162">
        <f t="shared" si="274"/>
        <v>13302.101397805964</v>
      </c>
      <c r="AR427" s="580">
        <f t="shared" si="275"/>
        <v>1.8981309072211705</v>
      </c>
      <c r="AS427" s="582">
        <f>AR427</f>
        <v>1.8981309072211705</v>
      </c>
      <c r="AT427" s="165"/>
      <c r="AU427" s="166"/>
      <c r="AV427" s="167"/>
      <c r="AW427" s="146"/>
      <c r="AX427" s="168"/>
    </row>
    <row r="428" spans="1:50" ht="11.25" x14ac:dyDescent="0.25">
      <c r="A428" s="140">
        <v>10</v>
      </c>
      <c r="B428" s="170" t="s">
        <v>452</v>
      </c>
      <c r="C428" s="300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237">
        <v>443663</v>
      </c>
      <c r="O428" s="237"/>
      <c r="P428" s="223">
        <f>MAX(C428:O428)</f>
        <v>443663</v>
      </c>
      <c r="Q428" s="147">
        <f t="shared" si="277"/>
        <v>48802.93</v>
      </c>
      <c r="R428" s="147">
        <f t="shared" si="269"/>
        <v>133.70665753424657</v>
      </c>
      <c r="S428" s="148">
        <f t="shared" si="278"/>
        <v>29281.757999999998</v>
      </c>
      <c r="T428" s="199"/>
      <c r="U428" s="150"/>
      <c r="V428" s="249"/>
      <c r="W428" s="249"/>
      <c r="X428" s="152"/>
      <c r="Y428" s="153"/>
      <c r="Z428" s="153"/>
      <c r="AA428" s="154"/>
      <c r="AB428" s="155">
        <f>S428*$AB$3</f>
        <v>16983.419639999996</v>
      </c>
      <c r="AC428" s="156">
        <f>S428*$AC$3</f>
        <v>3806.6285399999997</v>
      </c>
      <c r="AD428" s="156">
        <f>S428*$AD$3</f>
        <v>2569.4742644999997</v>
      </c>
      <c r="AE428" s="156">
        <f>S428*$AE$3</f>
        <v>1171.2703199999999</v>
      </c>
      <c r="AF428" s="156">
        <f>S428*$AF$3</f>
        <v>585.63515999999993</v>
      </c>
      <c r="AG428" s="156">
        <f>S428*$AG$3</f>
        <v>585.63515999999993</v>
      </c>
      <c r="AH428" s="156">
        <f>S428*$AH$3</f>
        <v>292.81757999999996</v>
      </c>
      <c r="AI428" s="156">
        <f>S428*$AI$3</f>
        <v>585.63515999999993</v>
      </c>
      <c r="AJ428" s="156">
        <f>S428*$AJ$3</f>
        <v>585.63515999999993</v>
      </c>
      <c r="AK428" s="156">
        <f>S428*$AK$3</f>
        <v>2049.7230600000003</v>
      </c>
      <c r="AL428" s="157">
        <f>SUM(AC428:AH428)</f>
        <v>9011.4610245000003</v>
      </c>
      <c r="AM428" s="158">
        <f t="shared" si="271"/>
        <v>2200</v>
      </c>
      <c r="AN428" s="159">
        <v>0.2</v>
      </c>
      <c r="AO428" s="160">
        <f t="shared" si="272"/>
        <v>239437806.00548288</v>
      </c>
      <c r="AP428" s="161">
        <f t="shared" si="273"/>
        <v>66510.506989029818</v>
      </c>
      <c r="AQ428" s="162">
        <f t="shared" si="274"/>
        <v>13302.101397805964</v>
      </c>
      <c r="AR428" s="580">
        <f t="shared" si="275"/>
        <v>1.8981309072211705</v>
      </c>
      <c r="AS428" s="582">
        <f>AR428</f>
        <v>1.8981309072211705</v>
      </c>
      <c r="AT428" s="165"/>
      <c r="AU428" s="166"/>
      <c r="AV428" s="167"/>
      <c r="AW428" s="146"/>
      <c r="AX428" s="168"/>
    </row>
    <row r="429" spans="1:50" s="263" customFormat="1" ht="11.25" x14ac:dyDescent="0.25">
      <c r="A429" s="225"/>
      <c r="B429" s="352" t="s">
        <v>453</v>
      </c>
      <c r="C429" s="240">
        <f t="shared" ref="C429:I429" si="279">SUM(C419:C428)</f>
        <v>0</v>
      </c>
      <c r="D429" s="240">
        <f t="shared" si="279"/>
        <v>0</v>
      </c>
      <c r="E429" s="240">
        <f t="shared" si="279"/>
        <v>0</v>
      </c>
      <c r="F429" s="240">
        <f t="shared" si="279"/>
        <v>0</v>
      </c>
      <c r="G429" s="240">
        <f t="shared" si="279"/>
        <v>0</v>
      </c>
      <c r="H429" s="240">
        <f t="shared" si="279"/>
        <v>0</v>
      </c>
      <c r="I429" s="240">
        <f t="shared" si="279"/>
        <v>0</v>
      </c>
      <c r="J429" s="240">
        <v>4292491</v>
      </c>
      <c r="K429" s="240">
        <v>4363756</v>
      </c>
      <c r="L429" s="240">
        <v>4434012</v>
      </c>
      <c r="M429" s="240">
        <v>4500212</v>
      </c>
      <c r="N429" s="240">
        <f t="shared" ref="N429:T429" si="280">SUM(N419:N428)</f>
        <v>4582403</v>
      </c>
      <c r="O429" s="240">
        <f t="shared" si="280"/>
        <v>0</v>
      </c>
      <c r="P429" s="240">
        <f t="shared" si="280"/>
        <v>4582403</v>
      </c>
      <c r="Q429" s="240">
        <f t="shared" si="280"/>
        <v>617466.36400000006</v>
      </c>
      <c r="R429" s="240">
        <f t="shared" si="280"/>
        <v>1691.6886684931505</v>
      </c>
      <c r="S429" s="240">
        <f t="shared" si="280"/>
        <v>428643.16379999998</v>
      </c>
      <c r="T429" s="199">
        <f t="shared" si="280"/>
        <v>0</v>
      </c>
      <c r="U429" s="241"/>
      <c r="V429" s="242">
        <f>SUM(V419:V428)</f>
        <v>0</v>
      </c>
      <c r="W429" s="242">
        <f>SUM(W419:W428)</f>
        <v>0</v>
      </c>
      <c r="X429" s="242">
        <f>SUM(X419:X428)</f>
        <v>0</v>
      </c>
      <c r="Y429" s="199"/>
      <c r="Z429" s="199"/>
      <c r="AA429" s="243"/>
      <c r="AB429" s="240">
        <f t="shared" ref="AB429:AL429" si="281">SUM(AB419:AB428)</f>
        <v>248613.03500400003</v>
      </c>
      <c r="AC429" s="244">
        <f t="shared" si="281"/>
        <v>55723.611294000002</v>
      </c>
      <c r="AD429" s="244">
        <f t="shared" si="281"/>
        <v>37613.437623450001</v>
      </c>
      <c r="AE429" s="244">
        <f t="shared" si="281"/>
        <v>17145.726552000004</v>
      </c>
      <c r="AF429" s="244">
        <f t="shared" si="281"/>
        <v>8572.8632760000019</v>
      </c>
      <c r="AG429" s="244">
        <f t="shared" si="281"/>
        <v>8572.8632760000019</v>
      </c>
      <c r="AH429" s="244">
        <f t="shared" si="281"/>
        <v>4286.4316380000009</v>
      </c>
      <c r="AI429" s="244">
        <f t="shared" si="281"/>
        <v>8572.8632760000019</v>
      </c>
      <c r="AJ429" s="244">
        <f t="shared" si="281"/>
        <v>8572.8632760000019</v>
      </c>
      <c r="AK429" s="244">
        <f t="shared" si="281"/>
        <v>30005.021466000009</v>
      </c>
      <c r="AL429" s="245">
        <f t="shared" si="281"/>
        <v>131914.93365944998</v>
      </c>
      <c r="AM429" s="158"/>
      <c r="AN429" s="183"/>
      <c r="AO429" s="160">
        <f>SUM(AO419:AO428)</f>
        <v>3505027898.2402902</v>
      </c>
      <c r="AP429" s="160">
        <f>SUM(AP419:AP428)</f>
        <v>973618.9385118119</v>
      </c>
      <c r="AQ429" s="160">
        <f>SUM(AQ419:AQ428)</f>
        <v>194723.78770236237</v>
      </c>
      <c r="AR429" s="186">
        <f>SUM(AR419:AR428)</f>
        <v>27.785928610496914</v>
      </c>
      <c r="AS429" s="435">
        <f>SUM(AS419:AS428)</f>
        <v>27.785928610496914</v>
      </c>
      <c r="AT429" s="187"/>
      <c r="AU429" s="246">
        <f>SUM(AU419:AU428)</f>
        <v>0</v>
      </c>
      <c r="AV429" s="246"/>
      <c r="AW429" s="185">
        <f>SUM(AW419:AW428)</f>
        <v>0</v>
      </c>
      <c r="AX429" s="189"/>
    </row>
    <row r="430" spans="1:50" s="139" customFormat="1" ht="11.25" x14ac:dyDescent="0.25">
      <c r="A430" s="247"/>
      <c r="B430" s="152"/>
      <c r="C430" s="247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248"/>
      <c r="P430" s="249"/>
      <c r="Q430" s="250"/>
      <c r="R430" s="250"/>
      <c r="S430" s="251"/>
      <c r="T430" s="199"/>
      <c r="U430" s="179"/>
      <c r="V430" s="249"/>
      <c r="W430" s="249"/>
      <c r="X430" s="152"/>
      <c r="Y430" s="153"/>
      <c r="Z430" s="153"/>
      <c r="AA430" s="154"/>
      <c r="AB430" s="247"/>
      <c r="AC430" s="252"/>
      <c r="AD430" s="252"/>
      <c r="AE430" s="252"/>
      <c r="AF430" s="252"/>
      <c r="AG430" s="252"/>
      <c r="AH430" s="252"/>
      <c r="AI430" s="252"/>
      <c r="AJ430" s="252"/>
      <c r="AK430" s="252"/>
      <c r="AL430" s="214"/>
      <c r="AM430" s="203"/>
      <c r="AN430" s="204"/>
      <c r="AO430" s="203"/>
      <c r="AP430" s="205"/>
      <c r="AQ430" s="206"/>
      <c r="AR430" s="253"/>
      <c r="AS430" s="254"/>
      <c r="AT430" s="255"/>
      <c r="AU430" s="256"/>
      <c r="AV430" s="257"/>
      <c r="AW430" s="214"/>
      <c r="AX430" s="212"/>
    </row>
    <row r="431" spans="1:50" s="139" customFormat="1" ht="11.25" x14ac:dyDescent="0.25">
      <c r="A431" s="126"/>
      <c r="B431" s="352" t="s">
        <v>454</v>
      </c>
      <c r="C431" s="122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213"/>
      <c r="P431" s="76"/>
      <c r="Q431" s="108"/>
      <c r="R431" s="108"/>
      <c r="S431" s="94"/>
      <c r="T431" s="199"/>
      <c r="U431" s="179"/>
      <c r="V431" s="180"/>
      <c r="W431" s="180"/>
      <c r="X431" s="214"/>
      <c r="Y431" s="181"/>
      <c r="Z431" s="181"/>
      <c r="AA431" s="182"/>
      <c r="AB431" s="62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125"/>
      <c r="AM431" s="75"/>
      <c r="AN431" s="216"/>
      <c r="AO431" s="75"/>
      <c r="AP431" s="51"/>
      <c r="AQ431" s="259"/>
      <c r="AR431" s="583"/>
      <c r="AS431" s="584"/>
      <c r="AT431" s="587"/>
      <c r="AU431" s="135"/>
      <c r="AV431" s="136"/>
      <c r="AW431" s="137"/>
      <c r="AX431" s="138"/>
    </row>
    <row r="432" spans="1:50" ht="11.25" x14ac:dyDescent="0.25">
      <c r="A432" s="140">
        <v>1</v>
      </c>
      <c r="B432" s="339" t="s">
        <v>455</v>
      </c>
      <c r="C432" s="235"/>
      <c r="D432" s="236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>
        <v>226089</v>
      </c>
      <c r="O432" s="237"/>
      <c r="P432" s="223">
        <f t="shared" ref="P432:P452" si="282">MAX(C432:O432)</f>
        <v>226089</v>
      </c>
      <c r="Q432" s="147">
        <f t="shared" ref="Q432:Q452" si="283">P432*$Q$8</f>
        <v>24869.79</v>
      </c>
      <c r="R432" s="147">
        <f t="shared" ref="R432:R452" si="284">Q432/$R$3</f>
        <v>68.136410958904108</v>
      </c>
      <c r="S432" s="148">
        <f t="shared" ref="S432:S452" si="285">R432*$S$3*$S$8</f>
        <v>14921.874</v>
      </c>
      <c r="T432" s="199"/>
      <c r="U432" s="150"/>
      <c r="V432" s="249"/>
      <c r="W432" s="249"/>
      <c r="X432" s="152"/>
      <c r="Y432" s="153"/>
      <c r="Z432" s="153"/>
      <c r="AA432" s="154"/>
      <c r="AB432" s="155">
        <f>S432*$AB$3</f>
        <v>8654.6869200000001</v>
      </c>
      <c r="AC432" s="156">
        <f>S432*$AC$3</f>
        <v>1939.8436200000001</v>
      </c>
      <c r="AD432" s="156">
        <f>S432*$AD$3</f>
        <v>1309.3944434999999</v>
      </c>
      <c r="AE432" s="156">
        <f>S432*$AE$3</f>
        <v>596.87495999999999</v>
      </c>
      <c r="AF432" s="156">
        <f>S432*$AF$3</f>
        <v>298.43747999999999</v>
      </c>
      <c r="AG432" s="156">
        <f>S432*$AG$3</f>
        <v>298.43747999999999</v>
      </c>
      <c r="AH432" s="156">
        <f>S432*$AH$3</f>
        <v>149.21874</v>
      </c>
      <c r="AI432" s="156">
        <f>S432*$AI$3</f>
        <v>298.43747999999999</v>
      </c>
      <c r="AJ432" s="156">
        <f>S432*$AJ$3</f>
        <v>298.43747999999999</v>
      </c>
      <c r="AK432" s="156">
        <f>S432*$AK$3</f>
        <v>1044.5311800000002</v>
      </c>
      <c r="AL432" s="157">
        <f t="shared" ref="AL432:AL452" si="286">SUM(AC432:AH432)</f>
        <v>4592.2067234999995</v>
      </c>
      <c r="AM432" s="158">
        <f t="shared" ref="AM432:AM452" si="287">$AM$3</f>
        <v>2200</v>
      </c>
      <c r="AN432" s="159">
        <v>0.2</v>
      </c>
      <c r="AO432" s="160">
        <f t="shared" ref="AO432:AO452" si="288">(AB432+AL432)*AM432*$AO$3</f>
        <v>122016607.47453274</v>
      </c>
      <c r="AP432" s="161">
        <f t="shared" ref="AP432:AP452" si="289">AO432*$AP$3</f>
        <v>33893.504787739257</v>
      </c>
      <c r="AQ432" s="162">
        <f t="shared" ref="AQ432:AQ452" si="290">AP432*$AQ$3</f>
        <v>6778.7009575478514</v>
      </c>
      <c r="AR432" s="580">
        <f t="shared" ref="AR432:AR452" si="291">AQ432/$AR$3</f>
        <v>0.96728038777794678</v>
      </c>
      <c r="AS432" s="582">
        <f t="shared" ref="AS432:AS452" si="292">AR432</f>
        <v>0.96728038777794678</v>
      </c>
      <c r="AT432" s="588"/>
      <c r="AU432" s="166"/>
      <c r="AV432" s="167"/>
      <c r="AW432" s="146"/>
      <c r="AX432" s="168"/>
    </row>
    <row r="433" spans="1:50" ht="11.25" x14ac:dyDescent="0.25">
      <c r="A433" s="140">
        <v>2</v>
      </c>
      <c r="B433" s="339" t="s">
        <v>456</v>
      </c>
      <c r="C433" s="235"/>
      <c r="D433" s="236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>
        <v>298236</v>
      </c>
      <c r="O433" s="237"/>
      <c r="P433" s="223">
        <f t="shared" si="282"/>
        <v>298236</v>
      </c>
      <c r="Q433" s="147">
        <f t="shared" si="283"/>
        <v>32805.96</v>
      </c>
      <c r="R433" s="147">
        <f t="shared" si="284"/>
        <v>89.879342465753425</v>
      </c>
      <c r="S433" s="148">
        <f t="shared" si="285"/>
        <v>19683.575999999997</v>
      </c>
      <c r="T433" s="199"/>
      <c r="U433" s="150"/>
      <c r="V433" s="249"/>
      <c r="W433" s="249"/>
      <c r="X433" s="152"/>
      <c r="Y433" s="153"/>
      <c r="Z433" s="153"/>
      <c r="AA433" s="154"/>
      <c r="AB433" s="155">
        <f>S433*$AB$3</f>
        <v>11416.474079999998</v>
      </c>
      <c r="AC433" s="156">
        <f>S433*$AC$3</f>
        <v>2558.8648799999996</v>
      </c>
      <c r="AD433" s="156">
        <f>S433*$AD$3</f>
        <v>1727.2337939999998</v>
      </c>
      <c r="AE433" s="156">
        <f>S433*$AE$3</f>
        <v>787.34303999999986</v>
      </c>
      <c r="AF433" s="156">
        <f>S433*$AF$3</f>
        <v>393.67151999999993</v>
      </c>
      <c r="AG433" s="156">
        <f>S433*$AG$3</f>
        <v>393.67151999999993</v>
      </c>
      <c r="AH433" s="156">
        <f>S433*$AH$3</f>
        <v>196.83575999999996</v>
      </c>
      <c r="AI433" s="156">
        <f>S433*$AI$3</f>
        <v>393.67151999999993</v>
      </c>
      <c r="AJ433" s="156">
        <f>S433*$AJ$3</f>
        <v>393.67151999999993</v>
      </c>
      <c r="AK433" s="156">
        <f>S433*$AK$3</f>
        <v>1377.85032</v>
      </c>
      <c r="AL433" s="157">
        <f t="shared" si="286"/>
        <v>6057.6205139999984</v>
      </c>
      <c r="AM433" s="158">
        <f t="shared" si="287"/>
        <v>2200</v>
      </c>
      <c r="AN433" s="159">
        <v>0.2</v>
      </c>
      <c r="AO433" s="160">
        <f t="shared" si="288"/>
        <v>160953186.3415502</v>
      </c>
      <c r="AP433" s="161">
        <f t="shared" si="289"/>
        <v>44709.222004945863</v>
      </c>
      <c r="AQ433" s="162">
        <f t="shared" si="290"/>
        <v>8941.8444009891737</v>
      </c>
      <c r="AR433" s="580">
        <f t="shared" si="291"/>
        <v>1.2759481165795055</v>
      </c>
      <c r="AS433" s="582">
        <f t="shared" si="292"/>
        <v>1.2759481165795055</v>
      </c>
      <c r="AT433" s="588"/>
      <c r="AU433" s="166"/>
      <c r="AV433" s="167"/>
      <c r="AW433" s="146"/>
      <c r="AX433" s="168"/>
    </row>
    <row r="434" spans="1:50" ht="11.25" x14ac:dyDescent="0.25">
      <c r="A434" s="140">
        <v>3</v>
      </c>
      <c r="B434" s="339" t="s">
        <v>457</v>
      </c>
      <c r="C434" s="235"/>
      <c r="D434" s="236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>
        <v>257744</v>
      </c>
      <c r="O434" s="237"/>
      <c r="P434" s="223">
        <f t="shared" si="282"/>
        <v>257744</v>
      </c>
      <c r="Q434" s="147">
        <f t="shared" si="283"/>
        <v>28351.84</v>
      </c>
      <c r="R434" s="147">
        <f t="shared" si="284"/>
        <v>77.676273972602743</v>
      </c>
      <c r="S434" s="148">
        <f t="shared" si="285"/>
        <v>17011.103999999999</v>
      </c>
      <c r="T434" s="199"/>
      <c r="U434" s="150"/>
      <c r="V434" s="249"/>
      <c r="W434" s="249"/>
      <c r="X434" s="152"/>
      <c r="Y434" s="153"/>
      <c r="Z434" s="153"/>
      <c r="AA434" s="154"/>
      <c r="AB434" s="155">
        <f>S434*$AB$3</f>
        <v>9866.4403199999997</v>
      </c>
      <c r="AC434" s="156">
        <f>S434*$AC$3</f>
        <v>2211.4435199999998</v>
      </c>
      <c r="AD434" s="156">
        <f>S434*$AD$3</f>
        <v>1492.7243759999999</v>
      </c>
      <c r="AE434" s="156">
        <f>S434*$AE$3</f>
        <v>680.44416000000001</v>
      </c>
      <c r="AF434" s="156">
        <f>S434*$AF$3</f>
        <v>340.22208000000001</v>
      </c>
      <c r="AG434" s="156">
        <f>S434*$AG$3</f>
        <v>340.22208000000001</v>
      </c>
      <c r="AH434" s="156">
        <f>S434*$AH$3</f>
        <v>170.11104</v>
      </c>
      <c r="AI434" s="156">
        <f>S434*$AI$3</f>
        <v>340.22208000000001</v>
      </c>
      <c r="AJ434" s="156">
        <f>S434*$AJ$3</f>
        <v>340.22208000000001</v>
      </c>
      <c r="AK434" s="156">
        <f>S434*$AK$3</f>
        <v>1190.77728</v>
      </c>
      <c r="AL434" s="157">
        <f t="shared" si="286"/>
        <v>5235.1672559999988</v>
      </c>
      <c r="AM434" s="158">
        <f t="shared" si="287"/>
        <v>2200</v>
      </c>
      <c r="AN434" s="159">
        <v>0.2</v>
      </c>
      <c r="AO434" s="160">
        <f t="shared" si="288"/>
        <v>139100303.31823292</v>
      </c>
      <c r="AP434" s="161">
        <f t="shared" si="289"/>
        <v>38638.976235071437</v>
      </c>
      <c r="AQ434" s="162">
        <f t="shared" si="290"/>
        <v>7727.7952470142882</v>
      </c>
      <c r="AR434" s="580">
        <f t="shared" si="291"/>
        <v>1.1027105089917648</v>
      </c>
      <c r="AS434" s="582">
        <f t="shared" si="292"/>
        <v>1.1027105089917648</v>
      </c>
      <c r="AT434" s="588"/>
      <c r="AU434" s="166"/>
      <c r="AV434" s="167"/>
      <c r="AW434" s="146"/>
      <c r="AX434" s="168"/>
    </row>
    <row r="435" spans="1:50" ht="11.25" x14ac:dyDescent="0.25">
      <c r="A435" s="140">
        <v>4</v>
      </c>
      <c r="B435" s="339" t="s">
        <v>458</v>
      </c>
      <c r="C435" s="235"/>
      <c r="D435" s="236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>
        <v>145210</v>
      </c>
      <c r="O435" s="237"/>
      <c r="P435" s="223">
        <f t="shared" si="282"/>
        <v>145210</v>
      </c>
      <c r="Q435" s="147">
        <f t="shared" si="283"/>
        <v>15973.1</v>
      </c>
      <c r="R435" s="147">
        <f t="shared" si="284"/>
        <v>43.761917808219181</v>
      </c>
      <c r="S435" s="148">
        <f t="shared" si="285"/>
        <v>9583.86</v>
      </c>
      <c r="T435" s="199"/>
      <c r="U435" s="150"/>
      <c r="V435" s="249"/>
      <c r="W435" s="249"/>
      <c r="X435" s="152"/>
      <c r="Y435" s="153"/>
      <c r="Z435" s="153"/>
      <c r="AA435" s="154"/>
      <c r="AB435" s="155">
        <f>S435*$AB$3</f>
        <v>5558.6387999999997</v>
      </c>
      <c r="AC435" s="156">
        <f>S435*$AC$3</f>
        <v>1245.9018000000001</v>
      </c>
      <c r="AD435" s="156">
        <f>S435*$AD$3</f>
        <v>840.98371499999996</v>
      </c>
      <c r="AE435" s="156">
        <f>S435*$AE$3</f>
        <v>383.35440000000006</v>
      </c>
      <c r="AF435" s="156">
        <f>S435*$AF$3</f>
        <v>191.67720000000003</v>
      </c>
      <c r="AG435" s="156">
        <f>S435*$AG$3</f>
        <v>191.67720000000003</v>
      </c>
      <c r="AH435" s="156">
        <f>S435*$AH$3</f>
        <v>95.838600000000014</v>
      </c>
      <c r="AI435" s="156">
        <f>S435*$AI$3</f>
        <v>191.67720000000003</v>
      </c>
      <c r="AJ435" s="156">
        <f>S435*$AJ$3</f>
        <v>191.67720000000003</v>
      </c>
      <c r="AK435" s="156">
        <f>S435*$AK$3</f>
        <v>670.87020000000007</v>
      </c>
      <c r="AL435" s="157">
        <f t="shared" si="286"/>
        <v>2949.4329150000003</v>
      </c>
      <c r="AM435" s="158">
        <f t="shared" si="287"/>
        <v>2200</v>
      </c>
      <c r="AN435" s="159">
        <v>0.2</v>
      </c>
      <c r="AO435" s="160">
        <f t="shared" si="288"/>
        <v>78367508.243996412</v>
      </c>
      <c r="AP435" s="161">
        <f t="shared" si="289"/>
        <v>21768.754031499186</v>
      </c>
      <c r="AQ435" s="162">
        <f t="shared" si="290"/>
        <v>4353.7508062998377</v>
      </c>
      <c r="AR435" s="580">
        <f t="shared" si="291"/>
        <v>0.62125439587611841</v>
      </c>
      <c r="AS435" s="582">
        <f t="shared" si="292"/>
        <v>0.62125439587611841</v>
      </c>
      <c r="AT435" s="588"/>
      <c r="AU435" s="166"/>
      <c r="AV435" s="167"/>
      <c r="AW435" s="146"/>
      <c r="AX435" s="168"/>
    </row>
    <row r="436" spans="1:50" ht="11.25" x14ac:dyDescent="0.25">
      <c r="A436" s="140">
        <v>5</v>
      </c>
      <c r="B436" s="339" t="s">
        <v>459</v>
      </c>
      <c r="C436" s="235"/>
      <c r="D436" s="236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>
        <v>132694</v>
      </c>
      <c r="O436" s="237"/>
      <c r="P436" s="223">
        <f t="shared" si="282"/>
        <v>132694</v>
      </c>
      <c r="Q436" s="147">
        <f t="shared" si="283"/>
        <v>14596.34</v>
      </c>
      <c r="R436" s="147">
        <f t="shared" si="284"/>
        <v>39.989972602739726</v>
      </c>
      <c r="S436" s="148">
        <f t="shared" si="285"/>
        <v>8757.8040000000001</v>
      </c>
      <c r="T436" s="199"/>
      <c r="U436" s="150"/>
      <c r="V436" s="249"/>
      <c r="W436" s="249"/>
      <c r="X436" s="152"/>
      <c r="Y436" s="153"/>
      <c r="Z436" s="153"/>
      <c r="AA436" s="154"/>
      <c r="AB436" s="155">
        <f>S436*$AB$3</f>
        <v>5079.5263199999999</v>
      </c>
      <c r="AC436" s="156">
        <f>S436*$AC$3</f>
        <v>1138.5145199999999</v>
      </c>
      <c r="AD436" s="156">
        <f>S436*$AD$3</f>
        <v>768.49730099999999</v>
      </c>
      <c r="AE436" s="156">
        <f>S436*$AE$3</f>
        <v>350.31216000000001</v>
      </c>
      <c r="AF436" s="156">
        <f>S436*$AF$3</f>
        <v>175.15608</v>
      </c>
      <c r="AG436" s="156">
        <f>S436*$AG$3</f>
        <v>175.15608</v>
      </c>
      <c r="AH436" s="156">
        <f>S436*$AH$3</f>
        <v>87.578040000000001</v>
      </c>
      <c r="AI436" s="156">
        <f>S436*$AI$3</f>
        <v>175.15608</v>
      </c>
      <c r="AJ436" s="156">
        <f>S436*$AJ$3</f>
        <v>175.15608</v>
      </c>
      <c r="AK436" s="156">
        <f>S436*$AK$3</f>
        <v>613.04628000000002</v>
      </c>
      <c r="AL436" s="157">
        <f t="shared" si="286"/>
        <v>2695.2141810000003</v>
      </c>
      <c r="AM436" s="158">
        <f t="shared" si="287"/>
        <v>2200</v>
      </c>
      <c r="AN436" s="159">
        <v>0.2</v>
      </c>
      <c r="AO436" s="160">
        <f t="shared" si="288"/>
        <v>71612823.765090957</v>
      </c>
      <c r="AP436" s="161">
        <f t="shared" si="289"/>
        <v>19892.452637254682</v>
      </c>
      <c r="AQ436" s="162">
        <f t="shared" si="290"/>
        <v>3978.4905274509365</v>
      </c>
      <c r="AR436" s="580">
        <f t="shared" si="291"/>
        <v>0.56770698165681166</v>
      </c>
      <c r="AS436" s="582">
        <f t="shared" si="292"/>
        <v>0.56770698165681166</v>
      </c>
      <c r="AT436" s="588"/>
      <c r="AU436" s="166"/>
      <c r="AV436" s="167"/>
      <c r="AW436" s="146"/>
      <c r="AX436" s="168"/>
    </row>
    <row r="437" spans="1:50" ht="11.25" x14ac:dyDescent="0.25">
      <c r="A437" s="140">
        <v>6</v>
      </c>
      <c r="B437" s="339" t="s">
        <v>460</v>
      </c>
      <c r="C437" s="235"/>
      <c r="D437" s="236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>
        <v>265761</v>
      </c>
      <c r="O437" s="237"/>
      <c r="P437" s="223">
        <f t="shared" si="282"/>
        <v>265761</v>
      </c>
      <c r="Q437" s="147">
        <f t="shared" si="283"/>
        <v>29233.71</v>
      </c>
      <c r="R437" s="147">
        <f t="shared" si="284"/>
        <v>80.09235616438356</v>
      </c>
      <c r="S437" s="148">
        <f t="shared" si="285"/>
        <v>17540.225999999999</v>
      </c>
      <c r="T437" s="199"/>
      <c r="U437" s="150"/>
      <c r="V437" s="249"/>
      <c r="W437" s="249"/>
      <c r="X437" s="152"/>
      <c r="Y437" s="153"/>
      <c r="Z437" s="153"/>
      <c r="AA437" s="154"/>
      <c r="AB437" s="155">
        <f>S437*$AB$3</f>
        <v>10173.331079999998</v>
      </c>
      <c r="AC437" s="156">
        <f>S437*$AC$3</f>
        <v>2280.2293799999998</v>
      </c>
      <c r="AD437" s="156">
        <f>S437*$AD$3</f>
        <v>1539.1548314999998</v>
      </c>
      <c r="AE437" s="156">
        <f>S437*$AE$3</f>
        <v>701.60903999999994</v>
      </c>
      <c r="AF437" s="156">
        <f>S437*$AF$3</f>
        <v>350.80451999999997</v>
      </c>
      <c r="AG437" s="156">
        <f>S437*$AG$3</f>
        <v>350.80451999999997</v>
      </c>
      <c r="AH437" s="156">
        <f>S437*$AH$3</f>
        <v>175.40225999999998</v>
      </c>
      <c r="AI437" s="156">
        <f>S437*$AI$3</f>
        <v>350.80451999999997</v>
      </c>
      <c r="AJ437" s="156">
        <f>S437*$AJ$3</f>
        <v>350.80451999999997</v>
      </c>
      <c r="AK437" s="156">
        <f>S437*$AK$3</f>
        <v>1227.81582</v>
      </c>
      <c r="AL437" s="157">
        <f t="shared" si="286"/>
        <v>5398.0045514999993</v>
      </c>
      <c r="AM437" s="158">
        <f t="shared" si="287"/>
        <v>2200</v>
      </c>
      <c r="AN437" s="159">
        <v>0.2</v>
      </c>
      <c r="AO437" s="160">
        <f t="shared" si="288"/>
        <v>143426949.64832121</v>
      </c>
      <c r="AP437" s="161">
        <f t="shared" si="289"/>
        <v>39840.822534021441</v>
      </c>
      <c r="AQ437" s="162">
        <f t="shared" si="290"/>
        <v>7968.164506804289</v>
      </c>
      <c r="AR437" s="580">
        <f t="shared" si="291"/>
        <v>1.1370097755143107</v>
      </c>
      <c r="AS437" s="582">
        <f t="shared" si="292"/>
        <v>1.1370097755143107</v>
      </c>
      <c r="AT437" s="588"/>
      <c r="AU437" s="166"/>
      <c r="AV437" s="167"/>
      <c r="AW437" s="146"/>
      <c r="AX437" s="168"/>
    </row>
    <row r="438" spans="1:50" ht="11.25" x14ac:dyDescent="0.25">
      <c r="A438" s="140">
        <v>7</v>
      </c>
      <c r="B438" s="339" t="s">
        <v>461</v>
      </c>
      <c r="C438" s="235"/>
      <c r="D438" s="236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>
        <v>306269</v>
      </c>
      <c r="O438" s="237"/>
      <c r="P438" s="223">
        <f t="shared" si="282"/>
        <v>306269</v>
      </c>
      <c r="Q438" s="147">
        <f t="shared" si="283"/>
        <v>33689.590000000004</v>
      </c>
      <c r="R438" s="147">
        <f t="shared" si="284"/>
        <v>92.30024657534247</v>
      </c>
      <c r="S438" s="148">
        <f t="shared" si="285"/>
        <v>20213.754000000001</v>
      </c>
      <c r="T438" s="199"/>
      <c r="U438" s="150"/>
      <c r="V438" s="249"/>
      <c r="W438" s="249"/>
      <c r="X438" s="152"/>
      <c r="Y438" s="153"/>
      <c r="Z438" s="153"/>
      <c r="AA438" s="154"/>
      <c r="AB438" s="155">
        <f>S438*$AB$3</f>
        <v>11723.97732</v>
      </c>
      <c r="AC438" s="156">
        <f>S438*$AC$3</f>
        <v>2627.7880200000004</v>
      </c>
      <c r="AD438" s="156">
        <f>S438*$AD$3</f>
        <v>1773.7569134999999</v>
      </c>
      <c r="AE438" s="156">
        <f>S438*$AE$3</f>
        <v>808.55016000000001</v>
      </c>
      <c r="AF438" s="156">
        <f>S438*$AF$3</f>
        <v>404.27508</v>
      </c>
      <c r="AG438" s="156">
        <f>S438*$AG$3</f>
        <v>404.27508</v>
      </c>
      <c r="AH438" s="156">
        <f>S438*$AH$3</f>
        <v>202.13754</v>
      </c>
      <c r="AI438" s="156">
        <f>S438*$AI$3</f>
        <v>404.27508</v>
      </c>
      <c r="AJ438" s="156">
        <f>S438*$AJ$3</f>
        <v>404.27508</v>
      </c>
      <c r="AK438" s="156">
        <f>S438*$AK$3</f>
        <v>1414.9627800000003</v>
      </c>
      <c r="AL438" s="157">
        <f t="shared" si="286"/>
        <v>6220.7827935000005</v>
      </c>
      <c r="AM438" s="158">
        <f t="shared" si="287"/>
        <v>2200</v>
      </c>
      <c r="AN438" s="159">
        <v>0.2</v>
      </c>
      <c r="AO438" s="160">
        <f t="shared" si="288"/>
        <v>165288467.61504397</v>
      </c>
      <c r="AP438" s="161">
        <f t="shared" si="289"/>
        <v>45913.46689947816</v>
      </c>
      <c r="AQ438" s="162">
        <f t="shared" si="290"/>
        <v>9182.6933798956325</v>
      </c>
      <c r="AR438" s="580">
        <f t="shared" si="291"/>
        <v>1.3103158361723219</v>
      </c>
      <c r="AS438" s="582">
        <f t="shared" si="292"/>
        <v>1.3103158361723219</v>
      </c>
      <c r="AT438" s="588"/>
      <c r="AU438" s="166"/>
      <c r="AV438" s="167"/>
      <c r="AW438" s="146"/>
      <c r="AX438" s="168"/>
    </row>
    <row r="439" spans="1:50" ht="11.25" x14ac:dyDescent="0.25">
      <c r="A439" s="140">
        <v>8</v>
      </c>
      <c r="B439" s="339" t="s">
        <v>462</v>
      </c>
      <c r="C439" s="235"/>
      <c r="D439" s="236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>
        <v>237207</v>
      </c>
      <c r="O439" s="237"/>
      <c r="P439" s="223">
        <f t="shared" si="282"/>
        <v>237207</v>
      </c>
      <c r="Q439" s="147">
        <f t="shared" si="283"/>
        <v>26092.77</v>
      </c>
      <c r="R439" s="147">
        <f t="shared" si="284"/>
        <v>71.487041095890419</v>
      </c>
      <c r="S439" s="148">
        <f t="shared" si="285"/>
        <v>15655.662000000002</v>
      </c>
      <c r="T439" s="199"/>
      <c r="U439" s="150"/>
      <c r="V439" s="249"/>
      <c r="W439" s="249"/>
      <c r="X439" s="152"/>
      <c r="Y439" s="153"/>
      <c r="Z439" s="153"/>
      <c r="AA439" s="154"/>
      <c r="AB439" s="155">
        <f>S439*$AB$3</f>
        <v>9080.2839600000007</v>
      </c>
      <c r="AC439" s="156">
        <f>S439*$AC$3</f>
        <v>2035.2360600000004</v>
      </c>
      <c r="AD439" s="156">
        <f>S439*$AD$3</f>
        <v>1373.7843405000001</v>
      </c>
      <c r="AE439" s="156">
        <f>S439*$AE$3</f>
        <v>626.22648000000015</v>
      </c>
      <c r="AF439" s="156">
        <f>S439*$AF$3</f>
        <v>313.11324000000008</v>
      </c>
      <c r="AG439" s="156">
        <f>S439*$AG$3</f>
        <v>313.11324000000008</v>
      </c>
      <c r="AH439" s="156">
        <f>S439*$AH$3</f>
        <v>156.55662000000004</v>
      </c>
      <c r="AI439" s="156">
        <f>S439*$AI$3</f>
        <v>313.11324000000008</v>
      </c>
      <c r="AJ439" s="156">
        <f>S439*$AJ$3</f>
        <v>313.11324000000008</v>
      </c>
      <c r="AK439" s="156">
        <f>S439*$AK$3</f>
        <v>1095.8963400000002</v>
      </c>
      <c r="AL439" s="157">
        <f t="shared" si="286"/>
        <v>4818.0299805000004</v>
      </c>
      <c r="AM439" s="158">
        <f t="shared" si="287"/>
        <v>2200</v>
      </c>
      <c r="AN439" s="159">
        <v>0.2</v>
      </c>
      <c r="AO439" s="160">
        <f t="shared" si="288"/>
        <v>128016813.77338788</v>
      </c>
      <c r="AP439" s="161">
        <f t="shared" si="289"/>
        <v>35560.22889298138</v>
      </c>
      <c r="AQ439" s="162">
        <f t="shared" si="290"/>
        <v>7112.0457785962763</v>
      </c>
      <c r="AR439" s="580">
        <f t="shared" si="291"/>
        <v>1.0148467149823455</v>
      </c>
      <c r="AS439" s="582">
        <f t="shared" si="292"/>
        <v>1.0148467149823455</v>
      </c>
      <c r="AT439" s="588"/>
      <c r="AU439" s="166"/>
      <c r="AV439" s="167"/>
      <c r="AW439" s="146"/>
      <c r="AX439" s="168"/>
    </row>
    <row r="440" spans="1:50" ht="11.25" x14ac:dyDescent="0.25">
      <c r="A440" s="140">
        <v>9</v>
      </c>
      <c r="B440" s="339" t="s">
        <v>463</v>
      </c>
      <c r="C440" s="235"/>
      <c r="D440" s="236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>
        <v>120160</v>
      </c>
      <c r="O440" s="237"/>
      <c r="P440" s="223">
        <f t="shared" si="282"/>
        <v>120160</v>
      </c>
      <c r="Q440" s="147">
        <f t="shared" si="283"/>
        <v>13217.6</v>
      </c>
      <c r="R440" s="147">
        <f t="shared" si="284"/>
        <v>36.21260273972603</v>
      </c>
      <c r="S440" s="148">
        <f t="shared" si="285"/>
        <v>7930.5599999999995</v>
      </c>
      <c r="T440" s="199"/>
      <c r="U440" s="150"/>
      <c r="V440" s="249"/>
      <c r="W440" s="249"/>
      <c r="X440" s="152"/>
      <c r="Y440" s="153"/>
      <c r="Z440" s="153"/>
      <c r="AA440" s="154"/>
      <c r="AB440" s="155">
        <f>S440*$AB$3</f>
        <v>4599.724799999999</v>
      </c>
      <c r="AC440" s="156">
        <f>S440*$AC$3</f>
        <v>1030.9728</v>
      </c>
      <c r="AD440" s="156">
        <f>S440*$AD$3</f>
        <v>695.90663999999992</v>
      </c>
      <c r="AE440" s="156">
        <f>S440*$AE$3</f>
        <v>317.22239999999999</v>
      </c>
      <c r="AF440" s="156">
        <f>S440*$AF$3</f>
        <v>158.6112</v>
      </c>
      <c r="AG440" s="156">
        <f>S440*$AG$3</f>
        <v>158.6112</v>
      </c>
      <c r="AH440" s="156">
        <f>S440*$AH$3</f>
        <v>79.305599999999998</v>
      </c>
      <c r="AI440" s="156">
        <f>S440*$AI$3</f>
        <v>158.6112</v>
      </c>
      <c r="AJ440" s="156">
        <f>S440*$AJ$3</f>
        <v>158.6112</v>
      </c>
      <c r="AK440" s="156">
        <f>S440*$AK$3</f>
        <v>555.13920000000007</v>
      </c>
      <c r="AL440" s="157">
        <f t="shared" si="286"/>
        <v>2440.6298399999996</v>
      </c>
      <c r="AM440" s="158">
        <f t="shared" si="287"/>
        <v>2200</v>
      </c>
      <c r="AN440" s="159">
        <v>0.2</v>
      </c>
      <c r="AO440" s="160">
        <f t="shared" si="288"/>
        <v>64848424.974854387</v>
      </c>
      <c r="AP440" s="161">
        <f t="shared" si="289"/>
        <v>18013.452822980107</v>
      </c>
      <c r="AQ440" s="162">
        <f t="shared" si="290"/>
        <v>3602.6905645960214</v>
      </c>
      <c r="AR440" s="580">
        <f t="shared" si="291"/>
        <v>0.51408255773345057</v>
      </c>
      <c r="AS440" s="582">
        <f t="shared" si="292"/>
        <v>0.51408255773345057</v>
      </c>
      <c r="AT440" s="588"/>
      <c r="AU440" s="166"/>
      <c r="AV440" s="167"/>
      <c r="AW440" s="146"/>
      <c r="AX440" s="168"/>
    </row>
    <row r="441" spans="1:50" ht="11.25" x14ac:dyDescent="0.25">
      <c r="A441" s="140">
        <v>10</v>
      </c>
      <c r="B441" s="339" t="s">
        <v>464</v>
      </c>
      <c r="C441" s="235"/>
      <c r="D441" s="236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>
        <v>193785</v>
      </c>
      <c r="O441" s="237"/>
      <c r="P441" s="223">
        <f t="shared" si="282"/>
        <v>193785</v>
      </c>
      <c r="Q441" s="147">
        <f t="shared" si="283"/>
        <v>21316.35</v>
      </c>
      <c r="R441" s="147">
        <f t="shared" si="284"/>
        <v>58.400958904109586</v>
      </c>
      <c r="S441" s="148">
        <f t="shared" si="285"/>
        <v>12789.81</v>
      </c>
      <c r="T441" s="199"/>
      <c r="U441" s="150"/>
      <c r="V441" s="249"/>
      <c r="W441" s="249"/>
      <c r="X441" s="152"/>
      <c r="Y441" s="153"/>
      <c r="Z441" s="153"/>
      <c r="AA441" s="154"/>
      <c r="AB441" s="155">
        <f>S441*$AB$3</f>
        <v>7418.0897999999988</v>
      </c>
      <c r="AC441" s="156">
        <f>S441*$AC$3</f>
        <v>1662.6752999999999</v>
      </c>
      <c r="AD441" s="156">
        <f>S441*$AD$3</f>
        <v>1122.3058274999999</v>
      </c>
      <c r="AE441" s="156">
        <f>S441*$AE$3</f>
        <v>511.5924</v>
      </c>
      <c r="AF441" s="156">
        <f>S441*$AF$3</f>
        <v>255.7962</v>
      </c>
      <c r="AG441" s="156">
        <f>S441*$AG$3</f>
        <v>255.7962</v>
      </c>
      <c r="AH441" s="156">
        <f>S441*$AH$3</f>
        <v>127.8981</v>
      </c>
      <c r="AI441" s="156">
        <f>S441*$AI$3</f>
        <v>255.7962</v>
      </c>
      <c r="AJ441" s="156">
        <f>S441*$AJ$3</f>
        <v>255.7962</v>
      </c>
      <c r="AK441" s="156">
        <f>S441*$AK$3</f>
        <v>895.2867</v>
      </c>
      <c r="AL441" s="157">
        <f t="shared" si="286"/>
        <v>3936.0640274999992</v>
      </c>
      <c r="AM441" s="158">
        <f t="shared" si="287"/>
        <v>2200</v>
      </c>
      <c r="AN441" s="159">
        <v>0.2</v>
      </c>
      <c r="AO441" s="160">
        <f t="shared" si="288"/>
        <v>104582656.73894937</v>
      </c>
      <c r="AP441" s="161">
        <f t="shared" si="289"/>
        <v>29050.740307100532</v>
      </c>
      <c r="AQ441" s="162">
        <f t="shared" si="290"/>
        <v>5810.1480614201064</v>
      </c>
      <c r="AR441" s="580">
        <f t="shared" si="291"/>
        <v>0.82907363890127084</v>
      </c>
      <c r="AS441" s="582">
        <f t="shared" si="292"/>
        <v>0.82907363890127084</v>
      </c>
      <c r="AT441" s="588"/>
      <c r="AU441" s="166"/>
      <c r="AV441" s="167"/>
      <c r="AW441" s="146"/>
      <c r="AX441" s="168"/>
    </row>
    <row r="442" spans="1:50" ht="11.25" x14ac:dyDescent="0.25">
      <c r="A442" s="140">
        <v>11</v>
      </c>
      <c r="B442" s="345" t="s">
        <v>465</v>
      </c>
      <c r="C442" s="235"/>
      <c r="D442" s="236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>
        <v>290539</v>
      </c>
      <c r="O442" s="237"/>
      <c r="P442" s="223">
        <f t="shared" si="282"/>
        <v>290539</v>
      </c>
      <c r="Q442" s="147">
        <f t="shared" si="283"/>
        <v>31959.29</v>
      </c>
      <c r="R442" s="147">
        <f t="shared" si="284"/>
        <v>87.559698630136992</v>
      </c>
      <c r="S442" s="148">
        <f t="shared" si="285"/>
        <v>19175.574000000001</v>
      </c>
      <c r="T442" s="199"/>
      <c r="U442" s="150"/>
      <c r="V442" s="249"/>
      <c r="W442" s="249"/>
      <c r="X442" s="152"/>
      <c r="Y442" s="153"/>
      <c r="Z442" s="153"/>
      <c r="AA442" s="154"/>
      <c r="AB442" s="155">
        <f>S442*$AB$3</f>
        <v>11121.832919999999</v>
      </c>
      <c r="AC442" s="156">
        <f>S442*$AC$3</f>
        <v>2492.8246200000003</v>
      </c>
      <c r="AD442" s="156">
        <f>S442*$AD$3</f>
        <v>1682.6566184999999</v>
      </c>
      <c r="AE442" s="156">
        <f>S442*$AE$3</f>
        <v>767.02296000000001</v>
      </c>
      <c r="AF442" s="156">
        <f>S442*$AF$3</f>
        <v>383.51148000000001</v>
      </c>
      <c r="AG442" s="156">
        <f>S442*$AG$3</f>
        <v>383.51148000000001</v>
      </c>
      <c r="AH442" s="156">
        <f>S442*$AH$3</f>
        <v>191.75574</v>
      </c>
      <c r="AI442" s="156">
        <f>S442*$AI$3</f>
        <v>383.51148000000001</v>
      </c>
      <c r="AJ442" s="156">
        <f>S442*$AJ$3</f>
        <v>383.51148000000001</v>
      </c>
      <c r="AK442" s="156">
        <f>S442*$AK$3</f>
        <v>1342.2901800000002</v>
      </c>
      <c r="AL442" s="157">
        <f t="shared" si="286"/>
        <v>5901.2828985000006</v>
      </c>
      <c r="AM442" s="158">
        <f t="shared" si="287"/>
        <v>2200</v>
      </c>
      <c r="AN442" s="159">
        <v>0.2</v>
      </c>
      <c r="AO442" s="160">
        <f t="shared" si="288"/>
        <v>156799238.87957072</v>
      </c>
      <c r="AP442" s="161">
        <f t="shared" si="289"/>
        <v>43555.347617641622</v>
      </c>
      <c r="AQ442" s="162">
        <f t="shared" si="290"/>
        <v>8711.0695235283256</v>
      </c>
      <c r="AR442" s="580">
        <f t="shared" si="291"/>
        <v>1.2430179114623752</v>
      </c>
      <c r="AS442" s="582">
        <f t="shared" si="292"/>
        <v>1.2430179114623752</v>
      </c>
      <c r="AT442" s="588"/>
      <c r="AU442" s="166"/>
      <c r="AV442" s="167"/>
      <c r="AW442" s="146"/>
      <c r="AX442" s="168"/>
    </row>
    <row r="443" spans="1:50" ht="11.25" x14ac:dyDescent="0.25">
      <c r="A443" s="140">
        <v>12</v>
      </c>
      <c r="B443" s="353" t="s">
        <v>466</v>
      </c>
      <c r="C443" s="235"/>
      <c r="D443" s="236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>
        <v>113189</v>
      </c>
      <c r="O443" s="237"/>
      <c r="P443" s="223">
        <f t="shared" si="282"/>
        <v>113189</v>
      </c>
      <c r="Q443" s="147">
        <f t="shared" si="283"/>
        <v>12450.79</v>
      </c>
      <c r="R443" s="147">
        <f t="shared" si="284"/>
        <v>34.111753424657536</v>
      </c>
      <c r="S443" s="148">
        <f t="shared" si="285"/>
        <v>7470.4740000000002</v>
      </c>
      <c r="T443" s="199"/>
      <c r="U443" s="150"/>
      <c r="V443" s="249"/>
      <c r="W443" s="249"/>
      <c r="X443" s="152"/>
      <c r="Y443" s="153"/>
      <c r="Z443" s="153"/>
      <c r="AA443" s="154"/>
      <c r="AB443" s="155">
        <f>S443*$AB$3</f>
        <v>4332.8749200000002</v>
      </c>
      <c r="AC443" s="156">
        <f>S443*$AC$3</f>
        <v>971.16162000000008</v>
      </c>
      <c r="AD443" s="156">
        <f>S443*$AD$3</f>
        <v>655.53409349999993</v>
      </c>
      <c r="AE443" s="156">
        <f>S443*$AE$3</f>
        <v>298.81896</v>
      </c>
      <c r="AF443" s="156">
        <f>S443*$AF$3</f>
        <v>149.40948</v>
      </c>
      <c r="AG443" s="156">
        <f>S443*$AG$3</f>
        <v>149.40948</v>
      </c>
      <c r="AH443" s="156">
        <f>S443*$AH$3</f>
        <v>74.704740000000001</v>
      </c>
      <c r="AI443" s="156">
        <f>S443*$AI$3</f>
        <v>149.40948</v>
      </c>
      <c r="AJ443" s="156">
        <f>S443*$AJ$3</f>
        <v>149.40948</v>
      </c>
      <c r="AK443" s="156">
        <f>S443*$AK$3</f>
        <v>522.93318000000011</v>
      </c>
      <c r="AL443" s="157">
        <f t="shared" si="286"/>
        <v>2299.0383735</v>
      </c>
      <c r="AM443" s="158">
        <f t="shared" si="287"/>
        <v>2200</v>
      </c>
      <c r="AN443" s="159">
        <v>0.2</v>
      </c>
      <c r="AO443" s="160">
        <f t="shared" si="288"/>
        <v>61086288.069896758</v>
      </c>
      <c r="AP443" s="161">
        <f t="shared" si="289"/>
        <v>16968.414710222169</v>
      </c>
      <c r="AQ443" s="162">
        <f t="shared" si="290"/>
        <v>3393.6829420444337</v>
      </c>
      <c r="AR443" s="580">
        <f t="shared" si="291"/>
        <v>0.48425841067985642</v>
      </c>
      <c r="AS443" s="582">
        <f t="shared" si="292"/>
        <v>0.48425841067985642</v>
      </c>
      <c r="AT443" s="588"/>
      <c r="AU443" s="166"/>
      <c r="AV443" s="167"/>
      <c r="AW443" s="146"/>
      <c r="AX443" s="168"/>
    </row>
    <row r="444" spans="1:50" ht="11.25" x14ac:dyDescent="0.25">
      <c r="A444" s="140">
        <v>13</v>
      </c>
      <c r="B444" s="354" t="s">
        <v>467</v>
      </c>
      <c r="C444" s="235"/>
      <c r="D444" s="236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>
        <v>63721</v>
      </c>
      <c r="O444" s="237"/>
      <c r="P444" s="223">
        <f t="shared" si="282"/>
        <v>63721</v>
      </c>
      <c r="Q444" s="147">
        <f t="shared" si="283"/>
        <v>7009.31</v>
      </c>
      <c r="R444" s="147">
        <f t="shared" si="284"/>
        <v>19.203589041095892</v>
      </c>
      <c r="S444" s="148">
        <f t="shared" si="285"/>
        <v>4205.5860000000002</v>
      </c>
      <c r="T444" s="199"/>
      <c r="U444" s="150"/>
      <c r="V444" s="249"/>
      <c r="W444" s="249"/>
      <c r="X444" s="152"/>
      <c r="Y444" s="153"/>
      <c r="Z444" s="153"/>
      <c r="AA444" s="154"/>
      <c r="AB444" s="155">
        <f>S444*$AB$3</f>
        <v>2439.2398800000001</v>
      </c>
      <c r="AC444" s="156">
        <f>S444*$AC$3</f>
        <v>546.72618</v>
      </c>
      <c r="AD444" s="156">
        <f>S444*$AD$3</f>
        <v>369.04017149999999</v>
      </c>
      <c r="AE444" s="156">
        <f>S444*$AE$3</f>
        <v>168.22344000000001</v>
      </c>
      <c r="AF444" s="156">
        <f>S444*$AF$3</f>
        <v>84.111720000000005</v>
      </c>
      <c r="AG444" s="156">
        <f>S444*$AG$3</f>
        <v>84.111720000000005</v>
      </c>
      <c r="AH444" s="156">
        <f>S444*$AH$3</f>
        <v>42.055860000000003</v>
      </c>
      <c r="AI444" s="156">
        <f>S444*$AI$3</f>
        <v>84.111720000000005</v>
      </c>
      <c r="AJ444" s="156">
        <f>S444*$AJ$3</f>
        <v>84.111720000000005</v>
      </c>
      <c r="AK444" s="156">
        <f>S444*$AK$3</f>
        <v>294.39102000000003</v>
      </c>
      <c r="AL444" s="157">
        <f t="shared" si="286"/>
        <v>1294.2690915000001</v>
      </c>
      <c r="AM444" s="158">
        <f t="shared" si="287"/>
        <v>2200</v>
      </c>
      <c r="AN444" s="159">
        <v>0.2</v>
      </c>
      <c r="AO444" s="160">
        <f t="shared" si="288"/>
        <v>34389201.79612764</v>
      </c>
      <c r="AP444" s="161">
        <f t="shared" si="289"/>
        <v>9552.5568186843848</v>
      </c>
      <c r="AQ444" s="162">
        <f t="shared" si="290"/>
        <v>1910.511363736877</v>
      </c>
      <c r="AR444" s="580">
        <f t="shared" si="291"/>
        <v>0.27261863067021647</v>
      </c>
      <c r="AS444" s="582">
        <f t="shared" si="292"/>
        <v>0.27261863067021647</v>
      </c>
      <c r="AT444" s="588"/>
      <c r="AU444" s="166"/>
      <c r="AV444" s="167"/>
      <c r="AW444" s="146"/>
      <c r="AX444" s="168"/>
    </row>
    <row r="445" spans="1:50" ht="11.25" x14ac:dyDescent="0.25">
      <c r="A445" s="140">
        <v>14</v>
      </c>
      <c r="B445" s="345" t="s">
        <v>468</v>
      </c>
      <c r="C445" s="235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>
        <v>232237</v>
      </c>
      <c r="O445" s="237"/>
      <c r="P445" s="223">
        <f t="shared" si="282"/>
        <v>232237</v>
      </c>
      <c r="Q445" s="147">
        <f t="shared" si="283"/>
        <v>25546.07</v>
      </c>
      <c r="R445" s="147">
        <f t="shared" si="284"/>
        <v>69.989232876712322</v>
      </c>
      <c r="S445" s="148">
        <f t="shared" si="285"/>
        <v>15327.641999999996</v>
      </c>
      <c r="T445" s="199"/>
      <c r="U445" s="150"/>
      <c r="V445" s="249"/>
      <c r="W445" s="249"/>
      <c r="X445" s="152"/>
      <c r="Y445" s="153"/>
      <c r="Z445" s="153"/>
      <c r="AA445" s="154"/>
      <c r="AB445" s="155">
        <f>S445*$AB$3</f>
        <v>8890.0323599999974</v>
      </c>
      <c r="AC445" s="156">
        <f>S445*$AC$3</f>
        <v>1992.5934599999996</v>
      </c>
      <c r="AD445" s="156">
        <f>S445*$AD$3</f>
        <v>1345.0005854999995</v>
      </c>
      <c r="AE445" s="156">
        <f>S445*$AE$3</f>
        <v>613.10567999999989</v>
      </c>
      <c r="AF445" s="156">
        <f>S445*$AF$3</f>
        <v>306.55283999999995</v>
      </c>
      <c r="AG445" s="156">
        <f>S445*$AG$3</f>
        <v>306.55283999999995</v>
      </c>
      <c r="AH445" s="156">
        <f>S445*$AH$3</f>
        <v>153.27641999999997</v>
      </c>
      <c r="AI445" s="156">
        <f>S445*$AI$3</f>
        <v>306.55283999999995</v>
      </c>
      <c r="AJ445" s="156">
        <f>S445*$AJ$3</f>
        <v>306.55283999999995</v>
      </c>
      <c r="AK445" s="156">
        <f>S445*$AK$3</f>
        <v>1072.9349399999999</v>
      </c>
      <c r="AL445" s="157">
        <f t="shared" si="286"/>
        <v>4717.0818254999995</v>
      </c>
      <c r="AM445" s="158">
        <f t="shared" si="287"/>
        <v>2200</v>
      </c>
      <c r="AN445" s="159">
        <v>0.2</v>
      </c>
      <c r="AO445" s="160">
        <f t="shared" si="288"/>
        <v>125334584.47807306</v>
      </c>
      <c r="AP445" s="161">
        <f t="shared" si="289"/>
        <v>34815.165140233279</v>
      </c>
      <c r="AQ445" s="162">
        <f t="shared" si="290"/>
        <v>6963.033028046656</v>
      </c>
      <c r="AR445" s="580">
        <f t="shared" si="291"/>
        <v>0.9935834800294886</v>
      </c>
      <c r="AS445" s="582">
        <f t="shared" si="292"/>
        <v>0.9935834800294886</v>
      </c>
      <c r="AT445" s="588"/>
      <c r="AU445" s="166"/>
      <c r="AV445" s="167"/>
      <c r="AW445" s="146"/>
      <c r="AX445" s="168"/>
    </row>
    <row r="446" spans="1:50" ht="11.25" x14ac:dyDescent="0.25">
      <c r="A446" s="140">
        <v>15</v>
      </c>
      <c r="B446" s="339" t="s">
        <v>469</v>
      </c>
      <c r="C446" s="235"/>
      <c r="D446" s="236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>
        <v>74403</v>
      </c>
      <c r="O446" s="237"/>
      <c r="P446" s="223">
        <f t="shared" si="282"/>
        <v>74403</v>
      </c>
      <c r="Q446" s="147">
        <f t="shared" si="283"/>
        <v>8184.33</v>
      </c>
      <c r="R446" s="147">
        <f t="shared" si="284"/>
        <v>22.422821917808218</v>
      </c>
      <c r="S446" s="148">
        <f t="shared" si="285"/>
        <v>4910.598</v>
      </c>
      <c r="T446" s="199"/>
      <c r="U446" s="150"/>
      <c r="V446" s="249"/>
      <c r="W446" s="249"/>
      <c r="X446" s="152"/>
      <c r="Y446" s="153"/>
      <c r="Z446" s="153"/>
      <c r="AA446" s="154"/>
      <c r="AB446" s="155">
        <f>S446*$AB$3</f>
        <v>2848.1468399999999</v>
      </c>
      <c r="AC446" s="156">
        <f>S446*$AC$3</f>
        <v>638.37774000000002</v>
      </c>
      <c r="AD446" s="156">
        <f>S446*$AD$3</f>
        <v>430.90497449999998</v>
      </c>
      <c r="AE446" s="156">
        <f>S446*$AE$3</f>
        <v>196.42392000000001</v>
      </c>
      <c r="AF446" s="156">
        <f>S446*$AF$3</f>
        <v>98.211960000000005</v>
      </c>
      <c r="AG446" s="156">
        <f>S446*$AG$3</f>
        <v>98.211960000000005</v>
      </c>
      <c r="AH446" s="156">
        <f>S446*$AH$3</f>
        <v>49.105980000000002</v>
      </c>
      <c r="AI446" s="156">
        <f>S446*$AI$3</f>
        <v>98.211960000000005</v>
      </c>
      <c r="AJ446" s="156">
        <f>S446*$AJ$3</f>
        <v>98.211960000000005</v>
      </c>
      <c r="AK446" s="156">
        <f>S446*$AK$3</f>
        <v>343.74186000000003</v>
      </c>
      <c r="AL446" s="157">
        <f t="shared" si="286"/>
        <v>1511.2365345000003</v>
      </c>
      <c r="AM446" s="158">
        <f t="shared" si="287"/>
        <v>2200</v>
      </c>
      <c r="AN446" s="159">
        <v>0.2</v>
      </c>
      <c r="AO446" s="160">
        <f t="shared" si="288"/>
        <v>40154105.887184523</v>
      </c>
      <c r="AP446" s="161">
        <f t="shared" si="289"/>
        <v>11153.919194309165</v>
      </c>
      <c r="AQ446" s="162">
        <f t="shared" si="290"/>
        <v>2230.7838388618329</v>
      </c>
      <c r="AR446" s="580">
        <f t="shared" si="291"/>
        <v>0.31831961170973644</v>
      </c>
      <c r="AS446" s="582">
        <f t="shared" si="292"/>
        <v>0.31831961170973644</v>
      </c>
      <c r="AT446" s="588"/>
      <c r="AU446" s="166"/>
      <c r="AV446" s="167"/>
      <c r="AW446" s="146"/>
      <c r="AX446" s="168"/>
    </row>
    <row r="447" spans="1:50" ht="11.25" x14ac:dyDescent="0.25">
      <c r="A447" s="140">
        <v>16</v>
      </c>
      <c r="B447" s="339" t="s">
        <v>470</v>
      </c>
      <c r="C447" s="235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>
        <v>122280</v>
      </c>
      <c r="O447" s="237"/>
      <c r="P447" s="223">
        <f t="shared" si="282"/>
        <v>122280</v>
      </c>
      <c r="Q447" s="147">
        <f t="shared" si="283"/>
        <v>13450.8</v>
      </c>
      <c r="R447" s="147">
        <f t="shared" si="284"/>
        <v>36.851506849315065</v>
      </c>
      <c r="S447" s="148">
        <f t="shared" si="285"/>
        <v>8070.48</v>
      </c>
      <c r="T447" s="199"/>
      <c r="U447" s="150"/>
      <c r="V447" s="249"/>
      <c r="W447" s="249"/>
      <c r="X447" s="152"/>
      <c r="Y447" s="153"/>
      <c r="Z447" s="153"/>
      <c r="AA447" s="154"/>
      <c r="AB447" s="155">
        <f>S447*$AB$3</f>
        <v>4680.8783999999996</v>
      </c>
      <c r="AC447" s="156">
        <f>S447*$AC$3</f>
        <v>1049.1623999999999</v>
      </c>
      <c r="AD447" s="156">
        <f>S447*$AD$3</f>
        <v>708.18461999999988</v>
      </c>
      <c r="AE447" s="156">
        <f>S447*$AE$3</f>
        <v>322.81919999999997</v>
      </c>
      <c r="AF447" s="156">
        <f>S447*$AF$3</f>
        <v>161.40959999999998</v>
      </c>
      <c r="AG447" s="156">
        <f>S447*$AG$3</f>
        <v>161.40959999999998</v>
      </c>
      <c r="AH447" s="156">
        <f>S447*$AH$3</f>
        <v>80.704799999999992</v>
      </c>
      <c r="AI447" s="156">
        <f>S447*$AI$3</f>
        <v>161.40959999999998</v>
      </c>
      <c r="AJ447" s="156">
        <f>S447*$AJ$3</f>
        <v>161.40959999999998</v>
      </c>
      <c r="AK447" s="156">
        <f>S447*$AK$3</f>
        <v>564.93360000000007</v>
      </c>
      <c r="AL447" s="157">
        <f t="shared" si="286"/>
        <v>2483.6902199999995</v>
      </c>
      <c r="AM447" s="158">
        <f t="shared" si="287"/>
        <v>2200</v>
      </c>
      <c r="AN447" s="159">
        <v>0.2</v>
      </c>
      <c r="AO447" s="160">
        <f t="shared" si="288"/>
        <v>65992554.976075187</v>
      </c>
      <c r="AP447" s="161">
        <f t="shared" si="289"/>
        <v>18331.266737633217</v>
      </c>
      <c r="AQ447" s="162">
        <f t="shared" si="290"/>
        <v>3666.2533475266437</v>
      </c>
      <c r="AR447" s="580">
        <f t="shared" si="291"/>
        <v>0.52315258954432697</v>
      </c>
      <c r="AS447" s="582">
        <f t="shared" si="292"/>
        <v>0.52315258954432697</v>
      </c>
      <c r="AT447" s="588"/>
      <c r="AU447" s="166"/>
      <c r="AV447" s="167"/>
      <c r="AW447" s="146"/>
      <c r="AX447" s="168"/>
    </row>
    <row r="448" spans="1:50" ht="11.25" x14ac:dyDescent="0.25">
      <c r="A448" s="140">
        <v>17</v>
      </c>
      <c r="B448" s="339" t="s">
        <v>471</v>
      </c>
      <c r="C448" s="235"/>
      <c r="D448" s="236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>
        <v>310573</v>
      </c>
      <c r="O448" s="237"/>
      <c r="P448" s="223">
        <f t="shared" si="282"/>
        <v>310573</v>
      </c>
      <c r="Q448" s="147">
        <f t="shared" si="283"/>
        <v>34163.03</v>
      </c>
      <c r="R448" s="147">
        <f t="shared" si="284"/>
        <v>93.597342465753428</v>
      </c>
      <c r="S448" s="148">
        <f t="shared" si="285"/>
        <v>20497.817999999999</v>
      </c>
      <c r="T448" s="199"/>
      <c r="U448" s="150"/>
      <c r="V448" s="249"/>
      <c r="W448" s="249"/>
      <c r="X448" s="152"/>
      <c r="Y448" s="153"/>
      <c r="Z448" s="153"/>
      <c r="AA448" s="154"/>
      <c r="AB448" s="155">
        <f>S448*$AB$3</f>
        <v>11888.734439999998</v>
      </c>
      <c r="AC448" s="156">
        <f>S448*$AC$3</f>
        <v>2664.7163399999999</v>
      </c>
      <c r="AD448" s="156">
        <f>S448*$AD$3</f>
        <v>1798.6835294999998</v>
      </c>
      <c r="AE448" s="156">
        <f>S448*$AE$3</f>
        <v>819.91272000000004</v>
      </c>
      <c r="AF448" s="156">
        <f>S448*$AF$3</f>
        <v>409.95636000000002</v>
      </c>
      <c r="AG448" s="156">
        <f>S448*$AG$3</f>
        <v>409.95636000000002</v>
      </c>
      <c r="AH448" s="156">
        <f>S448*$AH$3</f>
        <v>204.97818000000001</v>
      </c>
      <c r="AI448" s="156">
        <f>S448*$AI$3</f>
        <v>409.95636000000002</v>
      </c>
      <c r="AJ448" s="156">
        <f>S448*$AJ$3</f>
        <v>409.95636000000002</v>
      </c>
      <c r="AK448" s="156">
        <f>S448*$AK$3</f>
        <v>1434.84726</v>
      </c>
      <c r="AL448" s="157">
        <f t="shared" si="286"/>
        <v>6308.2034895000006</v>
      </c>
      <c r="AM448" s="158">
        <f t="shared" si="287"/>
        <v>2200</v>
      </c>
      <c r="AN448" s="159">
        <v>0.2</v>
      </c>
      <c r="AO448" s="160">
        <f t="shared" si="288"/>
        <v>167611267.39110732</v>
      </c>
      <c r="AP448" s="161">
        <f t="shared" si="289"/>
        <v>46558.689111113534</v>
      </c>
      <c r="AQ448" s="162">
        <f t="shared" si="290"/>
        <v>9311.7378222227071</v>
      </c>
      <c r="AR448" s="580">
        <f t="shared" si="291"/>
        <v>1.328729712075158</v>
      </c>
      <c r="AS448" s="582">
        <f t="shared" si="292"/>
        <v>1.328729712075158</v>
      </c>
      <c r="AT448" s="588"/>
      <c r="AU448" s="166"/>
      <c r="AV448" s="167"/>
      <c r="AW448" s="146"/>
      <c r="AX448" s="168"/>
    </row>
    <row r="449" spans="1:50" ht="11.25" x14ac:dyDescent="0.25">
      <c r="A449" s="140">
        <v>18</v>
      </c>
      <c r="B449" s="339" t="s">
        <v>472</v>
      </c>
      <c r="C449" s="235"/>
      <c r="D449" s="236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>
        <v>342892</v>
      </c>
      <c r="O449" s="237"/>
      <c r="P449" s="223">
        <f t="shared" si="282"/>
        <v>342892</v>
      </c>
      <c r="Q449" s="147">
        <f t="shared" si="283"/>
        <v>37718.120000000003</v>
      </c>
      <c r="R449" s="147">
        <f t="shared" si="284"/>
        <v>103.33731506849315</v>
      </c>
      <c r="S449" s="148">
        <f t="shared" si="285"/>
        <v>22630.871999999999</v>
      </c>
      <c r="T449" s="199"/>
      <c r="U449" s="150"/>
      <c r="V449" s="249"/>
      <c r="W449" s="249"/>
      <c r="X449" s="152"/>
      <c r="Y449" s="153"/>
      <c r="Z449" s="153"/>
      <c r="AA449" s="154"/>
      <c r="AB449" s="155">
        <f>S449*$AB$3</f>
        <v>13125.90576</v>
      </c>
      <c r="AC449" s="156">
        <f>S449*$AC$3</f>
        <v>2942.0133599999999</v>
      </c>
      <c r="AD449" s="156">
        <f>S449*$AD$3</f>
        <v>1985.8590179999999</v>
      </c>
      <c r="AE449" s="156">
        <f>S449*$AE$3</f>
        <v>905.23487999999998</v>
      </c>
      <c r="AF449" s="156">
        <f>S449*$AF$3</f>
        <v>452.61743999999999</v>
      </c>
      <c r="AG449" s="156">
        <f>S449*$AG$3</f>
        <v>452.61743999999999</v>
      </c>
      <c r="AH449" s="156">
        <f>S449*$AH$3</f>
        <v>226.30871999999999</v>
      </c>
      <c r="AI449" s="156">
        <f>S449*$AI$3</f>
        <v>452.61743999999999</v>
      </c>
      <c r="AJ449" s="156">
        <f>S449*$AJ$3</f>
        <v>452.61743999999999</v>
      </c>
      <c r="AK449" s="156">
        <f>S449*$AK$3</f>
        <v>1584.1610400000002</v>
      </c>
      <c r="AL449" s="157">
        <f t="shared" si="286"/>
        <v>6964.650858</v>
      </c>
      <c r="AM449" s="158">
        <f t="shared" si="287"/>
        <v>2200</v>
      </c>
      <c r="AN449" s="159">
        <v>0.2</v>
      </c>
      <c r="AO449" s="160">
        <f t="shared" si="288"/>
        <v>185053313.38613325</v>
      </c>
      <c r="AP449" s="161">
        <f t="shared" si="289"/>
        <v>51403.702275110641</v>
      </c>
      <c r="AQ449" s="162">
        <f t="shared" si="290"/>
        <v>10280.740455022129</v>
      </c>
      <c r="AR449" s="580">
        <f t="shared" si="291"/>
        <v>1.4670006357052126</v>
      </c>
      <c r="AS449" s="582">
        <f t="shared" si="292"/>
        <v>1.4670006357052126</v>
      </c>
      <c r="AT449" s="588"/>
      <c r="AU449" s="166"/>
      <c r="AV449" s="167"/>
      <c r="AW449" s="146"/>
      <c r="AX449" s="168"/>
    </row>
    <row r="450" spans="1:50" ht="11.25" x14ac:dyDescent="0.25">
      <c r="A450" s="140">
        <v>19</v>
      </c>
      <c r="B450" s="355" t="s">
        <v>473</v>
      </c>
      <c r="C450" s="235"/>
      <c r="D450" s="236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>
        <v>449881</v>
      </c>
      <c r="O450" s="237"/>
      <c r="P450" s="223">
        <f t="shared" si="282"/>
        <v>449881</v>
      </c>
      <c r="Q450" s="147">
        <f t="shared" si="283"/>
        <v>49486.91</v>
      </c>
      <c r="R450" s="147">
        <f t="shared" si="284"/>
        <v>135.58057534246575</v>
      </c>
      <c r="S450" s="148">
        <f t="shared" si="285"/>
        <v>29692.145999999997</v>
      </c>
      <c r="T450" s="199"/>
      <c r="U450" s="150"/>
      <c r="V450" s="249"/>
      <c r="W450" s="249"/>
      <c r="X450" s="152"/>
      <c r="Y450" s="153"/>
      <c r="Z450" s="153"/>
      <c r="AA450" s="154"/>
      <c r="AB450" s="155">
        <f>S450*$AB$3</f>
        <v>17221.444679999997</v>
      </c>
      <c r="AC450" s="156">
        <f>S450*$AC$3</f>
        <v>3859.9789799999999</v>
      </c>
      <c r="AD450" s="156">
        <f>S450*$AD$3</f>
        <v>2605.4858114999997</v>
      </c>
      <c r="AE450" s="156">
        <f>S450*$AE$3</f>
        <v>1187.6858399999999</v>
      </c>
      <c r="AF450" s="156">
        <f>S450*$AF$3</f>
        <v>593.84291999999994</v>
      </c>
      <c r="AG450" s="156">
        <f>S450*$AG$3</f>
        <v>593.84291999999994</v>
      </c>
      <c r="AH450" s="156">
        <f>S450*$AH$3</f>
        <v>296.92145999999997</v>
      </c>
      <c r="AI450" s="156">
        <f>S450*$AI$3</f>
        <v>593.84291999999994</v>
      </c>
      <c r="AJ450" s="156">
        <f>S450*$AJ$3</f>
        <v>593.84291999999994</v>
      </c>
      <c r="AK450" s="156">
        <f>S450*$AK$3</f>
        <v>2078.4502200000002</v>
      </c>
      <c r="AL450" s="157">
        <f t="shared" si="286"/>
        <v>9137.7579314999984</v>
      </c>
      <c r="AM450" s="158">
        <f t="shared" si="287"/>
        <v>2200</v>
      </c>
      <c r="AN450" s="159">
        <v>0.2</v>
      </c>
      <c r="AO450" s="160">
        <f t="shared" si="288"/>
        <v>242793560.88642201</v>
      </c>
      <c r="AP450" s="161">
        <f t="shared" si="289"/>
        <v>67442.661197196358</v>
      </c>
      <c r="AQ450" s="162">
        <f t="shared" si="290"/>
        <v>13488.532239439272</v>
      </c>
      <c r="AR450" s="580">
        <f t="shared" si="291"/>
        <v>1.9247334816551471</v>
      </c>
      <c r="AS450" s="582">
        <f t="shared" si="292"/>
        <v>1.9247334816551471</v>
      </c>
      <c r="AT450" s="588"/>
      <c r="AU450" s="166"/>
      <c r="AV450" s="167"/>
      <c r="AW450" s="146"/>
      <c r="AX450" s="168"/>
    </row>
    <row r="451" spans="1:50" ht="11.25" x14ac:dyDescent="0.25">
      <c r="A451" s="140">
        <v>20</v>
      </c>
      <c r="B451" s="338" t="s">
        <v>474</v>
      </c>
      <c r="C451" s="235"/>
      <c r="D451" s="236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>
        <v>234349</v>
      </c>
      <c r="O451" s="237"/>
      <c r="P451" s="223">
        <f t="shared" si="282"/>
        <v>234349</v>
      </c>
      <c r="Q451" s="147">
        <f t="shared" si="283"/>
        <v>25778.39</v>
      </c>
      <c r="R451" s="147">
        <f t="shared" si="284"/>
        <v>70.625726027397263</v>
      </c>
      <c r="S451" s="148">
        <f t="shared" si="285"/>
        <v>15467.034</v>
      </c>
      <c r="T451" s="199"/>
      <c r="U451" s="150"/>
      <c r="V451" s="249"/>
      <c r="W451" s="249"/>
      <c r="X451" s="152"/>
      <c r="Y451" s="153"/>
      <c r="Z451" s="153"/>
      <c r="AA451" s="154"/>
      <c r="AB451" s="155">
        <f>S451*$AB$3</f>
        <v>8970.879719999999</v>
      </c>
      <c r="AC451" s="156">
        <f>S451*$AC$3</f>
        <v>2010.71442</v>
      </c>
      <c r="AD451" s="156">
        <f>S451*$AD$3</f>
        <v>1357.2322334999999</v>
      </c>
      <c r="AE451" s="156">
        <f>S451*$AE$3</f>
        <v>618.68136000000004</v>
      </c>
      <c r="AF451" s="156">
        <f>S451*$AF$3</f>
        <v>309.34068000000002</v>
      </c>
      <c r="AG451" s="156">
        <f>S451*$AG$3</f>
        <v>309.34068000000002</v>
      </c>
      <c r="AH451" s="156">
        <f>S451*$AH$3</f>
        <v>154.67034000000001</v>
      </c>
      <c r="AI451" s="156">
        <f>S451*$AI$3</f>
        <v>309.34068000000002</v>
      </c>
      <c r="AJ451" s="156">
        <f>S451*$AJ$3</f>
        <v>309.34068000000002</v>
      </c>
      <c r="AK451" s="156">
        <f>S451*$AK$3</f>
        <v>1082.6923800000002</v>
      </c>
      <c r="AL451" s="157">
        <f t="shared" si="286"/>
        <v>4759.9797134999999</v>
      </c>
      <c r="AM451" s="158">
        <f t="shared" si="287"/>
        <v>2200</v>
      </c>
      <c r="AN451" s="159">
        <v>0.2</v>
      </c>
      <c r="AO451" s="160">
        <f t="shared" si="288"/>
        <v>126474397.00759114</v>
      </c>
      <c r="AP451" s="161">
        <f t="shared" si="289"/>
        <v>35131.779757095253</v>
      </c>
      <c r="AQ451" s="162">
        <f t="shared" si="290"/>
        <v>7026.3559514190511</v>
      </c>
      <c r="AR451" s="580">
        <f t="shared" si="291"/>
        <v>1.0026192853052298</v>
      </c>
      <c r="AS451" s="582">
        <f t="shared" si="292"/>
        <v>1.0026192853052298</v>
      </c>
      <c r="AT451" s="588"/>
      <c r="AU451" s="166"/>
      <c r="AV451" s="167"/>
      <c r="AW451" s="146"/>
      <c r="AX451" s="168"/>
    </row>
    <row r="452" spans="1:50" ht="11.25" x14ac:dyDescent="0.25">
      <c r="A452" s="140">
        <v>21</v>
      </c>
      <c r="B452" s="339" t="s">
        <v>475</v>
      </c>
      <c r="C452" s="235"/>
      <c r="D452" s="236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>
        <v>359266</v>
      </c>
      <c r="O452" s="237"/>
      <c r="P452" s="223">
        <f t="shared" si="282"/>
        <v>359266</v>
      </c>
      <c r="Q452" s="147">
        <f t="shared" si="283"/>
        <v>39519.26</v>
      </c>
      <c r="R452" s="147">
        <f t="shared" si="284"/>
        <v>108.27194520547945</v>
      </c>
      <c r="S452" s="148">
        <f t="shared" si="285"/>
        <v>23711.556</v>
      </c>
      <c r="T452" s="199"/>
      <c r="U452" s="150"/>
      <c r="V452" s="249"/>
      <c r="W452" s="249"/>
      <c r="X452" s="152"/>
      <c r="Y452" s="153"/>
      <c r="Z452" s="153"/>
      <c r="AA452" s="154"/>
      <c r="AB452" s="155">
        <f>S452*$AB$3</f>
        <v>13752.70248</v>
      </c>
      <c r="AC452" s="156">
        <f>S452*$AC$3</f>
        <v>3082.5022800000002</v>
      </c>
      <c r="AD452" s="156">
        <f>S452*$AD$3</f>
        <v>2080.6890389999999</v>
      </c>
      <c r="AE452" s="156">
        <f>S452*$AE$3</f>
        <v>948.46224000000007</v>
      </c>
      <c r="AF452" s="156">
        <f>S452*$AF$3</f>
        <v>474.23112000000003</v>
      </c>
      <c r="AG452" s="156">
        <f>S452*$AG$3</f>
        <v>474.23112000000003</v>
      </c>
      <c r="AH452" s="156">
        <f>S452*$AH$3</f>
        <v>237.11556000000002</v>
      </c>
      <c r="AI452" s="156">
        <f>S452*$AI$3</f>
        <v>474.23112000000003</v>
      </c>
      <c r="AJ452" s="156">
        <f>S452*$AJ$3</f>
        <v>474.23112000000003</v>
      </c>
      <c r="AK452" s="156">
        <f>S452*$AK$3</f>
        <v>1659.8089200000002</v>
      </c>
      <c r="AL452" s="157">
        <f t="shared" si="286"/>
        <v>7297.2313590000003</v>
      </c>
      <c r="AM452" s="158">
        <f t="shared" si="287"/>
        <v>2200</v>
      </c>
      <c r="AN452" s="159">
        <v>0.2</v>
      </c>
      <c r="AO452" s="160">
        <f t="shared" si="288"/>
        <v>193890098.59367543</v>
      </c>
      <c r="AP452" s="161">
        <f t="shared" si="289"/>
        <v>53858.365029134256</v>
      </c>
      <c r="AQ452" s="162">
        <f t="shared" si="290"/>
        <v>10771.673005826851</v>
      </c>
      <c r="AR452" s="580">
        <f t="shared" si="291"/>
        <v>1.5370537964935576</v>
      </c>
      <c r="AS452" s="582">
        <f t="shared" si="292"/>
        <v>1.5370537964935576</v>
      </c>
      <c r="AT452" s="588"/>
      <c r="AU452" s="166"/>
      <c r="AV452" s="167"/>
      <c r="AW452" s="146"/>
      <c r="AX452" s="168"/>
    </row>
    <row r="453" spans="1:50" s="263" customFormat="1" ht="11.25" x14ac:dyDescent="0.25">
      <c r="A453" s="225"/>
      <c r="B453" s="352" t="s">
        <v>476</v>
      </c>
      <c r="C453" s="240">
        <f>SUM(C432:C452)</f>
        <v>0</v>
      </c>
      <c r="D453" s="240">
        <f>SUM(D432:D452)</f>
        <v>0</v>
      </c>
      <c r="E453" s="240">
        <f t="shared" ref="E453:R453" si="293">SUM(E432:E452)</f>
        <v>0</v>
      </c>
      <c r="F453" s="240">
        <f t="shared" si="293"/>
        <v>0</v>
      </c>
      <c r="G453" s="240">
        <f t="shared" si="293"/>
        <v>0</v>
      </c>
      <c r="H453" s="240">
        <f t="shared" si="293"/>
        <v>0</v>
      </c>
      <c r="I453" s="240">
        <f t="shared" si="293"/>
        <v>0</v>
      </c>
      <c r="J453" s="240">
        <f t="shared" si="293"/>
        <v>0</v>
      </c>
      <c r="K453" s="240">
        <f t="shared" si="293"/>
        <v>0</v>
      </c>
      <c r="L453" s="240">
        <f t="shared" si="293"/>
        <v>0</v>
      </c>
      <c r="M453" s="240">
        <f t="shared" si="293"/>
        <v>0</v>
      </c>
      <c r="N453" s="240">
        <f>SUM(N432:N452)</f>
        <v>4776485</v>
      </c>
      <c r="O453" s="240">
        <f t="shared" si="293"/>
        <v>0</v>
      </c>
      <c r="P453" s="240">
        <f t="shared" si="293"/>
        <v>4776485</v>
      </c>
      <c r="Q453" s="240">
        <f t="shared" si="293"/>
        <v>525413.35</v>
      </c>
      <c r="R453" s="240">
        <f t="shared" si="293"/>
        <v>1439.4886301369866</v>
      </c>
      <c r="S453" s="240">
        <f>SUM(S432:S452)</f>
        <v>315248.00999999995</v>
      </c>
      <c r="T453" s="199"/>
      <c r="U453" s="179"/>
      <c r="V453" s="180"/>
      <c r="W453" s="180"/>
      <c r="X453" s="227"/>
      <c r="Y453" s="181"/>
      <c r="Z453" s="181"/>
      <c r="AA453" s="182"/>
      <c r="AB453" s="240">
        <f t="shared" ref="AB453:AL453" si="294">SUM(AB432:AB452)</f>
        <v>182843.84579999998</v>
      </c>
      <c r="AC453" s="240">
        <f t="shared" si="294"/>
        <v>40982.241300000002</v>
      </c>
      <c r="AD453" s="240">
        <f t="shared" si="294"/>
        <v>27663.012877499998</v>
      </c>
      <c r="AE453" s="240">
        <f t="shared" si="294"/>
        <v>12609.920399999999</v>
      </c>
      <c r="AF453" s="240">
        <f t="shared" si="294"/>
        <v>6304.9601999999995</v>
      </c>
      <c r="AG453" s="240">
        <f t="shared" si="294"/>
        <v>6304.9601999999995</v>
      </c>
      <c r="AH453" s="240">
        <f t="shared" si="294"/>
        <v>3152.4800999999998</v>
      </c>
      <c r="AI453" s="240">
        <f t="shared" si="294"/>
        <v>6304.9601999999995</v>
      </c>
      <c r="AJ453" s="240">
        <f t="shared" si="294"/>
        <v>6304.9601999999995</v>
      </c>
      <c r="AK453" s="240">
        <f t="shared" si="294"/>
        <v>22067.360700000001</v>
      </c>
      <c r="AL453" s="240">
        <f t="shared" si="294"/>
        <v>97017.575077499976</v>
      </c>
      <c r="AM453" s="261"/>
      <c r="AN453" s="262"/>
      <c r="AO453" s="240">
        <f t="shared" ref="AO453:AW453" si="295">SUM(AO432:AO452)</f>
        <v>2577792353.2458172</v>
      </c>
      <c r="AP453" s="240">
        <f t="shared" si="295"/>
        <v>716053.48874144582</v>
      </c>
      <c r="AQ453" s="240">
        <f t="shared" si="295"/>
        <v>143210.69774828918</v>
      </c>
      <c r="AR453" s="593">
        <f t="shared" si="295"/>
        <v>20.435316459516152</v>
      </c>
      <c r="AS453" s="244">
        <f t="shared" si="295"/>
        <v>20.435316459516152</v>
      </c>
      <c r="AT453" s="594">
        <f t="shared" si="295"/>
        <v>0</v>
      </c>
      <c r="AU453" s="240">
        <f t="shared" si="295"/>
        <v>0</v>
      </c>
      <c r="AV453" s="240">
        <f t="shared" si="295"/>
        <v>0</v>
      </c>
      <c r="AW453" s="240">
        <f t="shared" si="295"/>
        <v>0</v>
      </c>
      <c r="AX453" s="189"/>
    </row>
    <row r="454" spans="1:50" s="139" customFormat="1" ht="11.25" x14ac:dyDescent="0.25">
      <c r="A454" s="247"/>
      <c r="B454" s="152"/>
      <c r="C454" s="247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248"/>
      <c r="P454" s="249"/>
      <c r="Q454" s="250"/>
      <c r="R454" s="250"/>
      <c r="S454" s="251"/>
      <c r="T454" s="199"/>
      <c r="U454" s="179"/>
      <c r="V454" s="249"/>
      <c r="W454" s="249"/>
      <c r="X454" s="152"/>
      <c r="Y454" s="153"/>
      <c r="Z454" s="153"/>
      <c r="AA454" s="154"/>
      <c r="AB454" s="247"/>
      <c r="AC454" s="252"/>
      <c r="AD454" s="252"/>
      <c r="AE454" s="252"/>
      <c r="AF454" s="252"/>
      <c r="AG454" s="252"/>
      <c r="AH454" s="252"/>
      <c r="AI454" s="252"/>
      <c r="AJ454" s="252"/>
      <c r="AK454" s="252"/>
      <c r="AL454" s="214"/>
      <c r="AM454" s="203"/>
      <c r="AN454" s="204"/>
      <c r="AO454" s="203"/>
      <c r="AP454" s="205"/>
      <c r="AQ454" s="206"/>
      <c r="AR454" s="253"/>
      <c r="AS454" s="254"/>
      <c r="AT454" s="255"/>
      <c r="AU454" s="256"/>
      <c r="AV454" s="257"/>
      <c r="AW454" s="214"/>
      <c r="AX454" s="212"/>
    </row>
    <row r="455" spans="1:50" s="289" customFormat="1" ht="15.75" x14ac:dyDescent="0.25">
      <c r="A455" s="272"/>
      <c r="B455" s="356" t="s">
        <v>477</v>
      </c>
      <c r="C455" s="272">
        <f t="shared" ref="C455:S455" si="296">C429+C453</f>
        <v>0</v>
      </c>
      <c r="D455" s="272">
        <f t="shared" si="296"/>
        <v>0</v>
      </c>
      <c r="E455" s="272">
        <f t="shared" si="296"/>
        <v>0</v>
      </c>
      <c r="F455" s="272">
        <f t="shared" si="296"/>
        <v>0</v>
      </c>
      <c r="G455" s="272">
        <f t="shared" si="296"/>
        <v>0</v>
      </c>
      <c r="H455" s="272">
        <f t="shared" si="296"/>
        <v>0</v>
      </c>
      <c r="I455" s="272">
        <f t="shared" si="296"/>
        <v>0</v>
      </c>
      <c r="J455" s="272">
        <f t="shared" si="296"/>
        <v>4292491</v>
      </c>
      <c r="K455" s="272">
        <f t="shared" si="296"/>
        <v>4363756</v>
      </c>
      <c r="L455" s="272">
        <f t="shared" si="296"/>
        <v>4434012</v>
      </c>
      <c r="M455" s="272">
        <f t="shared" si="296"/>
        <v>4500212</v>
      </c>
      <c r="N455" s="272">
        <f t="shared" si="296"/>
        <v>9358888</v>
      </c>
      <c r="O455" s="272">
        <f t="shared" si="296"/>
        <v>0</v>
      </c>
      <c r="P455" s="272">
        <f t="shared" si="296"/>
        <v>9358888</v>
      </c>
      <c r="Q455" s="272">
        <f t="shared" si="296"/>
        <v>1142879.7140000002</v>
      </c>
      <c r="R455" s="272">
        <f t="shared" si="296"/>
        <v>3131.1772986301371</v>
      </c>
      <c r="S455" s="272">
        <f t="shared" si="296"/>
        <v>743891.17379999999</v>
      </c>
      <c r="T455" s="276"/>
      <c r="U455" s="277"/>
      <c r="V455" s="278"/>
      <c r="W455" s="278"/>
      <c r="X455" s="279"/>
      <c r="Y455" s="280"/>
      <c r="Z455" s="280"/>
      <c r="AA455" s="281"/>
      <c r="AB455" s="272">
        <f t="shared" ref="AB455:AL455" si="297">AB429+AB453</f>
        <v>431456.88080400001</v>
      </c>
      <c r="AC455" s="272">
        <f t="shared" si="297"/>
        <v>96705.852593999996</v>
      </c>
      <c r="AD455" s="272">
        <f t="shared" si="297"/>
        <v>65276.450500949999</v>
      </c>
      <c r="AE455" s="272">
        <f t="shared" si="297"/>
        <v>29755.646952000003</v>
      </c>
      <c r="AF455" s="272">
        <f t="shared" si="297"/>
        <v>14877.823476000001</v>
      </c>
      <c r="AG455" s="272">
        <f t="shared" si="297"/>
        <v>14877.823476000001</v>
      </c>
      <c r="AH455" s="272">
        <f t="shared" si="297"/>
        <v>7438.9117380000007</v>
      </c>
      <c r="AI455" s="272">
        <f t="shared" si="297"/>
        <v>14877.823476000001</v>
      </c>
      <c r="AJ455" s="272">
        <f t="shared" si="297"/>
        <v>14877.823476000001</v>
      </c>
      <c r="AK455" s="272">
        <f t="shared" si="297"/>
        <v>52072.38216600001</v>
      </c>
      <c r="AL455" s="272">
        <f t="shared" si="297"/>
        <v>228932.50873694994</v>
      </c>
      <c r="AM455" s="284"/>
      <c r="AN455" s="285"/>
      <c r="AO455" s="272">
        <f t="shared" ref="AO455:AU455" si="298">AO429+AO453</f>
        <v>6082820251.4861069</v>
      </c>
      <c r="AP455" s="272">
        <f t="shared" si="298"/>
        <v>1689672.4272532577</v>
      </c>
      <c r="AQ455" s="272">
        <f t="shared" si="298"/>
        <v>337934.48545065155</v>
      </c>
      <c r="AR455" s="272">
        <f t="shared" si="298"/>
        <v>48.221245070013069</v>
      </c>
      <c r="AS455" s="272">
        <f t="shared" si="298"/>
        <v>48.221245070013069</v>
      </c>
      <c r="AT455" s="272">
        <f t="shared" si="298"/>
        <v>0</v>
      </c>
      <c r="AU455" s="272">
        <f t="shared" si="298"/>
        <v>0</v>
      </c>
      <c r="AV455" s="272"/>
      <c r="AW455" s="272">
        <f>AW429+AW453</f>
        <v>0</v>
      </c>
      <c r="AX455" s="288"/>
    </row>
    <row r="456" spans="1:50" s="139" customFormat="1" ht="11.25" x14ac:dyDescent="0.25">
      <c r="P456" s="310"/>
      <c r="Q456" s="310"/>
      <c r="R456" s="310"/>
      <c r="S456" s="310"/>
      <c r="T456" s="311"/>
      <c r="U456" s="312"/>
      <c r="V456" s="310"/>
      <c r="W456" s="310"/>
      <c r="Y456" s="86"/>
      <c r="Z456" s="86"/>
      <c r="AA456" s="313"/>
      <c r="AC456" s="314"/>
      <c r="AD456" s="314"/>
      <c r="AE456" s="314"/>
      <c r="AF456" s="314"/>
      <c r="AG456" s="314"/>
      <c r="AH456" s="314"/>
      <c r="AI456" s="314"/>
      <c r="AJ456" s="314"/>
      <c r="AK456" s="314"/>
      <c r="AL456" s="315"/>
      <c r="AM456" s="310"/>
      <c r="AN456" s="316"/>
      <c r="AO456" s="310"/>
      <c r="AP456" s="317"/>
      <c r="AQ456" s="317"/>
      <c r="AR456" s="318"/>
      <c r="AS456" s="318"/>
      <c r="AT456" s="319"/>
      <c r="AU456" s="310"/>
      <c r="AV456" s="310"/>
      <c r="AW456" s="310"/>
      <c r="AX456" s="310"/>
    </row>
    <row r="457" spans="1:50" s="139" customFormat="1" ht="11.25" x14ac:dyDescent="0.25">
      <c r="P457" s="310"/>
      <c r="Q457" s="310"/>
      <c r="R457" s="310"/>
      <c r="S457" s="310"/>
      <c r="T457" s="311"/>
      <c r="U457" s="312"/>
      <c r="V457" s="310"/>
      <c r="W457" s="310"/>
      <c r="Y457" s="86"/>
      <c r="Z457" s="86"/>
      <c r="AA457" s="313"/>
      <c r="AC457" s="314"/>
      <c r="AD457" s="314"/>
      <c r="AE457" s="314"/>
      <c r="AF457" s="314"/>
      <c r="AG457" s="314"/>
      <c r="AH457" s="314"/>
      <c r="AI457" s="314"/>
      <c r="AJ457" s="314"/>
      <c r="AK457" s="314"/>
      <c r="AL457" s="315"/>
      <c r="AM457" s="310"/>
      <c r="AN457" s="316"/>
      <c r="AO457" s="310"/>
      <c r="AP457" s="317"/>
      <c r="AQ457" s="317"/>
      <c r="AR457" s="318"/>
      <c r="AS457" s="318"/>
      <c r="AT457" s="319"/>
      <c r="AU457" s="310"/>
      <c r="AV457" s="310"/>
      <c r="AW457" s="310"/>
      <c r="AX457" s="310"/>
    </row>
    <row r="458" spans="1:50" s="326" customFormat="1" ht="18.75" x14ac:dyDescent="0.25">
      <c r="A458" s="291" t="s">
        <v>478</v>
      </c>
      <c r="B458" s="320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2"/>
      <c r="S458" s="321"/>
      <c r="T458" s="321"/>
      <c r="U458" s="321"/>
      <c r="V458" s="321"/>
      <c r="W458" s="321"/>
      <c r="X458" s="321"/>
      <c r="Y458" s="321"/>
      <c r="Z458" s="321"/>
      <c r="AA458" s="323"/>
      <c r="AB458" s="323"/>
      <c r="AC458" s="323"/>
      <c r="AD458" s="323"/>
      <c r="AE458" s="323"/>
      <c r="AF458" s="323"/>
      <c r="AG458" s="323"/>
      <c r="AH458" s="323"/>
      <c r="AI458" s="323"/>
      <c r="AJ458" s="323"/>
      <c r="AK458" s="323"/>
      <c r="AL458" s="323"/>
      <c r="AM458" s="324"/>
      <c r="AN458" s="321"/>
      <c r="AO458" s="325"/>
      <c r="AP458" s="325"/>
      <c r="AQ458" s="325"/>
      <c r="AR458" s="586"/>
      <c r="AS458" s="325"/>
      <c r="AT458" s="325"/>
      <c r="AU458" s="325"/>
      <c r="AV458" s="325"/>
      <c r="AW458" s="325"/>
      <c r="AX458" s="325"/>
    </row>
    <row r="459" spans="1:50" s="139" customFormat="1" ht="11.25" x14ac:dyDescent="0.25">
      <c r="A459" s="126"/>
      <c r="B459" s="352" t="s">
        <v>479</v>
      </c>
      <c r="C459" s="122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213"/>
      <c r="P459" s="76"/>
      <c r="Q459" s="108"/>
      <c r="R459" s="108"/>
      <c r="S459" s="94"/>
      <c r="T459" s="199"/>
      <c r="U459" s="179"/>
      <c r="V459" s="180"/>
      <c r="W459" s="180"/>
      <c r="X459" s="214"/>
      <c r="Y459" s="181"/>
      <c r="Z459" s="181"/>
      <c r="AA459" s="182"/>
      <c r="AB459" s="62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125"/>
      <c r="AM459" s="75"/>
      <c r="AN459" s="216"/>
      <c r="AO459" s="75"/>
      <c r="AP459" s="51"/>
      <c r="AQ459" s="217"/>
      <c r="AR459" s="583"/>
      <c r="AS459" s="584"/>
      <c r="AT459" s="220"/>
      <c r="AU459" s="135"/>
      <c r="AV459" s="136"/>
      <c r="AW459" s="137"/>
      <c r="AX459" s="138"/>
    </row>
    <row r="460" spans="1:50" s="139" customFormat="1" ht="11.25" x14ac:dyDescent="0.25">
      <c r="A460" s="357">
        <v>1</v>
      </c>
      <c r="B460" s="141" t="s">
        <v>480</v>
      </c>
      <c r="C460" s="142"/>
      <c r="D460" s="143"/>
      <c r="E460" s="143"/>
      <c r="F460" s="143"/>
      <c r="G460" s="143"/>
      <c r="H460" s="143"/>
      <c r="I460" s="143"/>
      <c r="J460" s="143"/>
      <c r="K460" s="143"/>
      <c r="L460" s="143"/>
      <c r="M460" s="222"/>
      <c r="N460" s="222">
        <v>215904</v>
      </c>
      <c r="O460" s="145"/>
      <c r="P460" s="223">
        <f t="shared" ref="P460:P474" si="299">MAX(C460:O460)</f>
        <v>215904</v>
      </c>
      <c r="Q460" s="147">
        <f t="shared" ref="Q460:Q474" si="300">P460*$Q$8</f>
        <v>23749.439999999999</v>
      </c>
      <c r="R460" s="147">
        <f t="shared" ref="R460:R474" si="301">Q460/$R$3</f>
        <v>65.066958904109583</v>
      </c>
      <c r="S460" s="148">
        <f t="shared" ref="S460:S474" si="302">R460*$S$3*$S$8</f>
        <v>14249.663999999999</v>
      </c>
      <c r="T460" s="199"/>
      <c r="U460" s="150"/>
      <c r="V460" s="151"/>
      <c r="W460" s="151"/>
      <c r="X460" s="152"/>
      <c r="Y460" s="153"/>
      <c r="Z460" s="153"/>
      <c r="AA460" s="154"/>
      <c r="AB460" s="155">
        <f>S460*$AB$3</f>
        <v>8264.8051199999991</v>
      </c>
      <c r="AC460" s="156">
        <f>S460*$AC$3</f>
        <v>1852.45632</v>
      </c>
      <c r="AD460" s="156">
        <f>S460*$AD$3</f>
        <v>1250.4080159999999</v>
      </c>
      <c r="AE460" s="156">
        <f>S460*$AE$3</f>
        <v>569.98655999999994</v>
      </c>
      <c r="AF460" s="156">
        <f>S460*$AF$3</f>
        <v>284.99327999999997</v>
      </c>
      <c r="AG460" s="156">
        <f>S460*$AG$3</f>
        <v>284.99327999999997</v>
      </c>
      <c r="AH460" s="156">
        <f>S460*$AH$3</f>
        <v>142.49663999999999</v>
      </c>
      <c r="AI460" s="156">
        <f>S460*$AI$3</f>
        <v>284.99327999999997</v>
      </c>
      <c r="AJ460" s="156">
        <f>S460*$AJ$3</f>
        <v>284.99327999999997</v>
      </c>
      <c r="AK460" s="156">
        <f>S460*$AK$3</f>
        <v>997.47648000000004</v>
      </c>
      <c r="AL460" s="157">
        <f t="shared" ref="AL460:AL474" si="303">SUM(AC460:AH460)</f>
        <v>4385.3340959999996</v>
      </c>
      <c r="AM460" s="158">
        <f t="shared" ref="AM460:AM474" si="304">$AM$3</f>
        <v>2200</v>
      </c>
      <c r="AN460" s="159">
        <v>0.2</v>
      </c>
      <c r="AO460" s="160">
        <f t="shared" ref="AO460:AO474" si="305">(AB460+AL460)*AM460*$AO$3</f>
        <v>116519926.31300735</v>
      </c>
      <c r="AP460" s="161">
        <f t="shared" ref="AP460:AP474" si="306">AO460*$AP$3</f>
        <v>32366.648787389295</v>
      </c>
      <c r="AQ460" s="162">
        <f t="shared" ref="AQ460:AQ474" si="307">AP460*$AQ$3</f>
        <v>6473.3297574778589</v>
      </c>
      <c r="AR460" s="580">
        <f t="shared" ref="AR460:AR474" si="308">AQ460/$AR$3</f>
        <v>0.92370573023371272</v>
      </c>
      <c r="AS460" s="582">
        <f t="shared" ref="AS460:AS474" si="309">AR460</f>
        <v>0.92370573023371272</v>
      </c>
      <c r="AT460" s="165"/>
      <c r="AU460" s="166"/>
      <c r="AV460" s="167"/>
      <c r="AW460" s="146"/>
      <c r="AX460" s="168"/>
    </row>
    <row r="461" spans="1:50" s="139" customFormat="1" ht="11.25" x14ac:dyDescent="0.25">
      <c r="A461" s="357">
        <v>2</v>
      </c>
      <c r="B461" s="169" t="s">
        <v>481</v>
      </c>
      <c r="C461" s="142"/>
      <c r="D461" s="143"/>
      <c r="E461" s="143"/>
      <c r="F461" s="143"/>
      <c r="G461" s="143"/>
      <c r="H461" s="143"/>
      <c r="I461" s="143"/>
      <c r="J461" s="143"/>
      <c r="K461" s="143"/>
      <c r="L461" s="143"/>
      <c r="M461" s="222"/>
      <c r="N461" s="222">
        <v>57648</v>
      </c>
      <c r="O461" s="145"/>
      <c r="P461" s="223">
        <f t="shared" si="299"/>
        <v>57648</v>
      </c>
      <c r="Q461" s="147">
        <f t="shared" si="300"/>
        <v>6341.28</v>
      </c>
      <c r="R461" s="147">
        <f t="shared" si="301"/>
        <v>17.373369863013696</v>
      </c>
      <c r="S461" s="148">
        <f t="shared" si="302"/>
        <v>3804.7679999999991</v>
      </c>
      <c r="T461" s="199"/>
      <c r="U461" s="150"/>
      <c r="V461" s="151"/>
      <c r="W461" s="151"/>
      <c r="X461" s="152"/>
      <c r="Y461" s="153"/>
      <c r="Z461" s="153"/>
      <c r="AA461" s="154"/>
      <c r="AB461" s="155">
        <f>S461*$AB$3</f>
        <v>2206.7654399999992</v>
      </c>
      <c r="AC461" s="156">
        <f>S461*$AC$3</f>
        <v>494.6198399999999</v>
      </c>
      <c r="AD461" s="156">
        <f>S461*$AD$3</f>
        <v>333.86839199999991</v>
      </c>
      <c r="AE461" s="156">
        <f>S461*$AE$3</f>
        <v>152.19071999999997</v>
      </c>
      <c r="AF461" s="156">
        <f>S461*$AF$3</f>
        <v>76.095359999999985</v>
      </c>
      <c r="AG461" s="156">
        <f>S461*$AG$3</f>
        <v>76.095359999999985</v>
      </c>
      <c r="AH461" s="156">
        <f>S461*$AH$3</f>
        <v>38.047679999999993</v>
      </c>
      <c r="AI461" s="156">
        <f>S461*$AI$3</f>
        <v>76.095359999999985</v>
      </c>
      <c r="AJ461" s="156">
        <f>S461*$AJ$3</f>
        <v>76.095359999999985</v>
      </c>
      <c r="AK461" s="156">
        <f>S461*$AK$3</f>
        <v>266.33375999999998</v>
      </c>
      <c r="AL461" s="157">
        <f t="shared" si="303"/>
        <v>1170.9173519999997</v>
      </c>
      <c r="AM461" s="158">
        <f t="shared" si="304"/>
        <v>2200</v>
      </c>
      <c r="AN461" s="159">
        <v>0.2</v>
      </c>
      <c r="AO461" s="160">
        <f t="shared" si="305"/>
        <v>31111701.089800309</v>
      </c>
      <c r="AP461" s="161">
        <f t="shared" si="306"/>
        <v>8642.139882982332</v>
      </c>
      <c r="AQ461" s="162">
        <f t="shared" si="307"/>
        <v>1728.4279765964666</v>
      </c>
      <c r="AR461" s="580">
        <f t="shared" si="308"/>
        <v>0.24663641218556887</v>
      </c>
      <c r="AS461" s="582">
        <f t="shared" si="309"/>
        <v>0.24663641218556887</v>
      </c>
      <c r="AT461" s="165"/>
      <c r="AU461" s="166"/>
      <c r="AV461" s="167"/>
      <c r="AW461" s="146"/>
      <c r="AX461" s="168"/>
    </row>
    <row r="462" spans="1:50" s="139" customFormat="1" ht="11.25" x14ac:dyDescent="0.25">
      <c r="A462" s="357">
        <v>3</v>
      </c>
      <c r="B462" s="169" t="s">
        <v>482</v>
      </c>
      <c r="C462" s="142"/>
      <c r="D462" s="143"/>
      <c r="E462" s="143"/>
      <c r="F462" s="143"/>
      <c r="G462" s="143"/>
      <c r="H462" s="143"/>
      <c r="I462" s="143"/>
      <c r="J462" s="143"/>
      <c r="K462" s="143"/>
      <c r="L462" s="143"/>
      <c r="M462" s="222"/>
      <c r="N462" s="222">
        <v>64370</v>
      </c>
      <c r="O462" s="145"/>
      <c r="P462" s="223">
        <f t="shared" si="299"/>
        <v>64370</v>
      </c>
      <c r="Q462" s="147">
        <f t="shared" si="300"/>
        <v>7080.7</v>
      </c>
      <c r="R462" s="147">
        <f t="shared" si="301"/>
        <v>19.399178082191781</v>
      </c>
      <c r="S462" s="148">
        <f t="shared" si="302"/>
        <v>4248.42</v>
      </c>
      <c r="T462" s="199"/>
      <c r="U462" s="150"/>
      <c r="V462" s="151"/>
      <c r="W462" s="151"/>
      <c r="X462" s="152"/>
      <c r="Y462" s="153"/>
      <c r="Z462" s="153"/>
      <c r="AA462" s="154"/>
      <c r="AB462" s="155">
        <f>S462*$AB$3</f>
        <v>2464.0835999999999</v>
      </c>
      <c r="AC462" s="156">
        <f>S462*$AC$3</f>
        <v>552.29460000000006</v>
      </c>
      <c r="AD462" s="156">
        <f>S462*$AD$3</f>
        <v>372.798855</v>
      </c>
      <c r="AE462" s="156">
        <f>S462*$AE$3</f>
        <v>169.93680000000001</v>
      </c>
      <c r="AF462" s="156">
        <f>S462*$AF$3</f>
        <v>84.968400000000003</v>
      </c>
      <c r="AG462" s="156">
        <f>S462*$AG$3</f>
        <v>84.968400000000003</v>
      </c>
      <c r="AH462" s="156">
        <f>S462*$AH$3</f>
        <v>42.484200000000001</v>
      </c>
      <c r="AI462" s="156">
        <f>S462*$AI$3</f>
        <v>84.968400000000003</v>
      </c>
      <c r="AJ462" s="156">
        <f>S462*$AJ$3</f>
        <v>84.968400000000003</v>
      </c>
      <c r="AK462" s="156">
        <f>S462*$AK$3</f>
        <v>297.38940000000002</v>
      </c>
      <c r="AL462" s="157">
        <f t="shared" si="303"/>
        <v>1307.4512550000002</v>
      </c>
      <c r="AM462" s="158">
        <f t="shared" si="304"/>
        <v>2200</v>
      </c>
      <c r="AN462" s="159">
        <v>0.2</v>
      </c>
      <c r="AO462" s="160">
        <f t="shared" si="305"/>
        <v>34739456.688010797</v>
      </c>
      <c r="AP462" s="161">
        <f t="shared" si="306"/>
        <v>9649.8498519909263</v>
      </c>
      <c r="AQ462" s="162">
        <f t="shared" si="307"/>
        <v>1929.9699703981853</v>
      </c>
      <c r="AR462" s="580">
        <f t="shared" si="308"/>
        <v>0.27539525833307438</v>
      </c>
      <c r="AS462" s="582">
        <f t="shared" si="309"/>
        <v>0.27539525833307438</v>
      </c>
      <c r="AT462" s="165"/>
      <c r="AU462" s="166"/>
      <c r="AV462" s="167"/>
      <c r="AW462" s="146"/>
      <c r="AX462" s="168"/>
    </row>
    <row r="463" spans="1:50" s="139" customFormat="1" ht="11.25" x14ac:dyDescent="0.25">
      <c r="A463" s="357">
        <v>4</v>
      </c>
      <c r="B463" s="169" t="s">
        <v>483</v>
      </c>
      <c r="C463" s="142"/>
      <c r="D463" s="143"/>
      <c r="E463" s="143"/>
      <c r="F463" s="143"/>
      <c r="G463" s="143"/>
      <c r="H463" s="143"/>
      <c r="I463" s="143"/>
      <c r="J463" s="143"/>
      <c r="K463" s="143"/>
      <c r="L463" s="143"/>
      <c r="M463" s="222"/>
      <c r="N463" s="222">
        <v>71564</v>
      </c>
      <c r="O463" s="145"/>
      <c r="P463" s="223">
        <f t="shared" si="299"/>
        <v>71564</v>
      </c>
      <c r="Q463" s="147">
        <f t="shared" si="300"/>
        <v>7872.04</v>
      </c>
      <c r="R463" s="147">
        <f t="shared" si="301"/>
        <v>21.567232876712328</v>
      </c>
      <c r="S463" s="148">
        <f t="shared" si="302"/>
        <v>4723.2240000000002</v>
      </c>
      <c r="T463" s="199"/>
      <c r="U463" s="150"/>
      <c r="V463" s="151"/>
      <c r="W463" s="151"/>
      <c r="X463" s="152"/>
      <c r="Y463" s="153"/>
      <c r="Z463" s="153"/>
      <c r="AA463" s="154"/>
      <c r="AB463" s="155">
        <f>S463*$AB$3</f>
        <v>2739.46992</v>
      </c>
      <c r="AC463" s="156">
        <f>S463*$AC$3</f>
        <v>614.01912000000004</v>
      </c>
      <c r="AD463" s="156">
        <f>S463*$AD$3</f>
        <v>414.46290599999998</v>
      </c>
      <c r="AE463" s="156">
        <f>S463*$AE$3</f>
        <v>188.92896000000002</v>
      </c>
      <c r="AF463" s="156">
        <f>S463*$AF$3</f>
        <v>94.464480000000009</v>
      </c>
      <c r="AG463" s="156">
        <f>S463*$AG$3</f>
        <v>94.464480000000009</v>
      </c>
      <c r="AH463" s="156">
        <f>S463*$AH$3</f>
        <v>47.232240000000004</v>
      </c>
      <c r="AI463" s="156">
        <f>S463*$AI$3</f>
        <v>94.464480000000009</v>
      </c>
      <c r="AJ463" s="156">
        <f>S463*$AJ$3</f>
        <v>94.464480000000009</v>
      </c>
      <c r="AK463" s="156">
        <f>S463*$AK$3</f>
        <v>330.62568000000005</v>
      </c>
      <c r="AL463" s="157">
        <f t="shared" si="303"/>
        <v>1453.5721860000003</v>
      </c>
      <c r="AM463" s="158">
        <f t="shared" si="304"/>
        <v>2200</v>
      </c>
      <c r="AN463" s="159">
        <v>0.2</v>
      </c>
      <c r="AO463" s="160">
        <f t="shared" si="305"/>
        <v>38621943.116681762</v>
      </c>
      <c r="AP463" s="161">
        <f t="shared" si="306"/>
        <v>10728.318390677003</v>
      </c>
      <c r="AQ463" s="162">
        <f t="shared" si="307"/>
        <v>2145.6636781354005</v>
      </c>
      <c r="AR463" s="580">
        <f t="shared" si="308"/>
        <v>0.30617347005356743</v>
      </c>
      <c r="AS463" s="582">
        <f t="shared" si="309"/>
        <v>0.30617347005356743</v>
      </c>
      <c r="AT463" s="165"/>
      <c r="AU463" s="166"/>
      <c r="AV463" s="167"/>
      <c r="AW463" s="146"/>
      <c r="AX463" s="168"/>
    </row>
    <row r="464" spans="1:50" s="139" customFormat="1" ht="11.25" x14ac:dyDescent="0.25">
      <c r="A464" s="357">
        <v>5</v>
      </c>
      <c r="B464" s="170" t="s">
        <v>484</v>
      </c>
      <c r="C464" s="142"/>
      <c r="D464" s="143"/>
      <c r="E464" s="143"/>
      <c r="F464" s="143"/>
      <c r="G464" s="143"/>
      <c r="H464" s="143"/>
      <c r="I464" s="143"/>
      <c r="J464" s="143"/>
      <c r="K464" s="143"/>
      <c r="L464" s="143"/>
      <c r="M464" s="222"/>
      <c r="N464" s="222">
        <v>127520</v>
      </c>
      <c r="O464" s="145"/>
      <c r="P464" s="223">
        <f t="shared" si="299"/>
        <v>127520</v>
      </c>
      <c r="Q464" s="147">
        <f t="shared" si="300"/>
        <v>14027.2</v>
      </c>
      <c r="R464" s="147">
        <f t="shared" si="301"/>
        <v>38.430684931506853</v>
      </c>
      <c r="S464" s="148">
        <f t="shared" si="302"/>
        <v>8416.32</v>
      </c>
      <c r="T464" s="199"/>
      <c r="U464" s="150"/>
      <c r="V464" s="151"/>
      <c r="W464" s="151"/>
      <c r="X464" s="152"/>
      <c r="Y464" s="153"/>
      <c r="Z464" s="153"/>
      <c r="AA464" s="154"/>
      <c r="AB464" s="155">
        <f>S464*$AB$3</f>
        <v>4881.4655999999995</v>
      </c>
      <c r="AC464" s="156">
        <f>S464*$AC$3</f>
        <v>1094.1215999999999</v>
      </c>
      <c r="AD464" s="156">
        <f>S464*$AD$3</f>
        <v>738.53207999999995</v>
      </c>
      <c r="AE464" s="156">
        <f>S464*$AE$3</f>
        <v>336.65280000000001</v>
      </c>
      <c r="AF464" s="156">
        <f>S464*$AF$3</f>
        <v>168.32640000000001</v>
      </c>
      <c r="AG464" s="156">
        <f>S464*$AG$3</f>
        <v>168.32640000000001</v>
      </c>
      <c r="AH464" s="156">
        <f>S464*$AH$3</f>
        <v>84.163200000000003</v>
      </c>
      <c r="AI464" s="156">
        <f>S464*$AI$3</f>
        <v>168.32640000000001</v>
      </c>
      <c r="AJ464" s="156">
        <f>S464*$AJ$3</f>
        <v>168.32640000000001</v>
      </c>
      <c r="AK464" s="156">
        <f>S464*$AK$3</f>
        <v>589.14240000000007</v>
      </c>
      <c r="AL464" s="157">
        <f t="shared" si="303"/>
        <v>2590.1224799999995</v>
      </c>
      <c r="AM464" s="158">
        <f t="shared" si="304"/>
        <v>2200</v>
      </c>
      <c r="AN464" s="159">
        <v>0.2</v>
      </c>
      <c r="AO464" s="160">
        <f t="shared" si="305"/>
        <v>68820498.941356793</v>
      </c>
      <c r="AP464" s="161">
        <f t="shared" si="306"/>
        <v>19116.806790832419</v>
      </c>
      <c r="AQ464" s="162">
        <f t="shared" si="307"/>
        <v>3823.361358166484</v>
      </c>
      <c r="AR464" s="580">
        <f t="shared" si="308"/>
        <v>0.54557097005800281</v>
      </c>
      <c r="AS464" s="582">
        <f t="shared" si="309"/>
        <v>0.54557097005800281</v>
      </c>
      <c r="AT464" s="165"/>
      <c r="AU464" s="166"/>
      <c r="AV464" s="167"/>
      <c r="AW464" s="146"/>
      <c r="AX464" s="168"/>
    </row>
    <row r="465" spans="1:50" s="139" customFormat="1" ht="11.25" x14ac:dyDescent="0.25">
      <c r="A465" s="357">
        <v>6</v>
      </c>
      <c r="B465" s="170" t="s">
        <v>485</v>
      </c>
      <c r="C465" s="142"/>
      <c r="D465" s="143"/>
      <c r="E465" s="143"/>
      <c r="F465" s="143"/>
      <c r="G465" s="143"/>
      <c r="H465" s="143"/>
      <c r="I465" s="143"/>
      <c r="J465" s="143"/>
      <c r="K465" s="143"/>
      <c r="L465" s="143"/>
      <c r="M465" s="222"/>
      <c r="N465" s="222">
        <v>64516</v>
      </c>
      <c r="O465" s="145"/>
      <c r="P465" s="223">
        <f t="shared" si="299"/>
        <v>64516</v>
      </c>
      <c r="Q465" s="147">
        <f t="shared" si="300"/>
        <v>7096.76</v>
      </c>
      <c r="R465" s="147">
        <f t="shared" si="301"/>
        <v>19.443178082191782</v>
      </c>
      <c r="S465" s="148">
        <f t="shared" si="302"/>
        <v>4258.0559999999996</v>
      </c>
      <c r="T465" s="199"/>
      <c r="U465" s="150"/>
      <c r="V465" s="151"/>
      <c r="W465" s="151"/>
      <c r="X465" s="152"/>
      <c r="Y465" s="153"/>
      <c r="Z465" s="153"/>
      <c r="AA465" s="154"/>
      <c r="AB465" s="155">
        <f>S465*$AB$3</f>
        <v>2469.6724799999997</v>
      </c>
      <c r="AC465" s="156">
        <f>S465*$AC$3</f>
        <v>553.54728</v>
      </c>
      <c r="AD465" s="156">
        <f>S465*$AD$3</f>
        <v>373.64441399999993</v>
      </c>
      <c r="AE465" s="156">
        <f>S465*$AE$3</f>
        <v>170.32223999999999</v>
      </c>
      <c r="AF465" s="156">
        <f>S465*$AF$3</f>
        <v>85.161119999999997</v>
      </c>
      <c r="AG465" s="156">
        <f>S465*$AG$3</f>
        <v>85.161119999999997</v>
      </c>
      <c r="AH465" s="156">
        <f>S465*$AH$3</f>
        <v>42.580559999999998</v>
      </c>
      <c r="AI465" s="156">
        <f>S465*$AI$3</f>
        <v>85.161119999999997</v>
      </c>
      <c r="AJ465" s="156">
        <f>S465*$AJ$3</f>
        <v>85.161119999999997</v>
      </c>
      <c r="AK465" s="156">
        <f>S465*$AK$3</f>
        <v>298.06392</v>
      </c>
      <c r="AL465" s="157">
        <f t="shared" si="303"/>
        <v>1310.4167339999999</v>
      </c>
      <c r="AM465" s="158">
        <f t="shared" si="304"/>
        <v>2200</v>
      </c>
      <c r="AN465" s="159">
        <v>0.2</v>
      </c>
      <c r="AO465" s="160">
        <f t="shared" si="305"/>
        <v>34818250.546585433</v>
      </c>
      <c r="AP465" s="161">
        <f t="shared" si="306"/>
        <v>9671.7370366792984</v>
      </c>
      <c r="AQ465" s="162">
        <f t="shared" si="307"/>
        <v>1934.3474073358598</v>
      </c>
      <c r="AR465" s="580">
        <f t="shared" si="308"/>
        <v>0.27601989259929505</v>
      </c>
      <c r="AS465" s="582">
        <f t="shared" si="309"/>
        <v>0.27601989259929505</v>
      </c>
      <c r="AT465" s="165"/>
      <c r="AU465" s="166"/>
      <c r="AV465" s="167"/>
      <c r="AW465" s="146"/>
      <c r="AX465" s="168"/>
    </row>
    <row r="466" spans="1:50" s="139" customFormat="1" ht="11.25" x14ac:dyDescent="0.25">
      <c r="A466" s="357">
        <v>7</v>
      </c>
      <c r="B466" s="170" t="s">
        <v>486</v>
      </c>
      <c r="C466" s="142"/>
      <c r="D466" s="143"/>
      <c r="E466" s="143"/>
      <c r="F466" s="143"/>
      <c r="G466" s="143"/>
      <c r="H466" s="143"/>
      <c r="I466" s="143"/>
      <c r="J466" s="143"/>
      <c r="K466" s="143"/>
      <c r="L466" s="143"/>
      <c r="M466" s="222"/>
      <c r="N466" s="222">
        <v>84378</v>
      </c>
      <c r="O466" s="145"/>
      <c r="P466" s="223">
        <f t="shared" si="299"/>
        <v>84378</v>
      </c>
      <c r="Q466" s="147">
        <f t="shared" si="300"/>
        <v>9281.58</v>
      </c>
      <c r="R466" s="147">
        <f t="shared" si="301"/>
        <v>25.428986301369864</v>
      </c>
      <c r="S466" s="148">
        <f t="shared" si="302"/>
        <v>5568.9479999999994</v>
      </c>
      <c r="T466" s="199"/>
      <c r="U466" s="150"/>
      <c r="V466" s="151"/>
      <c r="W466" s="151"/>
      <c r="X466" s="152"/>
      <c r="Y466" s="153"/>
      <c r="Z466" s="153"/>
      <c r="AA466" s="154"/>
      <c r="AB466" s="155">
        <f>S466*$AB$3</f>
        <v>3229.9898399999993</v>
      </c>
      <c r="AC466" s="156">
        <f>S466*$AC$3</f>
        <v>723.96323999999993</v>
      </c>
      <c r="AD466" s="156">
        <f>S466*$AD$3</f>
        <v>488.67518699999994</v>
      </c>
      <c r="AE466" s="156">
        <f>S466*$AE$3</f>
        <v>222.75791999999998</v>
      </c>
      <c r="AF466" s="156">
        <f>S466*$AF$3</f>
        <v>111.37895999999999</v>
      </c>
      <c r="AG466" s="156">
        <f>S466*$AG$3</f>
        <v>111.37895999999999</v>
      </c>
      <c r="AH466" s="156">
        <f>S466*$AH$3</f>
        <v>55.689479999999996</v>
      </c>
      <c r="AI466" s="156">
        <f>S466*$AI$3</f>
        <v>111.37895999999999</v>
      </c>
      <c r="AJ466" s="156">
        <f>S466*$AJ$3</f>
        <v>111.37895999999999</v>
      </c>
      <c r="AK466" s="156">
        <f>S466*$AK$3</f>
        <v>389.82636000000002</v>
      </c>
      <c r="AL466" s="157">
        <f t="shared" si="303"/>
        <v>1713.8437469999999</v>
      </c>
      <c r="AM466" s="158">
        <f t="shared" si="304"/>
        <v>2200</v>
      </c>
      <c r="AN466" s="159">
        <v>0.2</v>
      </c>
      <c r="AO466" s="160">
        <f t="shared" si="305"/>
        <v>45537453.41651351</v>
      </c>
      <c r="AP466" s="161">
        <f t="shared" si="306"/>
        <v>12649.293627641606</v>
      </c>
      <c r="AQ466" s="162">
        <f t="shared" si="307"/>
        <v>2529.8587255283214</v>
      </c>
      <c r="AR466" s="580">
        <f t="shared" si="308"/>
        <v>0.36099582270666686</v>
      </c>
      <c r="AS466" s="582">
        <f t="shared" si="309"/>
        <v>0.36099582270666686</v>
      </c>
      <c r="AT466" s="165"/>
      <c r="AU466" s="166"/>
      <c r="AV466" s="167"/>
      <c r="AW466" s="146"/>
      <c r="AX466" s="168"/>
    </row>
    <row r="467" spans="1:50" s="139" customFormat="1" ht="11.25" x14ac:dyDescent="0.25">
      <c r="A467" s="357">
        <v>8</v>
      </c>
      <c r="B467" s="170" t="s">
        <v>487</v>
      </c>
      <c r="C467" s="142"/>
      <c r="D467" s="143"/>
      <c r="E467" s="143"/>
      <c r="F467" s="143"/>
      <c r="G467" s="143"/>
      <c r="H467" s="143"/>
      <c r="I467" s="143"/>
      <c r="J467" s="143"/>
      <c r="K467" s="143"/>
      <c r="L467" s="143"/>
      <c r="M467" s="222"/>
      <c r="N467" s="222">
        <v>313892</v>
      </c>
      <c r="O467" s="145"/>
      <c r="P467" s="223">
        <f t="shared" si="299"/>
        <v>313892</v>
      </c>
      <c r="Q467" s="147">
        <f t="shared" si="300"/>
        <v>34528.120000000003</v>
      </c>
      <c r="R467" s="147">
        <f t="shared" si="301"/>
        <v>94.597589041095901</v>
      </c>
      <c r="S467" s="148">
        <f t="shared" si="302"/>
        <v>20716.871999999999</v>
      </c>
      <c r="T467" s="199"/>
      <c r="U467" s="150"/>
      <c r="V467" s="151"/>
      <c r="W467" s="151"/>
      <c r="X467" s="152"/>
      <c r="Y467" s="153"/>
      <c r="Z467" s="153"/>
      <c r="AA467" s="154"/>
      <c r="AB467" s="155">
        <f>S467*$AB$3</f>
        <v>12015.785759999999</v>
      </c>
      <c r="AC467" s="156">
        <f>S467*$AC$3</f>
        <v>2693.1933600000002</v>
      </c>
      <c r="AD467" s="156">
        <f>S467*$AD$3</f>
        <v>1817.9055179999998</v>
      </c>
      <c r="AE467" s="156">
        <f>S467*$AE$3</f>
        <v>828.67488000000003</v>
      </c>
      <c r="AF467" s="156">
        <f>S467*$AF$3</f>
        <v>414.33744000000002</v>
      </c>
      <c r="AG467" s="156">
        <f>S467*$AG$3</f>
        <v>414.33744000000002</v>
      </c>
      <c r="AH467" s="156">
        <f>S467*$AH$3</f>
        <v>207.16872000000001</v>
      </c>
      <c r="AI467" s="156">
        <f>S467*$AI$3</f>
        <v>414.33744000000002</v>
      </c>
      <c r="AJ467" s="156">
        <f>S467*$AJ$3</f>
        <v>414.33744000000002</v>
      </c>
      <c r="AK467" s="156">
        <f>S467*$AK$3</f>
        <v>1450.1810400000002</v>
      </c>
      <c r="AL467" s="157">
        <f t="shared" si="303"/>
        <v>6375.6173579999995</v>
      </c>
      <c r="AM467" s="158">
        <f t="shared" si="304"/>
        <v>2200</v>
      </c>
      <c r="AN467" s="159">
        <v>0.2</v>
      </c>
      <c r="AO467" s="160">
        <f t="shared" si="305"/>
        <v>169402478.46377328</v>
      </c>
      <c r="AP467" s="161">
        <f t="shared" si="306"/>
        <v>47056.247782214319</v>
      </c>
      <c r="AQ467" s="162">
        <f t="shared" si="307"/>
        <v>9411.2495564428646</v>
      </c>
      <c r="AR467" s="580">
        <f t="shared" si="308"/>
        <v>1.3429294458394498</v>
      </c>
      <c r="AS467" s="582">
        <f t="shared" si="309"/>
        <v>1.3429294458394498</v>
      </c>
      <c r="AT467" s="165"/>
      <c r="AU467" s="166"/>
      <c r="AV467" s="167"/>
      <c r="AW467" s="146"/>
      <c r="AX467" s="168"/>
    </row>
    <row r="468" spans="1:50" s="139" customFormat="1" ht="11.25" x14ac:dyDescent="0.25">
      <c r="A468" s="357">
        <v>9</v>
      </c>
      <c r="B468" s="170" t="s">
        <v>488</v>
      </c>
      <c r="C468" s="142"/>
      <c r="D468" s="143"/>
      <c r="E468" s="143"/>
      <c r="F468" s="143"/>
      <c r="G468" s="143"/>
      <c r="H468" s="143"/>
      <c r="I468" s="143"/>
      <c r="J468" s="143"/>
      <c r="K468" s="143"/>
      <c r="L468" s="143"/>
      <c r="M468" s="222"/>
      <c r="N468" s="222">
        <v>197755</v>
      </c>
      <c r="O468" s="145"/>
      <c r="P468" s="223">
        <f t="shared" si="299"/>
        <v>197755</v>
      </c>
      <c r="Q468" s="147">
        <f t="shared" si="300"/>
        <v>21753.05</v>
      </c>
      <c r="R468" s="147">
        <f t="shared" si="301"/>
        <v>59.597397260273972</v>
      </c>
      <c r="S468" s="148">
        <f t="shared" si="302"/>
        <v>13051.83</v>
      </c>
      <c r="T468" s="199"/>
      <c r="U468" s="150"/>
      <c r="V468" s="151"/>
      <c r="W468" s="151"/>
      <c r="X468" s="152"/>
      <c r="Y468" s="153"/>
      <c r="Z468" s="153"/>
      <c r="AA468" s="154"/>
      <c r="AB468" s="155">
        <f>S468*$AB$3</f>
        <v>7570.0613999999996</v>
      </c>
      <c r="AC468" s="156">
        <f>S468*$AC$3</f>
        <v>1696.7379000000001</v>
      </c>
      <c r="AD468" s="156">
        <f>S468*$AD$3</f>
        <v>1145.2980825</v>
      </c>
      <c r="AE468" s="156">
        <f>S468*$AE$3</f>
        <v>522.07320000000004</v>
      </c>
      <c r="AF468" s="156">
        <f>S468*$AF$3</f>
        <v>261.03660000000002</v>
      </c>
      <c r="AG468" s="156">
        <f>S468*$AG$3</f>
        <v>261.03660000000002</v>
      </c>
      <c r="AH468" s="156">
        <f>S468*$AH$3</f>
        <v>130.51830000000001</v>
      </c>
      <c r="AI468" s="156">
        <f>S468*$AI$3</f>
        <v>261.03660000000002</v>
      </c>
      <c r="AJ468" s="156">
        <f>S468*$AJ$3</f>
        <v>261.03660000000002</v>
      </c>
      <c r="AK468" s="156">
        <f>S468*$AK$3</f>
        <v>913.62810000000013</v>
      </c>
      <c r="AL468" s="157">
        <f t="shared" si="303"/>
        <v>4016.7006825000003</v>
      </c>
      <c r="AM468" s="158">
        <f t="shared" si="304"/>
        <v>2200</v>
      </c>
      <c r="AN468" s="159">
        <v>0.2</v>
      </c>
      <c r="AO468" s="160">
        <f t="shared" si="305"/>
        <v>106725202.07142419</v>
      </c>
      <c r="AP468" s="161">
        <f t="shared" si="306"/>
        <v>29645.891835955652</v>
      </c>
      <c r="AQ468" s="162">
        <f t="shared" si="307"/>
        <v>5929.1783671911307</v>
      </c>
      <c r="AR468" s="580">
        <f t="shared" si="308"/>
        <v>0.84605855696220478</v>
      </c>
      <c r="AS468" s="435">
        <f t="shared" si="309"/>
        <v>0.84605855696220478</v>
      </c>
      <c r="AT468" s="187"/>
      <c r="AU468" s="166"/>
      <c r="AV468" s="167"/>
      <c r="AW468" s="146"/>
      <c r="AX468" s="168"/>
    </row>
    <row r="469" spans="1:50" s="139" customFormat="1" ht="11.25" x14ac:dyDescent="0.25">
      <c r="A469" s="357">
        <v>10</v>
      </c>
      <c r="B469" s="170" t="s">
        <v>489</v>
      </c>
      <c r="C469" s="142"/>
      <c r="D469" s="143"/>
      <c r="E469" s="143"/>
      <c r="F469" s="143"/>
      <c r="G469" s="143"/>
      <c r="H469" s="143"/>
      <c r="I469" s="143"/>
      <c r="J469" s="143"/>
      <c r="K469" s="143"/>
      <c r="L469" s="143"/>
      <c r="M469" s="222"/>
      <c r="N469" s="222">
        <v>101575</v>
      </c>
      <c r="O469" s="145"/>
      <c r="P469" s="223">
        <f t="shared" si="299"/>
        <v>101575</v>
      </c>
      <c r="Q469" s="147">
        <f t="shared" si="300"/>
        <v>11173.25</v>
      </c>
      <c r="R469" s="147">
        <f t="shared" si="301"/>
        <v>30.611643835616437</v>
      </c>
      <c r="S469" s="148">
        <f t="shared" si="302"/>
        <v>6703.95</v>
      </c>
      <c r="T469" s="199"/>
      <c r="U469" s="150"/>
      <c r="V469" s="151"/>
      <c r="W469" s="151"/>
      <c r="X469" s="152"/>
      <c r="Y469" s="153"/>
      <c r="Z469" s="153"/>
      <c r="AA469" s="154"/>
      <c r="AB469" s="155">
        <f>S469*$AB$3</f>
        <v>3888.2909999999997</v>
      </c>
      <c r="AC469" s="156">
        <f>S469*$AC$3</f>
        <v>871.51350000000002</v>
      </c>
      <c r="AD469" s="156">
        <f>S469*$AD$3</f>
        <v>588.27161249999995</v>
      </c>
      <c r="AE469" s="156">
        <f>S469*$AE$3</f>
        <v>268.15800000000002</v>
      </c>
      <c r="AF469" s="156">
        <f>S469*$AF$3</f>
        <v>134.07900000000001</v>
      </c>
      <c r="AG469" s="156">
        <f>S469*$AG$3</f>
        <v>134.07900000000001</v>
      </c>
      <c r="AH469" s="156">
        <f>S469*$AH$3</f>
        <v>67.039500000000004</v>
      </c>
      <c r="AI469" s="156">
        <f>S469*$AI$3</f>
        <v>134.07900000000001</v>
      </c>
      <c r="AJ469" s="156">
        <f>S469*$AJ$3</f>
        <v>134.07900000000001</v>
      </c>
      <c r="AK469" s="156">
        <f>S469*$AK$3</f>
        <v>469.27650000000006</v>
      </c>
      <c r="AL469" s="157">
        <f t="shared" si="303"/>
        <v>2063.1406124999999</v>
      </c>
      <c r="AM469" s="158">
        <f t="shared" si="304"/>
        <v>2200</v>
      </c>
      <c r="AN469" s="159">
        <v>0.2</v>
      </c>
      <c r="AO469" s="160">
        <f t="shared" si="305"/>
        <v>54818398.525472999</v>
      </c>
      <c r="AP469" s="161">
        <f t="shared" si="306"/>
        <v>15227.334141929134</v>
      </c>
      <c r="AQ469" s="162">
        <f t="shared" si="307"/>
        <v>3045.4668283858268</v>
      </c>
      <c r="AR469" s="580">
        <f t="shared" si="308"/>
        <v>0.43457003829706431</v>
      </c>
      <c r="AS469" s="582">
        <f t="shared" si="309"/>
        <v>0.43457003829706431</v>
      </c>
      <c r="AT469" s="165"/>
      <c r="AU469" s="166"/>
      <c r="AV469" s="167"/>
      <c r="AW469" s="146"/>
      <c r="AX469" s="168"/>
    </row>
    <row r="470" spans="1:50" s="139" customFormat="1" ht="11.25" x14ac:dyDescent="0.25">
      <c r="A470" s="357">
        <v>11</v>
      </c>
      <c r="B470" s="170" t="s">
        <v>490</v>
      </c>
      <c r="C470" s="142"/>
      <c r="D470" s="143"/>
      <c r="E470" s="143"/>
      <c r="F470" s="143"/>
      <c r="G470" s="143"/>
      <c r="H470" s="143"/>
      <c r="I470" s="143"/>
      <c r="J470" s="143"/>
      <c r="K470" s="143"/>
      <c r="L470" s="143"/>
      <c r="M470" s="222"/>
      <c r="N470" s="222">
        <v>191036</v>
      </c>
      <c r="O470" s="145"/>
      <c r="P470" s="223">
        <f t="shared" si="299"/>
        <v>191036</v>
      </c>
      <c r="Q470" s="147">
        <f t="shared" si="300"/>
        <v>21013.96</v>
      </c>
      <c r="R470" s="147">
        <f t="shared" si="301"/>
        <v>57.572493150684927</v>
      </c>
      <c r="S470" s="148">
        <f t="shared" si="302"/>
        <v>12608.375999999998</v>
      </c>
      <c r="T470" s="199"/>
      <c r="U470" s="150"/>
      <c r="V470" s="151"/>
      <c r="W470" s="151"/>
      <c r="X470" s="152"/>
      <c r="Y470" s="153"/>
      <c r="Z470" s="153"/>
      <c r="AA470" s="154"/>
      <c r="AB470" s="155">
        <f>S470*$AB$3</f>
        <v>7312.8580799999982</v>
      </c>
      <c r="AC470" s="156">
        <f>S470*$AC$3</f>
        <v>1639.0888799999998</v>
      </c>
      <c r="AD470" s="156">
        <f>S470*$AD$3</f>
        <v>1106.3849939999998</v>
      </c>
      <c r="AE470" s="156">
        <f>S470*$AE$3</f>
        <v>504.33503999999994</v>
      </c>
      <c r="AF470" s="156">
        <f>S470*$AF$3</f>
        <v>252.16751999999997</v>
      </c>
      <c r="AG470" s="156">
        <f>S470*$AG$3</f>
        <v>252.16751999999997</v>
      </c>
      <c r="AH470" s="156">
        <f>S470*$AH$3</f>
        <v>126.08375999999998</v>
      </c>
      <c r="AI470" s="156">
        <f>S470*$AI$3</f>
        <v>252.16751999999997</v>
      </c>
      <c r="AJ470" s="156">
        <f>S470*$AJ$3</f>
        <v>252.16751999999997</v>
      </c>
      <c r="AK470" s="156">
        <f>S470*$AK$3</f>
        <v>882.58632</v>
      </c>
      <c r="AL470" s="157">
        <f t="shared" si="303"/>
        <v>3880.2277139999992</v>
      </c>
      <c r="AM470" s="158">
        <f t="shared" si="304"/>
        <v>2200</v>
      </c>
      <c r="AN470" s="159">
        <v>0.2</v>
      </c>
      <c r="AO470" s="160">
        <f t="shared" si="305"/>
        <v>103099065.52510221</v>
      </c>
      <c r="AP470" s="161">
        <f t="shared" si="306"/>
        <v>28638.631603618738</v>
      </c>
      <c r="AQ470" s="162">
        <f t="shared" si="307"/>
        <v>5727.7263207237484</v>
      </c>
      <c r="AR470" s="580">
        <f t="shared" si="308"/>
        <v>0.81731254576537504</v>
      </c>
      <c r="AS470" s="582">
        <f t="shared" si="309"/>
        <v>0.81731254576537504</v>
      </c>
      <c r="AT470" s="165"/>
      <c r="AU470" s="166"/>
      <c r="AV470" s="167"/>
      <c r="AW470" s="146"/>
      <c r="AX470" s="168"/>
    </row>
    <row r="471" spans="1:50" s="139" customFormat="1" ht="11.25" x14ac:dyDescent="0.25">
      <c r="A471" s="357">
        <v>12</v>
      </c>
      <c r="B471" s="170" t="s">
        <v>491</v>
      </c>
      <c r="C471" s="142"/>
      <c r="D471" s="143"/>
      <c r="E471" s="143"/>
      <c r="F471" s="143"/>
      <c r="G471" s="143"/>
      <c r="H471" s="143"/>
      <c r="I471" s="143"/>
      <c r="J471" s="143"/>
      <c r="K471" s="143"/>
      <c r="L471" s="143"/>
      <c r="M471" s="222"/>
      <c r="N471" s="222">
        <v>189920</v>
      </c>
      <c r="O471" s="145"/>
      <c r="P471" s="223">
        <f t="shared" si="299"/>
        <v>189920</v>
      </c>
      <c r="Q471" s="147">
        <f t="shared" si="300"/>
        <v>20891.2</v>
      </c>
      <c r="R471" s="147">
        <f t="shared" si="301"/>
        <v>57.236164383561643</v>
      </c>
      <c r="S471" s="148">
        <f t="shared" si="302"/>
        <v>12534.72</v>
      </c>
      <c r="T471" s="199"/>
      <c r="U471" s="150"/>
      <c r="V471" s="151"/>
      <c r="W471" s="151"/>
      <c r="X471" s="152"/>
      <c r="Y471" s="153"/>
      <c r="Z471" s="153"/>
      <c r="AA471" s="154"/>
      <c r="AB471" s="155">
        <f>S471*$AB$3</f>
        <v>7270.1375999999991</v>
      </c>
      <c r="AC471" s="156">
        <f>S471*$AC$3</f>
        <v>1629.5136</v>
      </c>
      <c r="AD471" s="156">
        <f>S471*$AD$3</f>
        <v>1099.9216799999999</v>
      </c>
      <c r="AE471" s="156">
        <f>S471*$AE$3</f>
        <v>501.3888</v>
      </c>
      <c r="AF471" s="156">
        <f>S471*$AF$3</f>
        <v>250.6944</v>
      </c>
      <c r="AG471" s="156">
        <f>S471*$AG$3</f>
        <v>250.6944</v>
      </c>
      <c r="AH471" s="156">
        <f>S471*$AH$3</f>
        <v>125.3472</v>
      </c>
      <c r="AI471" s="156">
        <f>S471*$AI$3</f>
        <v>250.6944</v>
      </c>
      <c r="AJ471" s="156">
        <f>S471*$AJ$3</f>
        <v>250.6944</v>
      </c>
      <c r="AK471" s="156">
        <f>S471*$AK$3</f>
        <v>877.43040000000008</v>
      </c>
      <c r="AL471" s="157">
        <f t="shared" si="303"/>
        <v>3857.5600799999997</v>
      </c>
      <c r="AM471" s="158">
        <f t="shared" si="304"/>
        <v>2200</v>
      </c>
      <c r="AN471" s="159">
        <v>0.2</v>
      </c>
      <c r="AO471" s="160">
        <f t="shared" si="305"/>
        <v>102496778.22257279</v>
      </c>
      <c r="AP471" s="161">
        <f t="shared" si="306"/>
        <v>28471.329561754181</v>
      </c>
      <c r="AQ471" s="162">
        <f t="shared" si="307"/>
        <v>5694.2659123508365</v>
      </c>
      <c r="AR471" s="580">
        <f t="shared" si="308"/>
        <v>0.81253794411398927</v>
      </c>
      <c r="AS471" s="435">
        <f t="shared" si="309"/>
        <v>0.81253794411398927</v>
      </c>
      <c r="AT471" s="187"/>
      <c r="AU471" s="166"/>
      <c r="AV471" s="167"/>
      <c r="AW471" s="146"/>
      <c r="AX471" s="168"/>
    </row>
    <row r="472" spans="1:50" s="139" customFormat="1" ht="11.25" x14ac:dyDescent="0.25">
      <c r="A472" s="357">
        <v>13</v>
      </c>
      <c r="B472" s="170" t="s">
        <v>492</v>
      </c>
      <c r="C472" s="142"/>
      <c r="D472" s="143"/>
      <c r="E472" s="143"/>
      <c r="F472" s="143"/>
      <c r="G472" s="143"/>
      <c r="H472" s="143"/>
      <c r="I472" s="143"/>
      <c r="J472" s="143"/>
      <c r="K472" s="143"/>
      <c r="L472" s="143"/>
      <c r="M472" s="222"/>
      <c r="N472" s="222">
        <v>108891</v>
      </c>
      <c r="O472" s="145"/>
      <c r="P472" s="223">
        <f t="shared" si="299"/>
        <v>108891</v>
      </c>
      <c r="Q472" s="147">
        <f t="shared" si="300"/>
        <v>11978.01</v>
      </c>
      <c r="R472" s="147">
        <f t="shared" si="301"/>
        <v>32.816465753424659</v>
      </c>
      <c r="S472" s="148">
        <f t="shared" si="302"/>
        <v>7186.8059999999996</v>
      </c>
      <c r="T472" s="199"/>
      <c r="U472" s="150"/>
      <c r="V472" s="151"/>
      <c r="W472" s="151"/>
      <c r="X472" s="152"/>
      <c r="Y472" s="153"/>
      <c r="Z472" s="153"/>
      <c r="AA472" s="154"/>
      <c r="AB472" s="155">
        <f>S472*$AB$3</f>
        <v>4168.3474799999995</v>
      </c>
      <c r="AC472" s="156">
        <f>S472*$AC$3</f>
        <v>934.28477999999996</v>
      </c>
      <c r="AD472" s="156">
        <f>S472*$AD$3</f>
        <v>630.64222649999988</v>
      </c>
      <c r="AE472" s="156">
        <f>S472*$AE$3</f>
        <v>287.47224</v>
      </c>
      <c r="AF472" s="156">
        <f>S472*$AF$3</f>
        <v>143.73612</v>
      </c>
      <c r="AG472" s="156">
        <f>S472*$AG$3</f>
        <v>143.73612</v>
      </c>
      <c r="AH472" s="156">
        <f>S472*$AH$3</f>
        <v>71.86806</v>
      </c>
      <c r="AI472" s="156">
        <f>S472*$AI$3</f>
        <v>143.73612</v>
      </c>
      <c r="AJ472" s="156">
        <f>S472*$AJ$3</f>
        <v>143.73612</v>
      </c>
      <c r="AK472" s="156">
        <f>S472*$AK$3</f>
        <v>503.07642000000004</v>
      </c>
      <c r="AL472" s="157">
        <f t="shared" si="303"/>
        <v>2211.7395464999995</v>
      </c>
      <c r="AM472" s="158">
        <f t="shared" si="304"/>
        <v>2200</v>
      </c>
      <c r="AN472" s="159">
        <v>0.2</v>
      </c>
      <c r="AO472" s="160">
        <f t="shared" si="305"/>
        <v>58766726.397610433</v>
      </c>
      <c r="AP472" s="161">
        <f t="shared" si="306"/>
        <v>16324.091971930151</v>
      </c>
      <c r="AQ472" s="162">
        <f t="shared" si="307"/>
        <v>3264.8183943860304</v>
      </c>
      <c r="AR472" s="580">
        <f t="shared" si="308"/>
        <v>0.46587020467837192</v>
      </c>
      <c r="AS472" s="435">
        <f t="shared" si="309"/>
        <v>0.46587020467837192</v>
      </c>
      <c r="AT472" s="187"/>
      <c r="AU472" s="166"/>
      <c r="AV472" s="167"/>
      <c r="AW472" s="146"/>
      <c r="AX472" s="168"/>
    </row>
    <row r="473" spans="1:50" s="139" customFormat="1" ht="11.25" x14ac:dyDescent="0.25">
      <c r="A473" s="357">
        <v>14</v>
      </c>
      <c r="B473" s="170" t="s">
        <v>493</v>
      </c>
      <c r="C473" s="142"/>
      <c r="D473" s="143"/>
      <c r="E473" s="143"/>
      <c r="F473" s="143"/>
      <c r="G473" s="143"/>
      <c r="H473" s="143"/>
      <c r="I473" s="143"/>
      <c r="J473" s="143"/>
      <c r="K473" s="143"/>
      <c r="L473" s="143"/>
      <c r="M473" s="222"/>
      <c r="N473" s="222">
        <v>415114</v>
      </c>
      <c r="O473" s="145"/>
      <c r="P473" s="223">
        <f t="shared" si="299"/>
        <v>415114</v>
      </c>
      <c r="Q473" s="147">
        <f t="shared" si="300"/>
        <v>45662.54</v>
      </c>
      <c r="R473" s="147">
        <f t="shared" si="301"/>
        <v>125.1028493150685</v>
      </c>
      <c r="S473" s="148">
        <f t="shared" si="302"/>
        <v>27397.524000000001</v>
      </c>
      <c r="T473" s="199"/>
      <c r="U473" s="150"/>
      <c r="V473" s="151"/>
      <c r="W473" s="151"/>
      <c r="X473" s="152"/>
      <c r="Y473" s="153"/>
      <c r="Z473" s="153"/>
      <c r="AA473" s="154"/>
      <c r="AB473" s="155">
        <f>S473*$AB$3</f>
        <v>15890.563920000001</v>
      </c>
      <c r="AC473" s="156">
        <f>S473*$AC$3</f>
        <v>3561.6781200000005</v>
      </c>
      <c r="AD473" s="156">
        <f>S473*$AD$3</f>
        <v>2404.1327310000001</v>
      </c>
      <c r="AE473" s="156">
        <f>S473*$AE$3</f>
        <v>1095.9009600000002</v>
      </c>
      <c r="AF473" s="156">
        <f>S473*$AF$3</f>
        <v>547.95048000000008</v>
      </c>
      <c r="AG473" s="156">
        <f>S473*$AG$3</f>
        <v>547.95048000000008</v>
      </c>
      <c r="AH473" s="156">
        <f>S473*$AH$3</f>
        <v>273.97524000000004</v>
      </c>
      <c r="AI473" s="156">
        <f>S473*$AI$3</f>
        <v>547.95048000000008</v>
      </c>
      <c r="AJ473" s="156">
        <f>S473*$AJ$3</f>
        <v>547.95048000000008</v>
      </c>
      <c r="AK473" s="156">
        <f>S473*$AK$3</f>
        <v>1917.8266800000004</v>
      </c>
      <c r="AL473" s="157">
        <f t="shared" si="303"/>
        <v>8431.5880110000016</v>
      </c>
      <c r="AM473" s="158">
        <f t="shared" si="304"/>
        <v>2200</v>
      </c>
      <c r="AN473" s="159">
        <v>0.2</v>
      </c>
      <c r="AO473" s="160">
        <f t="shared" si="305"/>
        <v>224030368.55036375</v>
      </c>
      <c r="AP473" s="161">
        <f t="shared" si="306"/>
        <v>62230.662909109233</v>
      </c>
      <c r="AQ473" s="162">
        <f t="shared" si="307"/>
        <v>12446.132581821847</v>
      </c>
      <c r="AR473" s="580">
        <f t="shared" si="308"/>
        <v>1.7759892382736653</v>
      </c>
      <c r="AS473" s="582">
        <f t="shared" si="309"/>
        <v>1.7759892382736653</v>
      </c>
      <c r="AT473" s="165"/>
      <c r="AU473" s="166"/>
      <c r="AV473" s="167"/>
      <c r="AW473" s="146"/>
      <c r="AX473" s="168"/>
    </row>
    <row r="474" spans="1:50" s="139" customFormat="1" ht="11.25" x14ac:dyDescent="0.25">
      <c r="A474" s="357">
        <v>15</v>
      </c>
      <c r="B474" s="170" t="s">
        <v>494</v>
      </c>
      <c r="C474" s="142"/>
      <c r="D474" s="143"/>
      <c r="E474" s="143"/>
      <c r="F474" s="143"/>
      <c r="G474" s="143"/>
      <c r="H474" s="143"/>
      <c r="I474" s="143"/>
      <c r="J474" s="143"/>
      <c r="K474" s="143"/>
      <c r="L474" s="143"/>
      <c r="M474" s="222"/>
      <c r="N474" s="222">
        <v>92583</v>
      </c>
      <c r="O474" s="145"/>
      <c r="P474" s="223">
        <f t="shared" si="299"/>
        <v>92583</v>
      </c>
      <c r="Q474" s="147">
        <f t="shared" si="300"/>
        <v>10184.129999999999</v>
      </c>
      <c r="R474" s="147">
        <f t="shared" si="301"/>
        <v>27.90172602739726</v>
      </c>
      <c r="S474" s="148">
        <f t="shared" si="302"/>
        <v>6110.4779999999992</v>
      </c>
      <c r="T474" s="199"/>
      <c r="U474" s="150"/>
      <c r="V474" s="151"/>
      <c r="W474" s="151"/>
      <c r="X474" s="152"/>
      <c r="Y474" s="153"/>
      <c r="Z474" s="153"/>
      <c r="AA474" s="154"/>
      <c r="AB474" s="155">
        <f>S474*$AB$3</f>
        <v>3544.0772399999992</v>
      </c>
      <c r="AC474" s="156">
        <f>S474*$AC$3</f>
        <v>794.36213999999995</v>
      </c>
      <c r="AD474" s="156">
        <f>S474*$AD$3</f>
        <v>536.19444449999992</v>
      </c>
      <c r="AE474" s="156">
        <f>S474*$AE$3</f>
        <v>244.41911999999996</v>
      </c>
      <c r="AF474" s="156">
        <f>S474*$AF$3</f>
        <v>122.20955999999998</v>
      </c>
      <c r="AG474" s="156">
        <f>S474*$AG$3</f>
        <v>122.20955999999998</v>
      </c>
      <c r="AH474" s="156">
        <f>S474*$AH$3</f>
        <v>61.104779999999991</v>
      </c>
      <c r="AI474" s="156">
        <f>S474*$AI$3</f>
        <v>122.20955999999998</v>
      </c>
      <c r="AJ474" s="156">
        <f>S474*$AJ$3</f>
        <v>122.20955999999998</v>
      </c>
      <c r="AK474" s="156">
        <f>S474*$AK$3</f>
        <v>427.73345999999998</v>
      </c>
      <c r="AL474" s="157">
        <f t="shared" si="303"/>
        <v>1880.4996044999998</v>
      </c>
      <c r="AM474" s="158">
        <f t="shared" si="304"/>
        <v>2200</v>
      </c>
      <c r="AN474" s="159">
        <v>0.2</v>
      </c>
      <c r="AO474" s="160">
        <f t="shared" si="305"/>
        <v>49965560.331615709</v>
      </c>
      <c r="AP474" s="161">
        <f t="shared" si="306"/>
        <v>13879.323424683482</v>
      </c>
      <c r="AQ474" s="162">
        <f t="shared" si="307"/>
        <v>2775.8646849366964</v>
      </c>
      <c r="AR474" s="580">
        <f t="shared" si="308"/>
        <v>0.39609941280489391</v>
      </c>
      <c r="AS474" s="582">
        <f t="shared" si="309"/>
        <v>0.39609941280489391</v>
      </c>
      <c r="AT474" s="165"/>
      <c r="AU474" s="166"/>
      <c r="AV474" s="167"/>
      <c r="AW474" s="146"/>
      <c r="AX474" s="168"/>
    </row>
    <row r="475" spans="1:50" s="190" customFormat="1" ht="11.25" x14ac:dyDescent="0.25">
      <c r="A475" s="120"/>
      <c r="B475" s="121" t="s">
        <v>495</v>
      </c>
      <c r="C475" s="240">
        <f t="shared" ref="C475:T475" si="310">SUM(C460:C474)</f>
        <v>0</v>
      </c>
      <c r="D475" s="240">
        <f t="shared" si="310"/>
        <v>0</v>
      </c>
      <c r="E475" s="240">
        <f t="shared" si="310"/>
        <v>0</v>
      </c>
      <c r="F475" s="240">
        <f t="shared" si="310"/>
        <v>0</v>
      </c>
      <c r="G475" s="240">
        <f t="shared" si="310"/>
        <v>0</v>
      </c>
      <c r="H475" s="240">
        <f t="shared" si="310"/>
        <v>0</v>
      </c>
      <c r="I475" s="240">
        <f t="shared" si="310"/>
        <v>0</v>
      </c>
      <c r="J475" s="240">
        <f t="shared" si="310"/>
        <v>0</v>
      </c>
      <c r="K475" s="240">
        <f t="shared" si="310"/>
        <v>0</v>
      </c>
      <c r="L475" s="240">
        <f t="shared" si="310"/>
        <v>0</v>
      </c>
      <c r="M475" s="240">
        <f t="shared" si="310"/>
        <v>0</v>
      </c>
      <c r="N475" s="240">
        <f t="shared" si="310"/>
        <v>2296666</v>
      </c>
      <c r="O475" s="240">
        <f t="shared" si="310"/>
        <v>0</v>
      </c>
      <c r="P475" s="240">
        <f t="shared" si="310"/>
        <v>2296666</v>
      </c>
      <c r="Q475" s="240"/>
      <c r="R475" s="240">
        <f t="shared" si="310"/>
        <v>692.14591780821911</v>
      </c>
      <c r="S475" s="240">
        <f t="shared" si="310"/>
        <v>151579.95600000001</v>
      </c>
      <c r="T475" s="199">
        <f t="shared" si="310"/>
        <v>0</v>
      </c>
      <c r="U475" s="241"/>
      <c r="V475" s="242">
        <f>SUM(V460:V474)</f>
        <v>0</v>
      </c>
      <c r="W475" s="242">
        <f>SUM(W460:W474)</f>
        <v>0</v>
      </c>
      <c r="X475" s="242">
        <f>SUM(X460:X474)</f>
        <v>0</v>
      </c>
      <c r="Y475" s="199"/>
      <c r="Z475" s="199"/>
      <c r="AA475" s="243"/>
      <c r="AB475" s="240">
        <f t="shared" ref="AB475:AL475" si="311">SUM(AB460:AB474)</f>
        <v>87916.374479999984</v>
      </c>
      <c r="AC475" s="244">
        <f t="shared" si="311"/>
        <v>19705.39428</v>
      </c>
      <c r="AD475" s="244">
        <f t="shared" si="311"/>
        <v>13301.141138999996</v>
      </c>
      <c r="AE475" s="244">
        <f t="shared" si="311"/>
        <v>6063.1982399999997</v>
      </c>
      <c r="AF475" s="244">
        <f t="shared" si="311"/>
        <v>3031.5991199999999</v>
      </c>
      <c r="AG475" s="244">
        <f t="shared" si="311"/>
        <v>3031.5991199999999</v>
      </c>
      <c r="AH475" s="244">
        <f t="shared" si="311"/>
        <v>1515.7995599999999</v>
      </c>
      <c r="AI475" s="244">
        <f t="shared" si="311"/>
        <v>3031.5991199999999</v>
      </c>
      <c r="AJ475" s="244">
        <f t="shared" si="311"/>
        <v>3031.5991199999999</v>
      </c>
      <c r="AK475" s="244">
        <f t="shared" si="311"/>
        <v>10610.59692</v>
      </c>
      <c r="AL475" s="245">
        <f t="shared" si="311"/>
        <v>46648.731459000002</v>
      </c>
      <c r="AM475" s="158"/>
      <c r="AN475" s="183"/>
      <c r="AO475" s="184">
        <f>SUM(AO460:AO474)</f>
        <v>1239473808.1998913</v>
      </c>
      <c r="AP475" s="184">
        <f>SUM(AP460:AP474)</f>
        <v>344298.30759938777</v>
      </c>
      <c r="AQ475" s="184">
        <f>SUM(AQ460:AQ474)</f>
        <v>68859.66151987754</v>
      </c>
      <c r="AR475" s="186">
        <f>SUM(AR460:AR474)</f>
        <v>9.8258649429049019</v>
      </c>
      <c r="AS475" s="435">
        <f>SUM(AS460:AS474)</f>
        <v>9.8258649429049019</v>
      </c>
      <c r="AT475" s="187"/>
      <c r="AU475" s="246">
        <f>SUM(AU464:AU474)</f>
        <v>0</v>
      </c>
      <c r="AV475" s="246"/>
      <c r="AW475" s="185">
        <f>SUM(AW464:AW474)</f>
        <v>0</v>
      </c>
      <c r="AX475" s="189"/>
    </row>
    <row r="477" spans="1:50" s="139" customFormat="1" ht="11.25" x14ac:dyDescent="0.25">
      <c r="A477" s="126"/>
      <c r="B477" s="352" t="s">
        <v>496</v>
      </c>
      <c r="C477" s="122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213"/>
      <c r="P477" s="76"/>
      <c r="Q477" s="108"/>
      <c r="R477" s="108"/>
      <c r="S477" s="94"/>
      <c r="T477" s="199"/>
      <c r="U477" s="179"/>
      <c r="V477" s="180"/>
      <c r="W477" s="180"/>
      <c r="X477" s="214"/>
      <c r="Y477" s="181"/>
      <c r="Z477" s="181"/>
      <c r="AA477" s="182"/>
      <c r="AB477" s="62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125"/>
      <c r="AM477" s="75"/>
      <c r="AN477" s="216"/>
      <c r="AO477" s="75"/>
      <c r="AP477" s="51"/>
      <c r="AQ477" s="217"/>
      <c r="AR477" s="583"/>
      <c r="AS477" s="584"/>
      <c r="AT477" s="220"/>
      <c r="AU477" s="135"/>
      <c r="AV477" s="136"/>
      <c r="AW477" s="137"/>
      <c r="AX477" s="138"/>
    </row>
    <row r="478" spans="1:50" s="139" customFormat="1" ht="11.25" x14ac:dyDescent="0.25">
      <c r="A478" s="140">
        <v>1</v>
      </c>
      <c r="B478" s="330" t="s">
        <v>497</v>
      </c>
      <c r="C478" s="142">
        <v>90538</v>
      </c>
      <c r="D478" s="143"/>
      <c r="E478" s="143"/>
      <c r="F478" s="143"/>
      <c r="G478" s="143"/>
      <c r="H478" s="143"/>
      <c r="I478" s="143"/>
      <c r="J478" s="143"/>
      <c r="K478" s="143"/>
      <c r="L478" s="143"/>
      <c r="M478" s="222">
        <v>129253</v>
      </c>
      <c r="N478" s="222"/>
      <c r="O478" s="145"/>
      <c r="P478" s="223">
        <f t="shared" ref="P478:P483" si="312">MAX(C478:O478)</f>
        <v>129253</v>
      </c>
      <c r="Q478" s="147">
        <f t="shared" ref="Q478:Q483" si="313">P478*$Q$8</f>
        <v>14217.83</v>
      </c>
      <c r="R478" s="147">
        <f t="shared" ref="R478:R483" si="314">Q478/$R$3</f>
        <v>38.952958904109586</v>
      </c>
      <c r="S478" s="148">
        <f t="shared" ref="S478:S483" si="315">R478*$S$3*$S$8</f>
        <v>8530.6979999999985</v>
      </c>
      <c r="T478" s="199"/>
      <c r="U478" s="150"/>
      <c r="V478" s="151"/>
      <c r="W478" s="151"/>
      <c r="X478" s="152"/>
      <c r="Y478" s="153"/>
      <c r="Z478" s="153"/>
      <c r="AA478" s="154"/>
      <c r="AB478" s="155">
        <f>S478*$AB$3</f>
        <v>4947.8048399999989</v>
      </c>
      <c r="AC478" s="156">
        <f>S478*$AC$3</f>
        <v>1108.9907399999997</v>
      </c>
      <c r="AD478" s="156">
        <f>S478*$AD$3</f>
        <v>748.56874949999985</v>
      </c>
      <c r="AE478" s="156">
        <f>S478*$AE$3</f>
        <v>341.22791999999993</v>
      </c>
      <c r="AF478" s="156">
        <f>S478*$AF$3</f>
        <v>170.61395999999996</v>
      </c>
      <c r="AG478" s="156">
        <f>S478*$AG$3</f>
        <v>170.61395999999996</v>
      </c>
      <c r="AH478" s="156">
        <f>S478*$AH$3</f>
        <v>85.306979999999982</v>
      </c>
      <c r="AI478" s="156">
        <f>S478*$AI$3</f>
        <v>170.61395999999996</v>
      </c>
      <c r="AJ478" s="156">
        <f>S478*$AJ$3</f>
        <v>170.61395999999996</v>
      </c>
      <c r="AK478" s="156">
        <f>S478*$AK$3</f>
        <v>597.1488599999999</v>
      </c>
      <c r="AL478" s="157">
        <f t="shared" ref="AL478:AL483" si="316">SUM(AC478:AH478)</f>
        <v>2625.3223094999994</v>
      </c>
      <c r="AM478" s="158">
        <f t="shared" ref="AM478:AM483" si="317">$AM$3</f>
        <v>2200</v>
      </c>
      <c r="AN478" s="159">
        <v>0.2</v>
      </c>
      <c r="AO478" s="160">
        <f t="shared" ref="AO478:AO483" si="318">(AB478+AL478)*AM478*$AO$3</f>
        <v>69755771.248958498</v>
      </c>
      <c r="AP478" s="161">
        <f t="shared" ref="AP478:AP483" si="319">AO478*$AP$3</f>
        <v>19376.604674838945</v>
      </c>
      <c r="AQ478" s="162">
        <f t="shared" ref="AQ478:AQ483" si="320">AP478*$AQ$3</f>
        <v>3875.3209349677891</v>
      </c>
      <c r="AR478" s="580">
        <f t="shared" ref="AR478:AR483" si="321">AQ478/$AR$3</f>
        <v>0.55298529323170509</v>
      </c>
      <c r="AS478" s="582">
        <f t="shared" ref="AS478:AS483" si="322">AR478</f>
        <v>0.55298529323170509</v>
      </c>
      <c r="AT478" s="165"/>
      <c r="AU478" s="166"/>
      <c r="AV478" s="167"/>
      <c r="AW478" s="146"/>
      <c r="AX478" s="168"/>
    </row>
    <row r="479" spans="1:50" s="139" customFormat="1" ht="11.25" x14ac:dyDescent="0.25">
      <c r="A479" s="140">
        <v>2</v>
      </c>
      <c r="B479" s="330" t="s">
        <v>498</v>
      </c>
      <c r="C479" s="142">
        <v>114766</v>
      </c>
      <c r="D479" s="143"/>
      <c r="E479" s="143"/>
      <c r="F479" s="143"/>
      <c r="G479" s="143"/>
      <c r="H479" s="143"/>
      <c r="I479" s="143"/>
      <c r="J479" s="143"/>
      <c r="K479" s="143"/>
      <c r="L479" s="143"/>
      <c r="M479" s="222">
        <v>141915</v>
      </c>
      <c r="N479" s="222"/>
      <c r="O479" s="145"/>
      <c r="P479" s="223">
        <f t="shared" si="312"/>
        <v>141915</v>
      </c>
      <c r="Q479" s="147">
        <f t="shared" si="313"/>
        <v>15610.65</v>
      </c>
      <c r="R479" s="147">
        <f t="shared" si="314"/>
        <v>42.768904109589037</v>
      </c>
      <c r="S479" s="148">
        <f t="shared" si="315"/>
        <v>9366.3899999999976</v>
      </c>
      <c r="T479" s="199"/>
      <c r="U479" s="150"/>
      <c r="V479" s="151"/>
      <c r="W479" s="151"/>
      <c r="X479" s="152"/>
      <c r="Y479" s="153"/>
      <c r="Z479" s="153"/>
      <c r="AA479" s="154"/>
      <c r="AB479" s="155">
        <f>S479*$AB$3</f>
        <v>5432.506199999998</v>
      </c>
      <c r="AC479" s="156">
        <f>S479*$AC$3</f>
        <v>1217.6306999999997</v>
      </c>
      <c r="AD479" s="156">
        <f>S479*$AD$3</f>
        <v>821.90072249999969</v>
      </c>
      <c r="AE479" s="156">
        <f>S479*$AE$3</f>
        <v>374.65559999999994</v>
      </c>
      <c r="AF479" s="156">
        <f>S479*$AF$3</f>
        <v>187.32779999999997</v>
      </c>
      <c r="AG479" s="156">
        <f>S479*$AG$3</f>
        <v>187.32779999999997</v>
      </c>
      <c r="AH479" s="156">
        <f>S479*$AH$3</f>
        <v>93.663899999999984</v>
      </c>
      <c r="AI479" s="156">
        <f>S479*$AI$3</f>
        <v>187.32779999999997</v>
      </c>
      <c r="AJ479" s="156">
        <f>S479*$AJ$3</f>
        <v>187.32779999999997</v>
      </c>
      <c r="AK479" s="156">
        <f>S479*$AK$3</f>
        <v>655.64729999999986</v>
      </c>
      <c r="AL479" s="157">
        <f t="shared" si="316"/>
        <v>2882.5065224999994</v>
      </c>
      <c r="AM479" s="158">
        <f t="shared" si="317"/>
        <v>2200</v>
      </c>
      <c r="AN479" s="159">
        <v>0.2</v>
      </c>
      <c r="AO479" s="160">
        <f t="shared" si="318"/>
        <v>76589249.586438566</v>
      </c>
      <c r="AP479" s="161">
        <f t="shared" si="319"/>
        <v>21274.793253771815</v>
      </c>
      <c r="AQ479" s="162">
        <f t="shared" si="320"/>
        <v>4254.9586507543636</v>
      </c>
      <c r="AR479" s="580">
        <f t="shared" si="321"/>
        <v>0.60715734171723224</v>
      </c>
      <c r="AS479" s="582">
        <f t="shared" si="322"/>
        <v>0.60715734171723224</v>
      </c>
      <c r="AT479" s="165"/>
      <c r="AU479" s="166"/>
      <c r="AV479" s="167"/>
      <c r="AW479" s="146"/>
      <c r="AX479" s="168"/>
    </row>
    <row r="480" spans="1:50" s="139" customFormat="1" ht="11.25" x14ac:dyDescent="0.25">
      <c r="A480" s="140">
        <v>3</v>
      </c>
      <c r="B480" s="330" t="s">
        <v>499</v>
      </c>
      <c r="C480" s="142">
        <v>309663</v>
      </c>
      <c r="D480" s="143"/>
      <c r="E480" s="143"/>
      <c r="F480" s="143"/>
      <c r="G480" s="143"/>
      <c r="H480" s="143"/>
      <c r="I480" s="143"/>
      <c r="J480" s="143"/>
      <c r="K480" s="143"/>
      <c r="L480" s="143"/>
      <c r="M480" s="222">
        <v>355988</v>
      </c>
      <c r="N480" s="222"/>
      <c r="O480" s="145"/>
      <c r="P480" s="223">
        <f t="shared" si="312"/>
        <v>355988</v>
      </c>
      <c r="Q480" s="147">
        <f t="shared" si="313"/>
        <v>39158.68</v>
      </c>
      <c r="R480" s="147">
        <f t="shared" si="314"/>
        <v>107.28405479452054</v>
      </c>
      <c r="S480" s="148">
        <f t="shared" si="315"/>
        <v>23495.207999999999</v>
      </c>
      <c r="T480" s="199"/>
      <c r="U480" s="150"/>
      <c r="V480" s="151"/>
      <c r="W480" s="151"/>
      <c r="X480" s="152"/>
      <c r="Y480" s="153"/>
      <c r="Z480" s="153"/>
      <c r="AA480" s="154"/>
      <c r="AB480" s="155">
        <f>S480*$AB$3</f>
        <v>13627.220639999998</v>
      </c>
      <c r="AC480" s="156">
        <f>S480*$AC$3</f>
        <v>3054.3770399999999</v>
      </c>
      <c r="AD480" s="156">
        <f>S480*$AD$3</f>
        <v>2061.7045019999996</v>
      </c>
      <c r="AE480" s="156">
        <f>S480*$AE$3</f>
        <v>939.80831999999998</v>
      </c>
      <c r="AF480" s="156">
        <f>S480*$AF$3</f>
        <v>469.90415999999999</v>
      </c>
      <c r="AG480" s="156">
        <f>S480*$AG$3</f>
        <v>469.90415999999999</v>
      </c>
      <c r="AH480" s="156">
        <f>S480*$AH$3</f>
        <v>234.95208</v>
      </c>
      <c r="AI480" s="156">
        <f>S480*$AI$3</f>
        <v>469.90415999999999</v>
      </c>
      <c r="AJ480" s="156">
        <f>S480*$AJ$3</f>
        <v>469.90415999999999</v>
      </c>
      <c r="AK480" s="156">
        <f>S480*$AK$3</f>
        <v>1644.6645600000002</v>
      </c>
      <c r="AL480" s="157">
        <f t="shared" si="316"/>
        <v>7230.6502620000001</v>
      </c>
      <c r="AM480" s="158">
        <f t="shared" si="317"/>
        <v>2200</v>
      </c>
      <c r="AN480" s="159">
        <v>0.2</v>
      </c>
      <c r="AO480" s="160">
        <f t="shared" si="318"/>
        <v>192121014.56348589</v>
      </c>
      <c r="AP480" s="161">
        <f t="shared" si="319"/>
        <v>53366.952759213069</v>
      </c>
      <c r="AQ480" s="162">
        <f t="shared" si="320"/>
        <v>10673.390551842615</v>
      </c>
      <c r="AR480" s="580">
        <f t="shared" si="321"/>
        <v>1.5230294737218342</v>
      </c>
      <c r="AS480" s="582">
        <f t="shared" si="322"/>
        <v>1.5230294737218342</v>
      </c>
      <c r="AT480" s="165"/>
      <c r="AU480" s="166"/>
      <c r="AV480" s="167"/>
      <c r="AW480" s="146"/>
      <c r="AX480" s="168"/>
    </row>
    <row r="481" spans="1:50" s="139" customFormat="1" ht="11.25" x14ac:dyDescent="0.25">
      <c r="A481" s="140">
        <v>4</v>
      </c>
      <c r="B481" s="330" t="s">
        <v>500</v>
      </c>
      <c r="C481" s="142">
        <v>86781</v>
      </c>
      <c r="D481" s="143"/>
      <c r="E481" s="143"/>
      <c r="F481" s="143"/>
      <c r="G481" s="143"/>
      <c r="H481" s="143"/>
      <c r="I481" s="143"/>
      <c r="J481" s="143"/>
      <c r="K481" s="143"/>
      <c r="L481" s="143"/>
      <c r="M481" s="222">
        <v>104133</v>
      </c>
      <c r="N481" s="222"/>
      <c r="O481" s="145"/>
      <c r="P481" s="223">
        <f t="shared" si="312"/>
        <v>104133</v>
      </c>
      <c r="Q481" s="147">
        <f t="shared" si="313"/>
        <v>11454.63</v>
      </c>
      <c r="R481" s="147">
        <f t="shared" si="314"/>
        <v>31.382547945205477</v>
      </c>
      <c r="S481" s="148">
        <f t="shared" si="315"/>
        <v>6872.7779999999993</v>
      </c>
      <c r="T481" s="199"/>
      <c r="U481" s="150"/>
      <c r="V481" s="151"/>
      <c r="W481" s="151"/>
      <c r="X481" s="152"/>
      <c r="Y481" s="153"/>
      <c r="Z481" s="153"/>
      <c r="AA481" s="154"/>
      <c r="AB481" s="155">
        <f>S481*$AB$3</f>
        <v>3986.2112399999992</v>
      </c>
      <c r="AC481" s="156">
        <f>S481*$AC$3</f>
        <v>893.46114</v>
      </c>
      <c r="AD481" s="156">
        <f>S481*$AD$3</f>
        <v>603.08626949999996</v>
      </c>
      <c r="AE481" s="156">
        <f>S481*$AE$3</f>
        <v>274.91111999999998</v>
      </c>
      <c r="AF481" s="156">
        <f>S481*$AF$3</f>
        <v>137.45555999999999</v>
      </c>
      <c r="AG481" s="156">
        <f>S481*$AG$3</f>
        <v>137.45555999999999</v>
      </c>
      <c r="AH481" s="156">
        <f>S481*$AH$3</f>
        <v>68.727779999999996</v>
      </c>
      <c r="AI481" s="156">
        <f>S481*$AI$3</f>
        <v>137.45555999999999</v>
      </c>
      <c r="AJ481" s="156">
        <f>S481*$AJ$3</f>
        <v>137.45555999999999</v>
      </c>
      <c r="AK481" s="156">
        <f>S481*$AK$3</f>
        <v>481.09446000000003</v>
      </c>
      <c r="AL481" s="157">
        <f t="shared" si="316"/>
        <v>2115.0974295000001</v>
      </c>
      <c r="AM481" s="158">
        <f t="shared" si="317"/>
        <v>2200</v>
      </c>
      <c r="AN481" s="159">
        <v>0.2</v>
      </c>
      <c r="AO481" s="160">
        <f t="shared" si="318"/>
        <v>56198910.102417715</v>
      </c>
      <c r="AP481" s="161">
        <f t="shared" si="319"/>
        <v>15610.809610647368</v>
      </c>
      <c r="AQ481" s="162">
        <f t="shared" si="320"/>
        <v>3122.1619221294736</v>
      </c>
      <c r="AR481" s="580">
        <f t="shared" si="321"/>
        <v>0.445513972906603</v>
      </c>
      <c r="AS481" s="582">
        <f t="shared" si="322"/>
        <v>0.445513972906603</v>
      </c>
      <c r="AT481" s="165"/>
      <c r="AU481" s="166"/>
      <c r="AV481" s="167"/>
      <c r="AW481" s="146"/>
      <c r="AX481" s="168"/>
    </row>
    <row r="482" spans="1:50" s="139" customFormat="1" ht="11.25" x14ac:dyDescent="0.25">
      <c r="A482" s="140">
        <v>5</v>
      </c>
      <c r="B482" s="330" t="s">
        <v>501</v>
      </c>
      <c r="C482" s="142">
        <v>93505</v>
      </c>
      <c r="D482" s="143"/>
      <c r="E482" s="143"/>
      <c r="F482" s="143"/>
      <c r="G482" s="143"/>
      <c r="H482" s="143"/>
      <c r="I482" s="143"/>
      <c r="J482" s="143"/>
      <c r="K482" s="143"/>
      <c r="L482" s="143"/>
      <c r="M482" s="222">
        <v>128748</v>
      </c>
      <c r="N482" s="222"/>
      <c r="O482" s="145"/>
      <c r="P482" s="223">
        <f t="shared" si="312"/>
        <v>128748</v>
      </c>
      <c r="Q482" s="147">
        <f t="shared" si="313"/>
        <v>14162.28</v>
      </c>
      <c r="R482" s="147">
        <f t="shared" si="314"/>
        <v>38.80076712328767</v>
      </c>
      <c r="S482" s="148">
        <f t="shared" si="315"/>
        <v>8497.3679999999986</v>
      </c>
      <c r="T482" s="199"/>
      <c r="U482" s="150"/>
      <c r="V482" s="151"/>
      <c r="W482" s="151"/>
      <c r="X482" s="152"/>
      <c r="Y482" s="153"/>
      <c r="Z482" s="153"/>
      <c r="AA482" s="154"/>
      <c r="AB482" s="155">
        <f>S482*$AB$3</f>
        <v>4928.4734399999988</v>
      </c>
      <c r="AC482" s="156">
        <f>S482*$AC$3</f>
        <v>1104.6578399999999</v>
      </c>
      <c r="AD482" s="156">
        <f>S482*$AD$3</f>
        <v>745.64404199999979</v>
      </c>
      <c r="AE482" s="156">
        <f>S482*$AE$3</f>
        <v>339.89471999999995</v>
      </c>
      <c r="AF482" s="156">
        <f>S482*$AF$3</f>
        <v>169.94735999999997</v>
      </c>
      <c r="AG482" s="156">
        <f>S482*$AG$3</f>
        <v>169.94735999999997</v>
      </c>
      <c r="AH482" s="156">
        <f>S482*$AH$3</f>
        <v>84.973679999999987</v>
      </c>
      <c r="AI482" s="156">
        <f>S482*$AI$3</f>
        <v>169.94735999999997</v>
      </c>
      <c r="AJ482" s="156">
        <f>S482*$AJ$3</f>
        <v>169.94735999999997</v>
      </c>
      <c r="AK482" s="156">
        <f>S482*$AK$3</f>
        <v>594.81575999999995</v>
      </c>
      <c r="AL482" s="157">
        <f t="shared" si="316"/>
        <v>2615.0650019999998</v>
      </c>
      <c r="AM482" s="158">
        <f t="shared" si="317"/>
        <v>2200</v>
      </c>
      <c r="AN482" s="159">
        <v>0.2</v>
      </c>
      <c r="AO482" s="160">
        <f t="shared" si="318"/>
        <v>69483230.847724304</v>
      </c>
      <c r="AP482" s="161">
        <f t="shared" si="319"/>
        <v>19300.899001772992</v>
      </c>
      <c r="AQ482" s="162">
        <f t="shared" si="320"/>
        <v>3860.1798003545987</v>
      </c>
      <c r="AR482" s="580">
        <f t="shared" si="321"/>
        <v>0.55082474320128405</v>
      </c>
      <c r="AS482" s="582">
        <f t="shared" si="322"/>
        <v>0.55082474320128405</v>
      </c>
      <c r="AT482" s="165"/>
      <c r="AU482" s="166"/>
      <c r="AV482" s="167"/>
      <c r="AW482" s="146"/>
      <c r="AX482" s="168"/>
    </row>
    <row r="483" spans="1:50" s="139" customFormat="1" ht="11.25" x14ac:dyDescent="0.25">
      <c r="A483" s="140">
        <v>6</v>
      </c>
      <c r="B483" s="330" t="s">
        <v>502</v>
      </c>
      <c r="C483" s="142">
        <v>134931</v>
      </c>
      <c r="D483" s="143"/>
      <c r="E483" s="143"/>
      <c r="F483" s="143"/>
      <c r="G483" s="143"/>
      <c r="H483" s="143"/>
      <c r="I483" s="143"/>
      <c r="J483" s="143"/>
      <c r="K483" s="143"/>
      <c r="L483" s="143"/>
      <c r="M483" s="222">
        <v>180127</v>
      </c>
      <c r="N483" s="222"/>
      <c r="O483" s="145"/>
      <c r="P483" s="223">
        <f t="shared" si="312"/>
        <v>180127</v>
      </c>
      <c r="Q483" s="147">
        <f t="shared" si="313"/>
        <v>19813.97</v>
      </c>
      <c r="R483" s="147">
        <f t="shared" si="314"/>
        <v>54.284849315068499</v>
      </c>
      <c r="S483" s="148">
        <f t="shared" si="315"/>
        <v>11888.382</v>
      </c>
      <c r="T483" s="199"/>
      <c r="U483" s="150"/>
      <c r="V483" s="151"/>
      <c r="W483" s="151"/>
      <c r="X483" s="152"/>
      <c r="Y483" s="153"/>
      <c r="Z483" s="153"/>
      <c r="AA483" s="154"/>
      <c r="AB483" s="155">
        <f>S483*$AB$3</f>
        <v>6895.261559999999</v>
      </c>
      <c r="AC483" s="156">
        <f>S483*$AC$3</f>
        <v>1545.48966</v>
      </c>
      <c r="AD483" s="156">
        <f>S483*$AD$3</f>
        <v>1043.2055204999999</v>
      </c>
      <c r="AE483" s="156">
        <f>S483*$AE$3</f>
        <v>475.53528</v>
      </c>
      <c r="AF483" s="156">
        <f>S483*$AF$3</f>
        <v>237.76764</v>
      </c>
      <c r="AG483" s="156">
        <f>S483*$AG$3</f>
        <v>237.76764</v>
      </c>
      <c r="AH483" s="156">
        <f>S483*$AH$3</f>
        <v>118.88382</v>
      </c>
      <c r="AI483" s="156">
        <f>S483*$AI$3</f>
        <v>237.76764</v>
      </c>
      <c r="AJ483" s="156">
        <f>S483*$AJ$3</f>
        <v>237.76764</v>
      </c>
      <c r="AK483" s="156">
        <f>S483*$AK$3</f>
        <v>832.1867400000001</v>
      </c>
      <c r="AL483" s="157">
        <f t="shared" si="316"/>
        <v>3658.6495605</v>
      </c>
      <c r="AM483" s="158">
        <f t="shared" si="317"/>
        <v>2200</v>
      </c>
      <c r="AN483" s="159">
        <v>0.2</v>
      </c>
      <c r="AO483" s="160">
        <f t="shared" si="318"/>
        <v>97211653.174480662</v>
      </c>
      <c r="AP483" s="161">
        <f t="shared" si="319"/>
        <v>27003.239153170252</v>
      </c>
      <c r="AQ483" s="162">
        <f t="shared" si="320"/>
        <v>5400.6478306340505</v>
      </c>
      <c r="AR483" s="580">
        <f t="shared" si="321"/>
        <v>0.77064038679138847</v>
      </c>
      <c r="AS483" s="582">
        <f t="shared" si="322"/>
        <v>0.77064038679138847</v>
      </c>
      <c r="AT483" s="165"/>
      <c r="AU483" s="166"/>
      <c r="AV483" s="167"/>
      <c r="AW483" s="146"/>
      <c r="AX483" s="168"/>
    </row>
    <row r="484" spans="1:50" s="190" customFormat="1" ht="11.25" x14ac:dyDescent="0.25">
      <c r="A484" s="120"/>
      <c r="B484" s="121" t="s">
        <v>503</v>
      </c>
      <c r="C484" s="240">
        <f t="shared" ref="C484:T484" si="323">SUM(C478:C483)</f>
        <v>830184</v>
      </c>
      <c r="D484" s="240">
        <f t="shared" si="323"/>
        <v>0</v>
      </c>
      <c r="E484" s="240">
        <f t="shared" si="323"/>
        <v>0</v>
      </c>
      <c r="F484" s="240">
        <f t="shared" si="323"/>
        <v>0</v>
      </c>
      <c r="G484" s="240">
        <f t="shared" si="323"/>
        <v>0</v>
      </c>
      <c r="H484" s="240">
        <f t="shared" si="323"/>
        <v>0</v>
      </c>
      <c r="I484" s="240">
        <f t="shared" si="323"/>
        <v>0</v>
      </c>
      <c r="J484" s="240">
        <f t="shared" si="323"/>
        <v>0</v>
      </c>
      <c r="K484" s="240">
        <f t="shared" si="323"/>
        <v>0</v>
      </c>
      <c r="L484" s="240">
        <f t="shared" si="323"/>
        <v>0</v>
      </c>
      <c r="M484" s="240">
        <f t="shared" si="323"/>
        <v>1040164</v>
      </c>
      <c r="N484" s="240">
        <f t="shared" si="323"/>
        <v>0</v>
      </c>
      <c r="O484" s="240">
        <f t="shared" si="323"/>
        <v>0</v>
      </c>
      <c r="P484" s="240">
        <f t="shared" si="323"/>
        <v>1040164</v>
      </c>
      <c r="Q484" s="240">
        <f t="shared" si="323"/>
        <v>114418.04000000001</v>
      </c>
      <c r="R484" s="240">
        <f t="shared" si="323"/>
        <v>313.47408219178089</v>
      </c>
      <c r="S484" s="240">
        <f t="shared" si="323"/>
        <v>68650.823999999993</v>
      </c>
      <c r="T484" s="199">
        <f t="shared" si="323"/>
        <v>0</v>
      </c>
      <c r="U484" s="241"/>
      <c r="V484" s="242">
        <f>SUM(V478:V483)</f>
        <v>0</v>
      </c>
      <c r="W484" s="242">
        <f>SUM(W478:W483)</f>
        <v>0</v>
      </c>
      <c r="X484" s="242">
        <f>SUM(X478:X483)</f>
        <v>0</v>
      </c>
      <c r="Y484" s="199"/>
      <c r="Z484" s="199"/>
      <c r="AA484" s="243"/>
      <c r="AB484" s="240">
        <f t="shared" ref="AB484:AL484" si="324">SUM(AB478:AB483)</f>
        <v>39817.47791999999</v>
      </c>
      <c r="AC484" s="244">
        <f t="shared" si="324"/>
        <v>8924.6071199999988</v>
      </c>
      <c r="AD484" s="244">
        <f t="shared" si="324"/>
        <v>6024.1098059999986</v>
      </c>
      <c r="AE484" s="244">
        <f t="shared" si="324"/>
        <v>2746.03296</v>
      </c>
      <c r="AF484" s="244">
        <f t="shared" si="324"/>
        <v>1373.01648</v>
      </c>
      <c r="AG484" s="244">
        <f t="shared" si="324"/>
        <v>1373.01648</v>
      </c>
      <c r="AH484" s="244">
        <f t="shared" si="324"/>
        <v>686.50824</v>
      </c>
      <c r="AI484" s="244">
        <f t="shared" si="324"/>
        <v>1373.01648</v>
      </c>
      <c r="AJ484" s="244">
        <f t="shared" si="324"/>
        <v>1373.01648</v>
      </c>
      <c r="AK484" s="244">
        <f t="shared" si="324"/>
        <v>4805.5576799999999</v>
      </c>
      <c r="AL484" s="245">
        <f t="shared" si="324"/>
        <v>21127.291085999997</v>
      </c>
      <c r="AM484" s="158"/>
      <c r="AN484" s="183"/>
      <c r="AO484" s="184">
        <f>SUM(AO478:AO483)</f>
        <v>561359829.52350569</v>
      </c>
      <c r="AP484" s="184">
        <f>SUM(AP478:AP483)</f>
        <v>155933.29845341446</v>
      </c>
      <c r="AQ484" s="184">
        <f>SUM(AQ478:AQ483)</f>
        <v>31186.659690682893</v>
      </c>
      <c r="AR484" s="186">
        <f>SUM(AR478:AR483)</f>
        <v>4.4501512115700468</v>
      </c>
      <c r="AS484" s="435">
        <f>SUM(AS478:AS483)</f>
        <v>4.4501512115700468</v>
      </c>
      <c r="AT484" s="187"/>
      <c r="AU484" s="246">
        <f>SUM(AU482:AU483)</f>
        <v>0</v>
      </c>
      <c r="AV484" s="246"/>
      <c r="AW484" s="185">
        <f>SUM(AW482:AW483)</f>
        <v>0</v>
      </c>
      <c r="AX484" s="189"/>
    </row>
    <row r="486" spans="1:50" s="139" customFormat="1" ht="11.25" x14ac:dyDescent="0.25">
      <c r="A486" s="126"/>
      <c r="B486" s="352" t="s">
        <v>504</v>
      </c>
      <c r="C486" s="122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213"/>
      <c r="P486" s="76"/>
      <c r="Q486" s="108"/>
      <c r="R486" s="108"/>
      <c r="S486" s="94"/>
      <c r="T486" s="199"/>
      <c r="U486" s="179"/>
      <c r="V486" s="180"/>
      <c r="W486" s="180"/>
      <c r="X486" s="214"/>
      <c r="Y486" s="181"/>
      <c r="Z486" s="181"/>
      <c r="AA486" s="182"/>
      <c r="AB486" s="62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125"/>
      <c r="AM486" s="75"/>
      <c r="AN486" s="216"/>
      <c r="AO486" s="75"/>
      <c r="AP486" s="51"/>
      <c r="AQ486" s="217"/>
      <c r="AR486" s="583"/>
      <c r="AS486" s="584"/>
      <c r="AT486" s="220"/>
      <c r="AU486" s="135"/>
      <c r="AV486" s="136"/>
      <c r="AW486" s="137"/>
      <c r="AX486" s="138"/>
    </row>
    <row r="487" spans="1:50" s="139" customFormat="1" ht="11.25" x14ac:dyDescent="0.25">
      <c r="A487" s="140">
        <v>1</v>
      </c>
      <c r="B487" s="170" t="s">
        <v>505</v>
      </c>
      <c r="C487" s="142"/>
      <c r="D487" s="143"/>
      <c r="E487" s="143"/>
      <c r="F487" s="143"/>
      <c r="G487" s="143"/>
      <c r="H487" s="143"/>
      <c r="I487" s="143"/>
      <c r="J487" s="143"/>
      <c r="K487" s="143"/>
      <c r="L487" s="143"/>
      <c r="M487" s="222"/>
      <c r="N487" s="222">
        <v>329609</v>
      </c>
      <c r="O487" s="145"/>
      <c r="P487" s="223">
        <f t="shared" ref="P487:P497" si="325">MAX(C487:O487)</f>
        <v>329609</v>
      </c>
      <c r="Q487" s="147">
        <f t="shared" ref="Q487:Q497" si="326">P487*$Q$8</f>
        <v>36256.99</v>
      </c>
      <c r="R487" s="147">
        <f t="shared" ref="R487:R497" si="327">Q487/$R$3</f>
        <v>99.334219178082179</v>
      </c>
      <c r="S487" s="148">
        <f t="shared" ref="S487:S497" si="328">R487*$S$3*$S$8</f>
        <v>21754.194</v>
      </c>
      <c r="T487" s="199"/>
      <c r="U487" s="150"/>
      <c r="V487" s="151"/>
      <c r="W487" s="151"/>
      <c r="X487" s="152"/>
      <c r="Y487" s="153"/>
      <c r="Z487" s="153"/>
      <c r="AA487" s="154"/>
      <c r="AB487" s="155">
        <f>S487*$AB$3</f>
        <v>12617.432519999998</v>
      </c>
      <c r="AC487" s="156">
        <f>S487*$AC$3</f>
        <v>2828.04522</v>
      </c>
      <c r="AD487" s="156">
        <f>S487*$AD$3</f>
        <v>1908.9305234999999</v>
      </c>
      <c r="AE487" s="156">
        <f>S487*$AE$3</f>
        <v>870.16776000000004</v>
      </c>
      <c r="AF487" s="156">
        <f>S487*$AF$3</f>
        <v>435.08388000000002</v>
      </c>
      <c r="AG487" s="156">
        <f>S487*$AG$3</f>
        <v>435.08388000000002</v>
      </c>
      <c r="AH487" s="156">
        <f>S487*$AH$3</f>
        <v>217.54194000000001</v>
      </c>
      <c r="AI487" s="156">
        <f>S487*$AI$3</f>
        <v>435.08388000000002</v>
      </c>
      <c r="AJ487" s="156">
        <f>S487*$AJ$3</f>
        <v>435.08388000000002</v>
      </c>
      <c r="AK487" s="156">
        <f>S487*$AK$3</f>
        <v>1522.79358</v>
      </c>
      <c r="AL487" s="157">
        <f t="shared" ref="AL487:AL497" si="329">SUM(AC487:AH487)</f>
        <v>6694.8532035000007</v>
      </c>
      <c r="AM487" s="158">
        <f t="shared" ref="AM487:AM497" si="330">$AM$3</f>
        <v>2200</v>
      </c>
      <c r="AN487" s="159">
        <v>0.2</v>
      </c>
      <c r="AO487" s="160">
        <f t="shared" ref="AO487:AO497" si="331">(AB487+AL487)*AM487*$AO$3</f>
        <v>177884691.30772954</v>
      </c>
      <c r="AP487" s="161">
        <f t="shared" ref="AP487:AP497" si="332">AO487*$AP$3</f>
        <v>49412.418205140231</v>
      </c>
      <c r="AQ487" s="162">
        <f t="shared" ref="AQ487:AQ497" si="333">AP487*$AQ$3</f>
        <v>9882.4836410280477</v>
      </c>
      <c r="AR487" s="580">
        <f t="shared" ref="AR487:AR497" si="334">AQ487/$AR$3</f>
        <v>1.4101717524298014</v>
      </c>
      <c r="AS487" s="582">
        <f t="shared" ref="AS487:AS497" si="335">AR487</f>
        <v>1.4101717524298014</v>
      </c>
      <c r="AT487" s="165"/>
      <c r="AU487" s="166"/>
      <c r="AV487" s="167"/>
      <c r="AW487" s="146"/>
      <c r="AX487" s="168"/>
    </row>
    <row r="488" spans="1:50" s="139" customFormat="1" ht="11.25" x14ac:dyDescent="0.25">
      <c r="A488" s="140">
        <v>2</v>
      </c>
      <c r="B488" s="170" t="s">
        <v>506</v>
      </c>
      <c r="C488" s="142"/>
      <c r="D488" s="143"/>
      <c r="E488" s="143"/>
      <c r="F488" s="143"/>
      <c r="G488" s="143"/>
      <c r="H488" s="143"/>
      <c r="I488" s="143"/>
      <c r="J488" s="143"/>
      <c r="K488" s="143"/>
      <c r="L488" s="143"/>
      <c r="M488" s="222"/>
      <c r="N488" s="222">
        <v>174800</v>
      </c>
      <c r="O488" s="145"/>
      <c r="P488" s="223">
        <f t="shared" si="325"/>
        <v>174800</v>
      </c>
      <c r="Q488" s="147">
        <f t="shared" si="326"/>
        <v>19228</v>
      </c>
      <c r="R488" s="147">
        <f t="shared" si="327"/>
        <v>52.679452054794524</v>
      </c>
      <c r="S488" s="148">
        <f t="shared" si="328"/>
        <v>11536.8</v>
      </c>
      <c r="T488" s="199"/>
      <c r="U488" s="150"/>
      <c r="V488" s="151"/>
      <c r="W488" s="151"/>
      <c r="X488" s="152"/>
      <c r="Y488" s="153"/>
      <c r="Z488" s="153"/>
      <c r="AA488" s="154"/>
      <c r="AB488" s="155">
        <f>S488*$AB$3</f>
        <v>6691.3439999999991</v>
      </c>
      <c r="AC488" s="156">
        <f>S488*$AC$3</f>
        <v>1499.7839999999999</v>
      </c>
      <c r="AD488" s="156">
        <f>S488*$AD$3</f>
        <v>1012.3541999999999</v>
      </c>
      <c r="AE488" s="156">
        <f>S488*$AE$3</f>
        <v>461.47199999999998</v>
      </c>
      <c r="AF488" s="156">
        <f>S488*$AF$3</f>
        <v>230.73599999999999</v>
      </c>
      <c r="AG488" s="156">
        <f>S488*$AG$3</f>
        <v>230.73599999999999</v>
      </c>
      <c r="AH488" s="156">
        <f>S488*$AH$3</f>
        <v>115.36799999999999</v>
      </c>
      <c r="AI488" s="156">
        <f>S488*$AI$3</f>
        <v>230.73599999999999</v>
      </c>
      <c r="AJ488" s="156">
        <f>S488*$AJ$3</f>
        <v>230.73599999999999</v>
      </c>
      <c r="AK488" s="156">
        <f>S488*$AK$3</f>
        <v>807.57600000000002</v>
      </c>
      <c r="AL488" s="157">
        <f t="shared" si="329"/>
        <v>3550.4501999999998</v>
      </c>
      <c r="AM488" s="158">
        <f t="shared" si="330"/>
        <v>2200</v>
      </c>
      <c r="AN488" s="159">
        <v>0.2</v>
      </c>
      <c r="AO488" s="160">
        <f t="shared" si="331"/>
        <v>94336756.704431996</v>
      </c>
      <c r="AP488" s="161">
        <f t="shared" si="332"/>
        <v>26204.656736492369</v>
      </c>
      <c r="AQ488" s="162">
        <f t="shared" si="333"/>
        <v>5240.9313472984741</v>
      </c>
      <c r="AR488" s="580">
        <f t="shared" si="334"/>
        <v>0.74784979270811558</v>
      </c>
      <c r="AS488" s="582">
        <f t="shared" si="335"/>
        <v>0.74784979270811558</v>
      </c>
      <c r="AT488" s="165"/>
      <c r="AU488" s="166"/>
      <c r="AV488" s="167"/>
      <c r="AW488" s="146"/>
      <c r="AX488" s="168"/>
    </row>
    <row r="489" spans="1:50" s="139" customFormat="1" ht="11.25" x14ac:dyDescent="0.25">
      <c r="A489" s="140">
        <v>3</v>
      </c>
      <c r="B489" s="170" t="s">
        <v>507</v>
      </c>
      <c r="C489" s="142"/>
      <c r="D489" s="143"/>
      <c r="E489" s="143"/>
      <c r="F489" s="143"/>
      <c r="G489" s="143"/>
      <c r="H489" s="143"/>
      <c r="I489" s="143"/>
      <c r="J489" s="143"/>
      <c r="K489" s="143"/>
      <c r="L489" s="143"/>
      <c r="M489" s="222"/>
      <c r="N489" s="222">
        <v>134776</v>
      </c>
      <c r="O489" s="145"/>
      <c r="P489" s="223">
        <f t="shared" si="325"/>
        <v>134776</v>
      </c>
      <c r="Q489" s="147">
        <f t="shared" si="326"/>
        <v>14825.36</v>
      </c>
      <c r="R489" s="147">
        <f t="shared" si="327"/>
        <v>40.617424657534251</v>
      </c>
      <c r="S489" s="148">
        <f t="shared" si="328"/>
        <v>8895.2160000000003</v>
      </c>
      <c r="T489" s="199"/>
      <c r="U489" s="150"/>
      <c r="V489" s="151"/>
      <c r="W489" s="151"/>
      <c r="X489" s="152"/>
      <c r="Y489" s="153"/>
      <c r="Z489" s="153"/>
      <c r="AA489" s="154"/>
      <c r="AB489" s="155">
        <f>S489*$AB$3</f>
        <v>5159.2252799999997</v>
      </c>
      <c r="AC489" s="156">
        <f>S489*$AC$3</f>
        <v>1156.3780800000002</v>
      </c>
      <c r="AD489" s="156">
        <f>S489*$AD$3</f>
        <v>780.555204</v>
      </c>
      <c r="AE489" s="156">
        <f>S489*$AE$3</f>
        <v>355.80864000000003</v>
      </c>
      <c r="AF489" s="156">
        <f>S489*$AF$3</f>
        <v>177.90432000000001</v>
      </c>
      <c r="AG489" s="156">
        <f>S489*$AG$3</f>
        <v>177.90432000000001</v>
      </c>
      <c r="AH489" s="156">
        <f>S489*$AH$3</f>
        <v>88.952160000000006</v>
      </c>
      <c r="AI489" s="156">
        <f>S489*$AI$3</f>
        <v>177.90432000000001</v>
      </c>
      <c r="AJ489" s="156">
        <f>S489*$AJ$3</f>
        <v>177.90432000000001</v>
      </c>
      <c r="AK489" s="156">
        <f>S489*$AK$3</f>
        <v>622.66512000000012</v>
      </c>
      <c r="AL489" s="157">
        <f t="shared" si="329"/>
        <v>2737.5027240000004</v>
      </c>
      <c r="AM489" s="158">
        <f t="shared" si="330"/>
        <v>2200</v>
      </c>
      <c r="AN489" s="159">
        <v>0.2</v>
      </c>
      <c r="AO489" s="160">
        <f t="shared" si="331"/>
        <v>72736445.775723845</v>
      </c>
      <c r="AP489" s="161">
        <f t="shared" si="332"/>
        <v>20204.569887399863</v>
      </c>
      <c r="AQ489" s="162">
        <f t="shared" si="333"/>
        <v>4040.9139774799728</v>
      </c>
      <c r="AR489" s="580">
        <f t="shared" si="334"/>
        <v>0.57661443742579521</v>
      </c>
      <c r="AS489" s="582">
        <f t="shared" si="335"/>
        <v>0.57661443742579521</v>
      </c>
      <c r="AT489" s="165"/>
      <c r="AU489" s="166"/>
      <c r="AV489" s="167"/>
      <c r="AW489" s="146"/>
      <c r="AX489" s="168"/>
    </row>
    <row r="490" spans="1:50" s="139" customFormat="1" ht="11.25" x14ac:dyDescent="0.25">
      <c r="A490" s="140">
        <v>4</v>
      </c>
      <c r="B490" s="170" t="s">
        <v>508</v>
      </c>
      <c r="C490" s="142"/>
      <c r="D490" s="143"/>
      <c r="E490" s="143"/>
      <c r="F490" s="143"/>
      <c r="G490" s="143"/>
      <c r="H490" s="143"/>
      <c r="I490" s="143"/>
      <c r="J490" s="143"/>
      <c r="K490" s="143"/>
      <c r="L490" s="143"/>
      <c r="M490" s="222"/>
      <c r="N490" s="222">
        <v>282752</v>
      </c>
      <c r="O490" s="145"/>
      <c r="P490" s="223">
        <f t="shared" si="325"/>
        <v>282752</v>
      </c>
      <c r="Q490" s="147">
        <f t="shared" si="326"/>
        <v>31102.720000000001</v>
      </c>
      <c r="R490" s="147">
        <f t="shared" si="327"/>
        <v>85.212931506849316</v>
      </c>
      <c r="S490" s="148">
        <f t="shared" si="328"/>
        <v>18661.632000000001</v>
      </c>
      <c r="T490" s="199"/>
      <c r="U490" s="150"/>
      <c r="V490" s="151"/>
      <c r="W490" s="151"/>
      <c r="X490" s="152"/>
      <c r="Y490" s="153"/>
      <c r="Z490" s="153"/>
      <c r="AA490" s="154"/>
      <c r="AB490" s="155">
        <f>S490*$AB$3</f>
        <v>10823.74656</v>
      </c>
      <c r="AC490" s="156">
        <f>S490*$AC$3</f>
        <v>2426.0121600000002</v>
      </c>
      <c r="AD490" s="156">
        <f>S490*$AD$3</f>
        <v>1637.5582079999999</v>
      </c>
      <c r="AE490" s="156">
        <f>S490*$AE$3</f>
        <v>746.46528000000012</v>
      </c>
      <c r="AF490" s="156">
        <f>S490*$AF$3</f>
        <v>373.23264000000006</v>
      </c>
      <c r="AG490" s="156">
        <f>S490*$AG$3</f>
        <v>373.23264000000006</v>
      </c>
      <c r="AH490" s="156">
        <f>S490*$AH$3</f>
        <v>186.61632000000003</v>
      </c>
      <c r="AI490" s="156">
        <f>S490*$AI$3</f>
        <v>373.23264000000006</v>
      </c>
      <c r="AJ490" s="156">
        <f>S490*$AJ$3</f>
        <v>373.23264000000006</v>
      </c>
      <c r="AK490" s="156">
        <f>S490*$AK$3</f>
        <v>1306.3142400000002</v>
      </c>
      <c r="AL490" s="157">
        <f t="shared" si="329"/>
        <v>5743.1172480000005</v>
      </c>
      <c r="AM490" s="158">
        <f t="shared" si="330"/>
        <v>2200</v>
      </c>
      <c r="AN490" s="159">
        <v>0.2</v>
      </c>
      <c r="AO490" s="160">
        <f t="shared" si="331"/>
        <v>152596719.86093572</v>
      </c>
      <c r="AP490" s="161">
        <f t="shared" si="332"/>
        <v>42387.981130187029</v>
      </c>
      <c r="AQ490" s="162">
        <f t="shared" si="333"/>
        <v>8477.5962260374054</v>
      </c>
      <c r="AR490" s="580">
        <f t="shared" si="334"/>
        <v>1.2097026578249723</v>
      </c>
      <c r="AS490" s="582">
        <f t="shared" si="335"/>
        <v>1.2097026578249723</v>
      </c>
      <c r="AT490" s="165"/>
      <c r="AU490" s="166"/>
      <c r="AV490" s="167"/>
      <c r="AW490" s="146"/>
      <c r="AX490" s="168"/>
    </row>
    <row r="491" spans="1:50" s="139" customFormat="1" ht="11.25" x14ac:dyDescent="0.25">
      <c r="A491" s="140">
        <v>5</v>
      </c>
      <c r="B491" s="170" t="s">
        <v>509</v>
      </c>
      <c r="C491" s="142"/>
      <c r="D491" s="143"/>
      <c r="E491" s="143"/>
      <c r="F491" s="143"/>
      <c r="G491" s="143"/>
      <c r="H491" s="143"/>
      <c r="I491" s="143"/>
      <c r="J491" s="143"/>
      <c r="K491" s="143"/>
      <c r="L491" s="143"/>
      <c r="M491" s="222"/>
      <c r="N491" s="222">
        <v>210136</v>
      </c>
      <c r="O491" s="145"/>
      <c r="P491" s="223">
        <f t="shared" si="325"/>
        <v>210136</v>
      </c>
      <c r="Q491" s="147">
        <f t="shared" si="326"/>
        <v>23114.959999999999</v>
      </c>
      <c r="R491" s="147">
        <f t="shared" si="327"/>
        <v>63.328657534246574</v>
      </c>
      <c r="S491" s="148">
        <f t="shared" si="328"/>
        <v>13868.975999999999</v>
      </c>
      <c r="T491" s="199"/>
      <c r="U491" s="150"/>
      <c r="V491" s="151"/>
      <c r="W491" s="151"/>
      <c r="X491" s="152"/>
      <c r="Y491" s="153"/>
      <c r="Z491" s="153"/>
      <c r="AA491" s="154"/>
      <c r="AB491" s="155">
        <f>S491*$AB$3</f>
        <v>8044.0060799999983</v>
      </c>
      <c r="AC491" s="156">
        <f>S491*$AC$3</f>
        <v>1802.9668799999999</v>
      </c>
      <c r="AD491" s="156">
        <f>S491*$AD$3</f>
        <v>1217.0026439999999</v>
      </c>
      <c r="AE491" s="156">
        <f>S491*$AE$3</f>
        <v>554.75903999999991</v>
      </c>
      <c r="AF491" s="156">
        <f>S491*$AF$3</f>
        <v>277.37951999999996</v>
      </c>
      <c r="AG491" s="156">
        <f>S491*$AG$3</f>
        <v>277.37951999999996</v>
      </c>
      <c r="AH491" s="156">
        <f>S491*$AH$3</f>
        <v>138.68975999999998</v>
      </c>
      <c r="AI491" s="156">
        <f>S491*$AI$3</f>
        <v>277.37951999999996</v>
      </c>
      <c r="AJ491" s="156">
        <f>S491*$AJ$3</f>
        <v>277.37951999999996</v>
      </c>
      <c r="AK491" s="156">
        <f>S491*$AK$3</f>
        <v>970.82831999999996</v>
      </c>
      <c r="AL491" s="157">
        <f t="shared" si="329"/>
        <v>4268.1773640000001</v>
      </c>
      <c r="AM491" s="158">
        <f t="shared" si="330"/>
        <v>2200</v>
      </c>
      <c r="AN491" s="159">
        <v>0.2</v>
      </c>
      <c r="AO491" s="160">
        <f t="shared" si="331"/>
        <v>113407029.21534622</v>
      </c>
      <c r="AP491" s="161">
        <f t="shared" si="332"/>
        <v>31501.955079974599</v>
      </c>
      <c r="AQ491" s="162">
        <f t="shared" si="333"/>
        <v>6300.3910159949201</v>
      </c>
      <c r="AR491" s="580">
        <f t="shared" si="334"/>
        <v>0.8990283984011016</v>
      </c>
      <c r="AS491" s="582">
        <f t="shared" si="335"/>
        <v>0.8990283984011016</v>
      </c>
      <c r="AT491" s="165"/>
      <c r="AU491" s="166"/>
      <c r="AV491" s="167"/>
      <c r="AW491" s="146"/>
      <c r="AX491" s="168"/>
    </row>
    <row r="492" spans="1:50" s="139" customFormat="1" ht="11.25" x14ac:dyDescent="0.25">
      <c r="A492" s="140">
        <v>6</v>
      </c>
      <c r="B492" s="170" t="s">
        <v>510</v>
      </c>
      <c r="C492" s="142"/>
      <c r="D492" s="143"/>
      <c r="E492" s="143"/>
      <c r="F492" s="143"/>
      <c r="G492" s="143"/>
      <c r="H492" s="143"/>
      <c r="I492" s="143"/>
      <c r="J492" s="143"/>
      <c r="K492" s="143"/>
      <c r="L492" s="143"/>
      <c r="M492" s="222"/>
      <c r="N492" s="222">
        <v>421234</v>
      </c>
      <c r="O492" s="145"/>
      <c r="P492" s="223">
        <f t="shared" si="325"/>
        <v>421234</v>
      </c>
      <c r="Q492" s="147">
        <f t="shared" si="326"/>
        <v>46335.74</v>
      </c>
      <c r="R492" s="147">
        <f t="shared" si="327"/>
        <v>126.94723287671232</v>
      </c>
      <c r="S492" s="148">
        <f t="shared" si="328"/>
        <v>27801.444</v>
      </c>
      <c r="T492" s="199"/>
      <c r="U492" s="150"/>
      <c r="V492" s="151"/>
      <c r="W492" s="151"/>
      <c r="X492" s="152"/>
      <c r="Y492" s="153"/>
      <c r="Z492" s="153"/>
      <c r="AA492" s="154"/>
      <c r="AB492" s="155">
        <f>S492*$AB$3</f>
        <v>16124.837519999999</v>
      </c>
      <c r="AC492" s="156">
        <f>S492*$AC$3</f>
        <v>3614.1877199999999</v>
      </c>
      <c r="AD492" s="156">
        <f>S492*$AD$3</f>
        <v>2439.5767109999997</v>
      </c>
      <c r="AE492" s="156">
        <f>S492*$AE$3</f>
        <v>1112.0577599999999</v>
      </c>
      <c r="AF492" s="156">
        <f>S492*$AF$3</f>
        <v>556.02887999999996</v>
      </c>
      <c r="AG492" s="156">
        <f>S492*$AG$3</f>
        <v>556.02887999999996</v>
      </c>
      <c r="AH492" s="156">
        <f>S492*$AH$3</f>
        <v>278.01443999999998</v>
      </c>
      <c r="AI492" s="156">
        <f>S492*$AI$3</f>
        <v>556.02887999999996</v>
      </c>
      <c r="AJ492" s="156">
        <f>S492*$AJ$3</f>
        <v>556.02887999999996</v>
      </c>
      <c r="AK492" s="156">
        <f>S492*$AK$3</f>
        <v>1946.1010800000001</v>
      </c>
      <c r="AL492" s="157">
        <f t="shared" si="329"/>
        <v>8555.8943909999998</v>
      </c>
      <c r="AM492" s="158">
        <f t="shared" si="330"/>
        <v>2200</v>
      </c>
      <c r="AN492" s="159">
        <v>0.2</v>
      </c>
      <c r="AO492" s="160">
        <f t="shared" si="331"/>
        <v>227333234.40294456</v>
      </c>
      <c r="AP492" s="161">
        <f t="shared" si="332"/>
        <v>63148.125719334254</v>
      </c>
      <c r="AQ492" s="162">
        <f t="shared" si="333"/>
        <v>12629.625143866851</v>
      </c>
      <c r="AR492" s="580">
        <f t="shared" si="334"/>
        <v>1.8021725376522333</v>
      </c>
      <c r="AS492" s="582">
        <f t="shared" si="335"/>
        <v>1.8021725376522333</v>
      </c>
      <c r="AT492" s="165"/>
      <c r="AU492" s="166"/>
      <c r="AV492" s="167"/>
      <c r="AW492" s="146"/>
      <c r="AX492" s="168"/>
    </row>
    <row r="493" spans="1:50" s="139" customFormat="1" ht="11.25" x14ac:dyDescent="0.25">
      <c r="A493" s="140">
        <v>7</v>
      </c>
      <c r="B493" s="170" t="s">
        <v>511</v>
      </c>
      <c r="C493" s="142"/>
      <c r="D493" s="143"/>
      <c r="E493" s="143"/>
      <c r="F493" s="143"/>
      <c r="G493" s="143"/>
      <c r="H493" s="143"/>
      <c r="I493" s="143"/>
      <c r="J493" s="143"/>
      <c r="K493" s="143"/>
      <c r="L493" s="143"/>
      <c r="M493" s="222"/>
      <c r="N493" s="222">
        <v>213096</v>
      </c>
      <c r="O493" s="145"/>
      <c r="P493" s="223">
        <f t="shared" si="325"/>
        <v>213096</v>
      </c>
      <c r="Q493" s="147">
        <f t="shared" si="326"/>
        <v>23440.560000000001</v>
      </c>
      <c r="R493" s="147">
        <f t="shared" si="327"/>
        <v>64.220712328767121</v>
      </c>
      <c r="S493" s="148">
        <f t="shared" si="328"/>
        <v>14064.335999999998</v>
      </c>
      <c r="T493" s="199"/>
      <c r="U493" s="150"/>
      <c r="V493" s="151"/>
      <c r="W493" s="151"/>
      <c r="X493" s="152"/>
      <c r="Y493" s="153"/>
      <c r="Z493" s="153"/>
      <c r="AA493" s="154"/>
      <c r="AB493" s="155">
        <f>S493*$AB$3</f>
        <v>8157.3148799999981</v>
      </c>
      <c r="AC493" s="156">
        <f>S493*$AC$3</f>
        <v>1828.3636799999997</v>
      </c>
      <c r="AD493" s="156">
        <f>S493*$AD$3</f>
        <v>1234.1454839999997</v>
      </c>
      <c r="AE493" s="156">
        <f>S493*$AE$3</f>
        <v>562.57343999999989</v>
      </c>
      <c r="AF493" s="156">
        <f>S493*$AF$3</f>
        <v>281.28671999999995</v>
      </c>
      <c r="AG493" s="156">
        <f>S493*$AG$3</f>
        <v>281.28671999999995</v>
      </c>
      <c r="AH493" s="156">
        <f>S493*$AH$3</f>
        <v>140.64335999999997</v>
      </c>
      <c r="AI493" s="156">
        <f>S493*$AI$3</f>
        <v>281.28671999999995</v>
      </c>
      <c r="AJ493" s="156">
        <f>S493*$AJ$3</f>
        <v>281.28671999999995</v>
      </c>
      <c r="AK493" s="156">
        <f>S493*$AK$3</f>
        <v>984.50351999999987</v>
      </c>
      <c r="AL493" s="157">
        <f t="shared" si="329"/>
        <v>4328.2994039999994</v>
      </c>
      <c r="AM493" s="158">
        <f t="shared" si="330"/>
        <v>2200</v>
      </c>
      <c r="AN493" s="159">
        <v>0.2</v>
      </c>
      <c r="AO493" s="160">
        <f t="shared" si="331"/>
        <v>115004493.74535261</v>
      </c>
      <c r="AP493" s="161">
        <f t="shared" si="332"/>
        <v>31945.695262697809</v>
      </c>
      <c r="AQ493" s="162">
        <f t="shared" si="333"/>
        <v>6389.1390525395618</v>
      </c>
      <c r="AR493" s="580">
        <f t="shared" si="334"/>
        <v>0.91169221640119313</v>
      </c>
      <c r="AS493" s="582">
        <f t="shared" si="335"/>
        <v>0.91169221640119313</v>
      </c>
      <c r="AT493" s="165"/>
      <c r="AU493" s="166"/>
      <c r="AV493" s="167"/>
      <c r="AW493" s="146"/>
      <c r="AX493" s="168"/>
    </row>
    <row r="494" spans="1:50" s="139" customFormat="1" ht="11.25" x14ac:dyDescent="0.25">
      <c r="A494" s="140">
        <v>8</v>
      </c>
      <c r="B494" s="170" t="s">
        <v>512</v>
      </c>
      <c r="C494" s="142"/>
      <c r="D494" s="143"/>
      <c r="E494" s="143"/>
      <c r="F494" s="143"/>
      <c r="G494" s="143"/>
      <c r="H494" s="143"/>
      <c r="I494" s="143"/>
      <c r="J494" s="143"/>
      <c r="K494" s="143"/>
      <c r="L494" s="143"/>
      <c r="M494" s="222"/>
      <c r="N494" s="222">
        <v>219005</v>
      </c>
      <c r="O494" s="145"/>
      <c r="P494" s="223">
        <f t="shared" si="325"/>
        <v>219005</v>
      </c>
      <c r="Q494" s="147">
        <f t="shared" si="326"/>
        <v>24090.55</v>
      </c>
      <c r="R494" s="147">
        <f t="shared" si="327"/>
        <v>66.001506849315064</v>
      </c>
      <c r="S494" s="148">
        <f t="shared" si="328"/>
        <v>14454.33</v>
      </c>
      <c r="T494" s="199"/>
      <c r="U494" s="150"/>
      <c r="V494" s="151"/>
      <c r="W494" s="151"/>
      <c r="X494" s="152"/>
      <c r="Y494" s="153"/>
      <c r="Z494" s="153"/>
      <c r="AA494" s="154"/>
      <c r="AB494" s="155">
        <f>S494*$AB$3</f>
        <v>8383.5113999999994</v>
      </c>
      <c r="AC494" s="156">
        <f>S494*$AC$3</f>
        <v>1879.0629000000001</v>
      </c>
      <c r="AD494" s="156">
        <f>S494*$AD$3</f>
        <v>1268.3674575</v>
      </c>
      <c r="AE494" s="156">
        <f>S494*$AE$3</f>
        <v>578.17320000000007</v>
      </c>
      <c r="AF494" s="156">
        <f>S494*$AF$3</f>
        <v>289.08660000000003</v>
      </c>
      <c r="AG494" s="156">
        <f>S494*$AG$3</f>
        <v>289.08660000000003</v>
      </c>
      <c r="AH494" s="156">
        <f>S494*$AH$3</f>
        <v>144.54330000000002</v>
      </c>
      <c r="AI494" s="156">
        <f>S494*$AI$3</f>
        <v>289.08660000000003</v>
      </c>
      <c r="AJ494" s="156">
        <f>S494*$AJ$3</f>
        <v>289.08660000000003</v>
      </c>
      <c r="AK494" s="156">
        <f>S494*$AK$3</f>
        <v>1011.8031000000001</v>
      </c>
      <c r="AL494" s="157">
        <f t="shared" si="329"/>
        <v>4448.320057500001</v>
      </c>
      <c r="AM494" s="158">
        <f t="shared" si="330"/>
        <v>2200</v>
      </c>
      <c r="AN494" s="159">
        <v>0.2</v>
      </c>
      <c r="AO494" s="160">
        <f t="shared" si="331"/>
        <v>118193486.28177421</v>
      </c>
      <c r="AP494" s="161">
        <f t="shared" si="332"/>
        <v>32831.526593681418</v>
      </c>
      <c r="AQ494" s="162">
        <f t="shared" si="333"/>
        <v>6566.3053187362839</v>
      </c>
      <c r="AR494" s="580">
        <f t="shared" si="334"/>
        <v>0.93697279091556562</v>
      </c>
      <c r="AS494" s="582">
        <f t="shared" si="335"/>
        <v>0.93697279091556562</v>
      </c>
      <c r="AT494" s="165"/>
      <c r="AU494" s="166"/>
      <c r="AV494" s="167"/>
      <c r="AW494" s="146"/>
      <c r="AX494" s="168"/>
    </row>
    <row r="495" spans="1:50" s="139" customFormat="1" ht="11.25" x14ac:dyDescent="0.25">
      <c r="A495" s="140">
        <v>9</v>
      </c>
      <c r="B495" s="170" t="s">
        <v>513</v>
      </c>
      <c r="C495" s="142"/>
      <c r="D495" s="143"/>
      <c r="E495" s="143"/>
      <c r="F495" s="143"/>
      <c r="G495" s="143"/>
      <c r="H495" s="143"/>
      <c r="I495" s="143"/>
      <c r="J495" s="143"/>
      <c r="K495" s="143"/>
      <c r="L495" s="143"/>
      <c r="M495" s="222"/>
      <c r="N495" s="222">
        <v>140358</v>
      </c>
      <c r="O495" s="145"/>
      <c r="P495" s="223">
        <f t="shared" si="325"/>
        <v>140358</v>
      </c>
      <c r="Q495" s="147">
        <f t="shared" si="326"/>
        <v>15439.38</v>
      </c>
      <c r="R495" s="147">
        <f t="shared" si="327"/>
        <v>42.299671232876712</v>
      </c>
      <c r="S495" s="148">
        <f t="shared" si="328"/>
        <v>9263.6279999999988</v>
      </c>
      <c r="T495" s="199"/>
      <c r="U495" s="150"/>
      <c r="V495" s="151"/>
      <c r="W495" s="151"/>
      <c r="X495" s="152"/>
      <c r="Y495" s="153"/>
      <c r="Z495" s="153"/>
      <c r="AA495" s="154"/>
      <c r="AB495" s="155">
        <f>S495*$AB$3</f>
        <v>5372.9042399999989</v>
      </c>
      <c r="AC495" s="156">
        <f>S495*$AC$3</f>
        <v>1204.2716399999999</v>
      </c>
      <c r="AD495" s="156">
        <f>S495*$AD$3</f>
        <v>812.88335699999982</v>
      </c>
      <c r="AE495" s="156">
        <f>S495*$AE$3</f>
        <v>370.54511999999994</v>
      </c>
      <c r="AF495" s="156">
        <f>S495*$AF$3</f>
        <v>185.27255999999997</v>
      </c>
      <c r="AG495" s="156">
        <f>S495*$AG$3</f>
        <v>185.27255999999997</v>
      </c>
      <c r="AH495" s="156">
        <f>S495*$AH$3</f>
        <v>92.636279999999985</v>
      </c>
      <c r="AI495" s="156">
        <f>S495*$AI$3</f>
        <v>185.27255999999997</v>
      </c>
      <c r="AJ495" s="156">
        <f>S495*$AJ$3</f>
        <v>185.27255999999997</v>
      </c>
      <c r="AK495" s="156">
        <f>S495*$AK$3</f>
        <v>648.45395999999994</v>
      </c>
      <c r="AL495" s="157">
        <f t="shared" si="329"/>
        <v>2850.8815169999993</v>
      </c>
      <c r="AM495" s="158">
        <f t="shared" si="330"/>
        <v>2200</v>
      </c>
      <c r="AN495" s="159">
        <v>0.2</v>
      </c>
      <c r="AO495" s="160">
        <f t="shared" si="331"/>
        <v>75748961.6562967</v>
      </c>
      <c r="AP495" s="161">
        <f t="shared" si="332"/>
        <v>21041.379921170454</v>
      </c>
      <c r="AQ495" s="162">
        <f t="shared" si="333"/>
        <v>4208.2759842340911</v>
      </c>
      <c r="AR495" s="580">
        <f t="shared" si="334"/>
        <v>0.60049600231650846</v>
      </c>
      <c r="AS495" s="435">
        <f t="shared" si="335"/>
        <v>0.60049600231650846</v>
      </c>
      <c r="AT495" s="187"/>
      <c r="AU495" s="166"/>
      <c r="AV495" s="167"/>
      <c r="AW495" s="146"/>
      <c r="AX495" s="168"/>
    </row>
    <row r="496" spans="1:50" s="139" customFormat="1" ht="11.25" x14ac:dyDescent="0.25">
      <c r="A496" s="140">
        <v>10</v>
      </c>
      <c r="B496" s="170" t="s">
        <v>514</v>
      </c>
      <c r="C496" s="142"/>
      <c r="D496" s="143"/>
      <c r="E496" s="143"/>
      <c r="F496" s="143"/>
      <c r="G496" s="143"/>
      <c r="H496" s="143"/>
      <c r="I496" s="143"/>
      <c r="J496" s="143"/>
      <c r="K496" s="143"/>
      <c r="L496" s="143"/>
      <c r="M496" s="222"/>
      <c r="N496" s="222">
        <v>215202</v>
      </c>
      <c r="O496" s="145"/>
      <c r="P496" s="223">
        <f t="shared" si="325"/>
        <v>215202</v>
      </c>
      <c r="Q496" s="147">
        <f t="shared" si="326"/>
        <v>23672.22</v>
      </c>
      <c r="R496" s="147">
        <f t="shared" si="327"/>
        <v>64.855397260273975</v>
      </c>
      <c r="S496" s="148">
        <f t="shared" si="328"/>
        <v>14203.332</v>
      </c>
      <c r="T496" s="199"/>
      <c r="U496" s="150"/>
      <c r="V496" s="151"/>
      <c r="W496" s="151"/>
      <c r="X496" s="152"/>
      <c r="Y496" s="153"/>
      <c r="Z496" s="153"/>
      <c r="AA496" s="154"/>
      <c r="AB496" s="155">
        <f>S496*$AB$3</f>
        <v>8237.9325599999993</v>
      </c>
      <c r="AC496" s="156">
        <f>S496*$AC$3</f>
        <v>1846.43316</v>
      </c>
      <c r="AD496" s="156">
        <f>S496*$AD$3</f>
        <v>1246.3423829999999</v>
      </c>
      <c r="AE496" s="156">
        <f>S496*$AE$3</f>
        <v>568.13328000000001</v>
      </c>
      <c r="AF496" s="156">
        <f>S496*$AF$3</f>
        <v>284.06664000000001</v>
      </c>
      <c r="AG496" s="156">
        <f>S496*$AG$3</f>
        <v>284.06664000000001</v>
      </c>
      <c r="AH496" s="156">
        <f>S496*$AH$3</f>
        <v>142.03332</v>
      </c>
      <c r="AI496" s="156">
        <f>S496*$AI$3</f>
        <v>284.06664000000001</v>
      </c>
      <c r="AJ496" s="156">
        <f>S496*$AJ$3</f>
        <v>284.06664000000001</v>
      </c>
      <c r="AK496" s="156">
        <f>S496*$AK$3</f>
        <v>994.23324000000014</v>
      </c>
      <c r="AL496" s="157">
        <f t="shared" si="329"/>
        <v>4371.0754230000002</v>
      </c>
      <c r="AM496" s="158">
        <f t="shared" si="330"/>
        <v>2200</v>
      </c>
      <c r="AN496" s="159">
        <v>0.2</v>
      </c>
      <c r="AO496" s="160">
        <f t="shared" si="331"/>
        <v>116141068.17109367</v>
      </c>
      <c r="AP496" s="161">
        <f t="shared" si="332"/>
        <v>32261.410406216422</v>
      </c>
      <c r="AQ496" s="162">
        <f t="shared" si="333"/>
        <v>6452.2820812432847</v>
      </c>
      <c r="AR496" s="580">
        <f t="shared" si="334"/>
        <v>0.92070235177558291</v>
      </c>
      <c r="AS496" s="582">
        <f t="shared" si="335"/>
        <v>0.92070235177558291</v>
      </c>
      <c r="AT496" s="165"/>
      <c r="AU496" s="166"/>
      <c r="AV496" s="167"/>
      <c r="AW496" s="146"/>
      <c r="AX496" s="168"/>
    </row>
    <row r="497" spans="1:50" s="139" customFormat="1" ht="11.25" x14ac:dyDescent="0.25">
      <c r="A497" s="140">
        <v>11</v>
      </c>
      <c r="B497" s="170" t="s">
        <v>515</v>
      </c>
      <c r="C497" s="142"/>
      <c r="D497" s="143"/>
      <c r="E497" s="143"/>
      <c r="F497" s="143"/>
      <c r="G497" s="143"/>
      <c r="H497" s="143"/>
      <c r="I497" s="143"/>
      <c r="J497" s="143"/>
      <c r="K497" s="143"/>
      <c r="L497" s="143"/>
      <c r="M497" s="222"/>
      <c r="N497" s="222">
        <v>342754</v>
      </c>
      <c r="O497" s="145"/>
      <c r="P497" s="223">
        <f t="shared" si="325"/>
        <v>342754</v>
      </c>
      <c r="Q497" s="147">
        <f t="shared" si="326"/>
        <v>37702.94</v>
      </c>
      <c r="R497" s="147">
        <f t="shared" si="327"/>
        <v>103.29572602739727</v>
      </c>
      <c r="S497" s="148">
        <f t="shared" si="328"/>
        <v>22621.763999999999</v>
      </c>
      <c r="T497" s="199"/>
      <c r="U497" s="150"/>
      <c r="V497" s="151"/>
      <c r="W497" s="151"/>
      <c r="X497" s="152"/>
      <c r="Y497" s="153"/>
      <c r="Z497" s="153"/>
      <c r="AA497" s="154"/>
      <c r="AB497" s="155">
        <f>S497*$AB$3</f>
        <v>13120.623119999998</v>
      </c>
      <c r="AC497" s="156">
        <f>S497*$AC$3</f>
        <v>2940.8293199999998</v>
      </c>
      <c r="AD497" s="156">
        <f>S497*$AD$3</f>
        <v>1985.0597909999999</v>
      </c>
      <c r="AE497" s="156">
        <f>S497*$AE$3</f>
        <v>904.87055999999995</v>
      </c>
      <c r="AF497" s="156">
        <f>S497*$AF$3</f>
        <v>452.43527999999998</v>
      </c>
      <c r="AG497" s="156">
        <f>S497*$AG$3</f>
        <v>452.43527999999998</v>
      </c>
      <c r="AH497" s="156">
        <f>S497*$AH$3</f>
        <v>226.21763999999999</v>
      </c>
      <c r="AI497" s="156">
        <f>S497*$AI$3</f>
        <v>452.43527999999998</v>
      </c>
      <c r="AJ497" s="156">
        <f>S497*$AJ$3</f>
        <v>452.43527999999998</v>
      </c>
      <c r="AK497" s="156">
        <f>S497*$AK$3</f>
        <v>1583.5234800000001</v>
      </c>
      <c r="AL497" s="157">
        <f t="shared" si="329"/>
        <v>6961.847870999999</v>
      </c>
      <c r="AM497" s="158">
        <f t="shared" si="330"/>
        <v>2200</v>
      </c>
      <c r="AN497" s="159">
        <v>0.2</v>
      </c>
      <c r="AO497" s="160">
        <f t="shared" si="331"/>
        <v>184978836.99926135</v>
      </c>
      <c r="AP497" s="161">
        <f t="shared" si="332"/>
        <v>51383.014388213422</v>
      </c>
      <c r="AQ497" s="162">
        <f t="shared" si="333"/>
        <v>10276.602877642685</v>
      </c>
      <c r="AR497" s="580">
        <f t="shared" si="334"/>
        <v>1.4664102279741273</v>
      </c>
      <c r="AS497" s="582">
        <f t="shared" si="335"/>
        <v>1.4664102279741273</v>
      </c>
      <c r="AT497" s="165"/>
      <c r="AU497" s="166"/>
      <c r="AV497" s="167"/>
      <c r="AW497" s="146"/>
      <c r="AX497" s="168"/>
    </row>
    <row r="498" spans="1:50" s="190" customFormat="1" ht="11.25" x14ac:dyDescent="0.25">
      <c r="A498" s="120"/>
      <c r="B498" s="121" t="s">
        <v>516</v>
      </c>
      <c r="C498" s="240">
        <f t="shared" ref="C498:T498" si="336">SUM(C487:C497)</f>
        <v>0</v>
      </c>
      <c r="D498" s="240">
        <f t="shared" si="336"/>
        <v>0</v>
      </c>
      <c r="E498" s="240">
        <f t="shared" si="336"/>
        <v>0</v>
      </c>
      <c r="F498" s="240">
        <f t="shared" si="336"/>
        <v>0</v>
      </c>
      <c r="G498" s="240">
        <f t="shared" si="336"/>
        <v>0</v>
      </c>
      <c r="H498" s="240">
        <f t="shared" si="336"/>
        <v>0</v>
      </c>
      <c r="I498" s="240">
        <f t="shared" si="336"/>
        <v>0</v>
      </c>
      <c r="J498" s="240">
        <f t="shared" si="336"/>
        <v>0</v>
      </c>
      <c r="K498" s="240">
        <f t="shared" si="336"/>
        <v>0</v>
      </c>
      <c r="L498" s="240">
        <f t="shared" si="336"/>
        <v>0</v>
      </c>
      <c r="M498" s="240">
        <f t="shared" si="336"/>
        <v>0</v>
      </c>
      <c r="N498" s="240">
        <f t="shared" si="336"/>
        <v>2683722</v>
      </c>
      <c r="O498" s="240">
        <f t="shared" si="336"/>
        <v>0</v>
      </c>
      <c r="P498" s="240">
        <f t="shared" si="336"/>
        <v>2683722</v>
      </c>
      <c r="Q498" s="240">
        <f t="shared" si="336"/>
        <v>295209.42</v>
      </c>
      <c r="R498" s="240">
        <f t="shared" si="336"/>
        <v>808.7929315068493</v>
      </c>
      <c r="S498" s="240">
        <f t="shared" si="336"/>
        <v>177125.652</v>
      </c>
      <c r="T498" s="199">
        <f t="shared" si="336"/>
        <v>0</v>
      </c>
      <c r="U498" s="241"/>
      <c r="V498" s="242">
        <f>SUM(V487:V497)</f>
        <v>0</v>
      </c>
      <c r="W498" s="242">
        <f>SUM(W487:W497)</f>
        <v>0</v>
      </c>
      <c r="X498" s="242">
        <f>SUM(X487:X497)</f>
        <v>0</v>
      </c>
      <c r="Y498" s="199"/>
      <c r="Z498" s="199"/>
      <c r="AA498" s="243"/>
      <c r="AB498" s="240">
        <f t="shared" ref="AB498:AL498" si="337">SUM(AB487:AB497)</f>
        <v>102732.87816000001</v>
      </c>
      <c r="AC498" s="244">
        <f t="shared" si="337"/>
        <v>23026.334760000002</v>
      </c>
      <c r="AD498" s="244">
        <f t="shared" si="337"/>
        <v>15542.775962999998</v>
      </c>
      <c r="AE498" s="244">
        <f t="shared" si="337"/>
        <v>7085.0260800000005</v>
      </c>
      <c r="AF498" s="244">
        <f t="shared" si="337"/>
        <v>3542.5130400000003</v>
      </c>
      <c r="AG498" s="244">
        <f t="shared" si="337"/>
        <v>3542.5130400000003</v>
      </c>
      <c r="AH498" s="244">
        <f t="shared" si="337"/>
        <v>1771.2565200000001</v>
      </c>
      <c r="AI498" s="244">
        <f t="shared" si="337"/>
        <v>3542.5130400000003</v>
      </c>
      <c r="AJ498" s="244">
        <f t="shared" si="337"/>
        <v>3542.5130400000003</v>
      </c>
      <c r="AK498" s="244">
        <f t="shared" si="337"/>
        <v>12398.79564</v>
      </c>
      <c r="AL498" s="245">
        <f t="shared" si="337"/>
        <v>54510.419403</v>
      </c>
      <c r="AM498" s="158"/>
      <c r="AN498" s="183"/>
      <c r="AO498" s="184">
        <f>SUM(AO487:AO497)</f>
        <v>1448361724.1208904</v>
      </c>
      <c r="AP498" s="184">
        <f>SUM(AP487:AP497)</f>
        <v>402322.73333050788</v>
      </c>
      <c r="AQ498" s="184">
        <f>SUM(AQ487:AQ497)</f>
        <v>80464.546666101567</v>
      </c>
      <c r="AR498" s="186">
        <f>SUM(AR487:AR497)</f>
        <v>11.481813165824999</v>
      </c>
      <c r="AS498" s="435">
        <f>SUM(AS487:AS497)</f>
        <v>11.481813165824999</v>
      </c>
      <c r="AT498" s="187"/>
      <c r="AU498" s="246">
        <f>SUM(AU491:AU497)</f>
        <v>0</v>
      </c>
      <c r="AV498" s="246"/>
      <c r="AW498" s="185">
        <f>SUM(AW491:AW497)</f>
        <v>0</v>
      </c>
      <c r="AX498" s="189"/>
    </row>
    <row r="500" spans="1:50" s="139" customFormat="1" ht="11.25" x14ac:dyDescent="0.25">
      <c r="A500" s="126"/>
      <c r="B500" s="352" t="s">
        <v>517</v>
      </c>
      <c r="C500" s="122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213"/>
      <c r="P500" s="76"/>
      <c r="Q500" s="108"/>
      <c r="R500" s="108"/>
      <c r="S500" s="94"/>
      <c r="T500" s="199"/>
      <c r="U500" s="179"/>
      <c r="V500" s="180"/>
      <c r="W500" s="180"/>
      <c r="X500" s="214"/>
      <c r="Y500" s="181"/>
      <c r="Z500" s="181"/>
      <c r="AA500" s="182"/>
      <c r="AB500" s="62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125"/>
      <c r="AM500" s="75"/>
      <c r="AN500" s="216"/>
      <c r="AO500" s="75"/>
      <c r="AP500" s="51"/>
      <c r="AQ500" s="217"/>
      <c r="AR500" s="583"/>
      <c r="AS500" s="584"/>
      <c r="AT500" s="220"/>
      <c r="AU500" s="135"/>
      <c r="AV500" s="136"/>
      <c r="AW500" s="137"/>
      <c r="AX500" s="138"/>
    </row>
    <row r="501" spans="1:50" s="139" customFormat="1" ht="11.25" x14ac:dyDescent="0.25">
      <c r="A501" s="140">
        <v>1</v>
      </c>
      <c r="B501" s="358" t="s">
        <v>518</v>
      </c>
      <c r="C501" s="142"/>
      <c r="D501" s="143"/>
      <c r="E501" s="143"/>
      <c r="F501" s="143"/>
      <c r="G501" s="143"/>
      <c r="H501" s="143"/>
      <c r="I501" s="143"/>
      <c r="J501" s="143"/>
      <c r="K501" s="143"/>
      <c r="L501" s="143"/>
      <c r="M501" s="222"/>
      <c r="N501" s="222">
        <v>153869</v>
      </c>
      <c r="O501" s="145"/>
      <c r="P501" s="223">
        <f t="shared" ref="P501:P506" si="338">MAX(C501:O501)</f>
        <v>153869</v>
      </c>
      <c r="Q501" s="147">
        <f t="shared" ref="Q501:Q506" si="339">P501*$Q$8</f>
        <v>16925.59</v>
      </c>
      <c r="R501" s="147">
        <f t="shared" ref="R501:R506" si="340">Q501/$R$3</f>
        <v>46.371479452054793</v>
      </c>
      <c r="S501" s="148">
        <f t="shared" ref="S501:S506" si="341">R501*$S$3*$S$8</f>
        <v>10155.353999999999</v>
      </c>
      <c r="T501" s="199"/>
      <c r="U501" s="150"/>
      <c r="V501" s="151"/>
      <c r="W501" s="151"/>
      <c r="X501" s="152"/>
      <c r="Y501" s="153"/>
      <c r="Z501" s="153"/>
      <c r="AA501" s="154"/>
      <c r="AB501" s="155">
        <f>S501*$AB$3</f>
        <v>5890.1053199999997</v>
      </c>
      <c r="AC501" s="156">
        <f>S501*$AC$3</f>
        <v>1320.1960199999999</v>
      </c>
      <c r="AD501" s="156">
        <f>S501*$AD$3</f>
        <v>891.1323134999999</v>
      </c>
      <c r="AE501" s="156">
        <f>S501*$AE$3</f>
        <v>406.21415999999999</v>
      </c>
      <c r="AF501" s="156">
        <f>S501*$AF$3</f>
        <v>203.10708</v>
      </c>
      <c r="AG501" s="156">
        <f>S501*$AG$3</f>
        <v>203.10708</v>
      </c>
      <c r="AH501" s="156">
        <f>S501*$AH$3</f>
        <v>101.55354</v>
      </c>
      <c r="AI501" s="156">
        <f>S501*$AI$3</f>
        <v>203.10708</v>
      </c>
      <c r="AJ501" s="156">
        <f>S501*$AJ$3</f>
        <v>203.10708</v>
      </c>
      <c r="AK501" s="156">
        <f>S501*$AK$3</f>
        <v>710.87477999999999</v>
      </c>
      <c r="AL501" s="157">
        <f t="shared" ref="AL501:AL506" si="342">SUM(AC501:AH501)</f>
        <v>3125.3101934999995</v>
      </c>
      <c r="AM501" s="158">
        <f t="shared" ref="AM501:AM506" si="343">$AM$3</f>
        <v>2200</v>
      </c>
      <c r="AN501" s="159">
        <v>0.2</v>
      </c>
      <c r="AO501" s="160">
        <f t="shared" ref="AO501:AO506" si="344">(AB501+AL501)*AM501*$AO$3</f>
        <v>83040631.678227961</v>
      </c>
      <c r="AP501" s="161">
        <f t="shared" ref="AP501:AP506" si="345">AO501*$AP$3</f>
        <v>23066.84397818847</v>
      </c>
      <c r="AQ501" s="162">
        <f t="shared" ref="AQ501:AQ506" si="346">AP501*$AQ$3</f>
        <v>4613.3687956376943</v>
      </c>
      <c r="AR501" s="580">
        <f t="shared" ref="AR501:AR506" si="347">AQ501/$AR$3</f>
        <v>0.65830034184327835</v>
      </c>
      <c r="AS501" s="582">
        <f t="shared" ref="AS501:AS506" si="348">AR501</f>
        <v>0.65830034184327835</v>
      </c>
      <c r="AT501" s="165"/>
      <c r="AU501" s="166"/>
      <c r="AV501" s="167"/>
      <c r="AW501" s="146"/>
      <c r="AX501" s="168"/>
    </row>
    <row r="502" spans="1:50" s="139" customFormat="1" ht="11.25" x14ac:dyDescent="0.25">
      <c r="A502" s="140">
        <v>2</v>
      </c>
      <c r="B502" s="358" t="s">
        <v>519</v>
      </c>
      <c r="C502" s="142"/>
      <c r="D502" s="143"/>
      <c r="E502" s="143"/>
      <c r="F502" s="143"/>
      <c r="G502" s="143"/>
      <c r="H502" s="143"/>
      <c r="I502" s="143"/>
      <c r="J502" s="143"/>
      <c r="K502" s="143"/>
      <c r="L502" s="143"/>
      <c r="M502" s="222"/>
      <c r="N502" s="222">
        <v>142416</v>
      </c>
      <c r="O502" s="145"/>
      <c r="P502" s="223">
        <f t="shared" si="338"/>
        <v>142416</v>
      </c>
      <c r="Q502" s="147">
        <f t="shared" si="339"/>
        <v>15665.76</v>
      </c>
      <c r="R502" s="147">
        <f t="shared" si="340"/>
        <v>42.919890410958907</v>
      </c>
      <c r="S502" s="148">
        <f t="shared" si="341"/>
        <v>9399.4560000000001</v>
      </c>
      <c r="T502" s="199"/>
      <c r="U502" s="150"/>
      <c r="V502" s="151"/>
      <c r="W502" s="151"/>
      <c r="X502" s="152"/>
      <c r="Y502" s="153"/>
      <c r="Z502" s="153"/>
      <c r="AA502" s="154"/>
      <c r="AB502" s="155">
        <f>S502*$AB$3</f>
        <v>5451.6844799999999</v>
      </c>
      <c r="AC502" s="156">
        <f>S502*$AC$3</f>
        <v>1221.9292800000001</v>
      </c>
      <c r="AD502" s="156">
        <f>S502*$AD$3</f>
        <v>824.80226399999992</v>
      </c>
      <c r="AE502" s="156">
        <f>S502*$AE$3</f>
        <v>375.97824000000003</v>
      </c>
      <c r="AF502" s="156">
        <f>S502*$AF$3</f>
        <v>187.98912000000001</v>
      </c>
      <c r="AG502" s="156">
        <f>S502*$AG$3</f>
        <v>187.98912000000001</v>
      </c>
      <c r="AH502" s="156">
        <f>S502*$AH$3</f>
        <v>93.994560000000007</v>
      </c>
      <c r="AI502" s="156">
        <f>S502*$AI$3</f>
        <v>187.98912000000001</v>
      </c>
      <c r="AJ502" s="156">
        <f>S502*$AJ$3</f>
        <v>187.98912000000001</v>
      </c>
      <c r="AK502" s="156">
        <f>S502*$AK$3</f>
        <v>657.96192000000008</v>
      </c>
      <c r="AL502" s="157">
        <f t="shared" si="342"/>
        <v>2892.6825840000006</v>
      </c>
      <c r="AM502" s="158">
        <f t="shared" si="343"/>
        <v>2200</v>
      </c>
      <c r="AN502" s="159">
        <v>0.2</v>
      </c>
      <c r="AO502" s="160">
        <f t="shared" si="344"/>
        <v>76859631.251821443</v>
      </c>
      <c r="AP502" s="161">
        <f t="shared" si="345"/>
        <v>21349.899277942208</v>
      </c>
      <c r="AQ502" s="162">
        <f t="shared" si="346"/>
        <v>4269.9798555884418</v>
      </c>
      <c r="AR502" s="580">
        <f t="shared" si="347"/>
        <v>0.6093007784800859</v>
      </c>
      <c r="AS502" s="582">
        <f t="shared" si="348"/>
        <v>0.6093007784800859</v>
      </c>
      <c r="AT502" s="165"/>
      <c r="AU502" s="166"/>
      <c r="AV502" s="167"/>
      <c r="AW502" s="146"/>
      <c r="AX502" s="168"/>
    </row>
    <row r="503" spans="1:50" s="139" customFormat="1" ht="11.25" x14ac:dyDescent="0.25">
      <c r="A503" s="140">
        <v>3</v>
      </c>
      <c r="B503" s="358" t="s">
        <v>520</v>
      </c>
      <c r="C503" s="142"/>
      <c r="D503" s="143"/>
      <c r="E503" s="143"/>
      <c r="F503" s="143"/>
      <c r="G503" s="143"/>
      <c r="H503" s="143"/>
      <c r="I503" s="143"/>
      <c r="J503" s="143"/>
      <c r="K503" s="143"/>
      <c r="L503" s="143"/>
      <c r="M503" s="222"/>
      <c r="N503" s="222">
        <v>349571</v>
      </c>
      <c r="O503" s="145"/>
      <c r="P503" s="223">
        <f t="shared" si="338"/>
        <v>349571</v>
      </c>
      <c r="Q503" s="147">
        <f t="shared" si="339"/>
        <v>38452.81</v>
      </c>
      <c r="R503" s="147">
        <f t="shared" si="340"/>
        <v>105.35016438356163</v>
      </c>
      <c r="S503" s="148">
        <f t="shared" si="341"/>
        <v>23071.685999999998</v>
      </c>
      <c r="T503" s="199"/>
      <c r="U503" s="150"/>
      <c r="V503" s="151"/>
      <c r="W503" s="151"/>
      <c r="X503" s="152"/>
      <c r="Y503" s="153"/>
      <c r="Z503" s="153"/>
      <c r="AA503" s="154"/>
      <c r="AB503" s="155">
        <f>S503*$AB$3</f>
        <v>13381.577879999997</v>
      </c>
      <c r="AC503" s="156">
        <f>S503*$AC$3</f>
        <v>2999.31918</v>
      </c>
      <c r="AD503" s="156">
        <f>S503*$AD$3</f>
        <v>2024.5404464999997</v>
      </c>
      <c r="AE503" s="156">
        <f>S503*$AE$3</f>
        <v>922.86743999999999</v>
      </c>
      <c r="AF503" s="156">
        <f>S503*$AF$3</f>
        <v>461.43371999999999</v>
      </c>
      <c r="AG503" s="156">
        <f>S503*$AG$3</f>
        <v>461.43371999999999</v>
      </c>
      <c r="AH503" s="156">
        <f>S503*$AH$3</f>
        <v>230.71686</v>
      </c>
      <c r="AI503" s="156">
        <f>S503*$AI$3</f>
        <v>461.43371999999999</v>
      </c>
      <c r="AJ503" s="156">
        <f>S503*$AJ$3</f>
        <v>461.43371999999999</v>
      </c>
      <c r="AK503" s="156">
        <f>S503*$AK$3</f>
        <v>1615.01802</v>
      </c>
      <c r="AL503" s="157">
        <f t="shared" si="342"/>
        <v>7100.3113665000001</v>
      </c>
      <c r="AM503" s="158">
        <f t="shared" si="343"/>
        <v>2200</v>
      </c>
      <c r="AN503" s="159">
        <v>0.2</v>
      </c>
      <c r="AO503" s="160">
        <f t="shared" si="344"/>
        <v>188657862.57394159</v>
      </c>
      <c r="AP503" s="161">
        <f t="shared" si="345"/>
        <v>52404.966018491832</v>
      </c>
      <c r="AQ503" s="162">
        <f t="shared" si="346"/>
        <v>10480.993203698366</v>
      </c>
      <c r="AR503" s="580">
        <f t="shared" si="347"/>
        <v>1.4955755142263651</v>
      </c>
      <c r="AS503" s="582">
        <f t="shared" si="348"/>
        <v>1.4955755142263651</v>
      </c>
      <c r="AT503" s="165"/>
      <c r="AU503" s="166"/>
      <c r="AV503" s="167"/>
      <c r="AW503" s="146"/>
      <c r="AX503" s="168"/>
    </row>
    <row r="504" spans="1:50" s="139" customFormat="1" ht="11.25" x14ac:dyDescent="0.25">
      <c r="A504" s="140">
        <v>4</v>
      </c>
      <c r="B504" s="358" t="s">
        <v>521</v>
      </c>
      <c r="C504" s="142"/>
      <c r="D504" s="143"/>
      <c r="E504" s="143"/>
      <c r="F504" s="143"/>
      <c r="G504" s="143"/>
      <c r="H504" s="143"/>
      <c r="I504" s="143"/>
      <c r="J504" s="143"/>
      <c r="K504" s="143"/>
      <c r="L504" s="143"/>
      <c r="M504" s="222"/>
      <c r="N504" s="222">
        <v>142075</v>
      </c>
      <c r="O504" s="145"/>
      <c r="P504" s="223">
        <f t="shared" si="338"/>
        <v>142075</v>
      </c>
      <c r="Q504" s="147">
        <f t="shared" si="339"/>
        <v>15628.25</v>
      </c>
      <c r="R504" s="147">
        <f t="shared" si="340"/>
        <v>42.81712328767123</v>
      </c>
      <c r="S504" s="148">
        <f t="shared" si="341"/>
        <v>9376.9499999999989</v>
      </c>
      <c r="T504" s="199"/>
      <c r="U504" s="150"/>
      <c r="V504" s="151"/>
      <c r="W504" s="151"/>
      <c r="X504" s="152"/>
      <c r="Y504" s="153"/>
      <c r="Z504" s="153"/>
      <c r="AA504" s="154"/>
      <c r="AB504" s="155">
        <f>S504*$AB$3</f>
        <v>5438.6309999999994</v>
      </c>
      <c r="AC504" s="156">
        <f>S504*$AC$3</f>
        <v>1219.0034999999998</v>
      </c>
      <c r="AD504" s="156">
        <f>S504*$AD$3</f>
        <v>822.82736249999982</v>
      </c>
      <c r="AE504" s="156">
        <f>S504*$AE$3</f>
        <v>375.07799999999997</v>
      </c>
      <c r="AF504" s="156">
        <f>S504*$AF$3</f>
        <v>187.53899999999999</v>
      </c>
      <c r="AG504" s="156">
        <f>S504*$AG$3</f>
        <v>187.53899999999999</v>
      </c>
      <c r="AH504" s="156">
        <f>S504*$AH$3</f>
        <v>93.769499999999994</v>
      </c>
      <c r="AI504" s="156">
        <f>S504*$AI$3</f>
        <v>187.53899999999999</v>
      </c>
      <c r="AJ504" s="156">
        <f>S504*$AJ$3</f>
        <v>187.53899999999999</v>
      </c>
      <c r="AK504" s="156">
        <f>S504*$AK$3</f>
        <v>656.38649999999996</v>
      </c>
      <c r="AL504" s="157">
        <f t="shared" si="342"/>
        <v>2885.7563624999989</v>
      </c>
      <c r="AM504" s="158">
        <f t="shared" si="343"/>
        <v>2200</v>
      </c>
      <c r="AN504" s="159">
        <v>0.2</v>
      </c>
      <c r="AO504" s="160">
        <f t="shared" si="344"/>
        <v>76675599.020492971</v>
      </c>
      <c r="AP504" s="161">
        <f t="shared" si="345"/>
        <v>21298.779209594693</v>
      </c>
      <c r="AQ504" s="162">
        <f t="shared" si="346"/>
        <v>4259.755841918939</v>
      </c>
      <c r="AR504" s="580">
        <f t="shared" si="347"/>
        <v>0.60784187241993992</v>
      </c>
      <c r="AS504" s="582">
        <f t="shared" si="348"/>
        <v>0.60784187241993992</v>
      </c>
      <c r="AT504" s="165"/>
      <c r="AU504" s="166"/>
      <c r="AV504" s="167"/>
      <c r="AW504" s="146"/>
      <c r="AX504" s="168"/>
    </row>
    <row r="505" spans="1:50" s="139" customFormat="1" ht="11.25" x14ac:dyDescent="0.25">
      <c r="A505" s="140">
        <v>5</v>
      </c>
      <c r="B505" s="359" t="s">
        <v>522</v>
      </c>
      <c r="C505" s="142"/>
      <c r="D505" s="143"/>
      <c r="E505" s="143"/>
      <c r="F505" s="143"/>
      <c r="G505" s="143"/>
      <c r="H505" s="143"/>
      <c r="I505" s="143"/>
      <c r="J505" s="143"/>
      <c r="K505" s="143"/>
      <c r="L505" s="143"/>
      <c r="M505" s="222"/>
      <c r="N505" s="222">
        <v>401272</v>
      </c>
      <c r="O505" s="145"/>
      <c r="P505" s="223">
        <f t="shared" si="338"/>
        <v>401272</v>
      </c>
      <c r="Q505" s="147">
        <f t="shared" si="339"/>
        <v>44139.92</v>
      </c>
      <c r="R505" s="147">
        <f t="shared" si="340"/>
        <v>120.93128767123287</v>
      </c>
      <c r="S505" s="148">
        <f t="shared" si="341"/>
        <v>26483.951999999997</v>
      </c>
      <c r="T505" s="199"/>
      <c r="U505" s="150"/>
      <c r="V505" s="151"/>
      <c r="W505" s="151"/>
      <c r="X505" s="152"/>
      <c r="Y505" s="153"/>
      <c r="Z505" s="153"/>
      <c r="AA505" s="154"/>
      <c r="AB505" s="155">
        <f>S505*$AB$3</f>
        <v>15360.692159999997</v>
      </c>
      <c r="AC505" s="156">
        <f>S505*$AC$3</f>
        <v>3442.9137599999999</v>
      </c>
      <c r="AD505" s="156">
        <f>S505*$AD$3</f>
        <v>2323.9667879999997</v>
      </c>
      <c r="AE505" s="156">
        <f>S505*$AE$3</f>
        <v>1059.35808</v>
      </c>
      <c r="AF505" s="156">
        <f>S505*$AF$3</f>
        <v>529.67903999999999</v>
      </c>
      <c r="AG505" s="156">
        <f>S505*$AG$3</f>
        <v>529.67903999999999</v>
      </c>
      <c r="AH505" s="156">
        <f>S505*$AH$3</f>
        <v>264.83951999999999</v>
      </c>
      <c r="AI505" s="156">
        <f>S505*$AI$3</f>
        <v>529.67903999999999</v>
      </c>
      <c r="AJ505" s="156">
        <f>S505*$AJ$3</f>
        <v>529.67903999999999</v>
      </c>
      <c r="AK505" s="156">
        <f>S505*$AK$3</f>
        <v>1853.87664</v>
      </c>
      <c r="AL505" s="157">
        <f t="shared" si="342"/>
        <v>8150.4362279999987</v>
      </c>
      <c r="AM505" s="158">
        <f t="shared" si="343"/>
        <v>2200</v>
      </c>
      <c r="AN505" s="159">
        <v>0.2</v>
      </c>
      <c r="AO505" s="160">
        <f t="shared" si="344"/>
        <v>216560063.13673246</v>
      </c>
      <c r="AP505" s="161">
        <f t="shared" si="345"/>
        <v>60155.577905982638</v>
      </c>
      <c r="AQ505" s="162">
        <f t="shared" si="346"/>
        <v>12031.115581196529</v>
      </c>
      <c r="AR505" s="580">
        <f t="shared" si="347"/>
        <v>1.7167687758556691</v>
      </c>
      <c r="AS505" s="582">
        <f t="shared" si="348"/>
        <v>1.7167687758556691</v>
      </c>
      <c r="AT505" s="165"/>
      <c r="AU505" s="166"/>
      <c r="AV505" s="167"/>
      <c r="AW505" s="146"/>
      <c r="AX505" s="168"/>
    </row>
    <row r="506" spans="1:50" s="139" customFormat="1" ht="11.25" x14ac:dyDescent="0.25">
      <c r="A506" s="140">
        <v>6</v>
      </c>
      <c r="B506" s="360" t="s">
        <v>523</v>
      </c>
      <c r="C506" s="142"/>
      <c r="D506" s="143"/>
      <c r="E506" s="143"/>
      <c r="F506" s="143"/>
      <c r="G506" s="143"/>
      <c r="H506" s="143"/>
      <c r="I506" s="143"/>
      <c r="J506" s="143"/>
      <c r="K506" s="143"/>
      <c r="L506" s="143"/>
      <c r="M506" s="222"/>
      <c r="N506" s="222"/>
      <c r="O506" s="145"/>
      <c r="P506" s="223">
        <f t="shared" si="338"/>
        <v>0</v>
      </c>
      <c r="Q506" s="147">
        <f t="shared" si="339"/>
        <v>0</v>
      </c>
      <c r="R506" s="147">
        <f t="shared" si="340"/>
        <v>0</v>
      </c>
      <c r="S506" s="148">
        <f t="shared" si="341"/>
        <v>0</v>
      </c>
      <c r="T506" s="199"/>
      <c r="U506" s="150"/>
      <c r="V506" s="151"/>
      <c r="W506" s="151"/>
      <c r="X506" s="152"/>
      <c r="Y506" s="153"/>
      <c r="Z506" s="153"/>
      <c r="AA506" s="154"/>
      <c r="AB506" s="155">
        <f>S506*$AB$3</f>
        <v>0</v>
      </c>
      <c r="AC506" s="156">
        <f>S506*$AC$3</f>
        <v>0</v>
      </c>
      <c r="AD506" s="156">
        <f>S506*$AD$3</f>
        <v>0</v>
      </c>
      <c r="AE506" s="156">
        <f>S506*$AE$3</f>
        <v>0</v>
      </c>
      <c r="AF506" s="156">
        <f>S506*$AF$3</f>
        <v>0</v>
      </c>
      <c r="AG506" s="156">
        <f>S506*$AG$3</f>
        <v>0</v>
      </c>
      <c r="AH506" s="156">
        <f>S506*$AH$3</f>
        <v>0</v>
      </c>
      <c r="AI506" s="156">
        <f>S506*$AI$3</f>
        <v>0</v>
      </c>
      <c r="AJ506" s="156">
        <f>S506*$AJ$3</f>
        <v>0</v>
      </c>
      <c r="AK506" s="156">
        <f>S506*$AK$3</f>
        <v>0</v>
      </c>
      <c r="AL506" s="157">
        <f t="shared" si="342"/>
        <v>0</v>
      </c>
      <c r="AM506" s="158">
        <f t="shared" si="343"/>
        <v>2200</v>
      </c>
      <c r="AN506" s="159">
        <v>0.2</v>
      </c>
      <c r="AO506" s="160">
        <f t="shared" si="344"/>
        <v>0</v>
      </c>
      <c r="AP506" s="161">
        <f t="shared" si="345"/>
        <v>0</v>
      </c>
      <c r="AQ506" s="162">
        <f t="shared" si="346"/>
        <v>0</v>
      </c>
      <c r="AR506" s="580">
        <f t="shared" si="347"/>
        <v>0</v>
      </c>
      <c r="AS506" s="582">
        <f t="shared" si="348"/>
        <v>0</v>
      </c>
      <c r="AT506" s="165"/>
      <c r="AU506" s="166"/>
      <c r="AV506" s="167"/>
      <c r="AW506" s="146"/>
      <c r="AX506" s="168"/>
    </row>
    <row r="507" spans="1:50" s="190" customFormat="1" ht="11.25" x14ac:dyDescent="0.25">
      <c r="A507" s="120"/>
      <c r="B507" s="352" t="s">
        <v>524</v>
      </c>
      <c r="C507" s="240">
        <f t="shared" ref="C507:T507" si="349">SUM(C501:C506)</f>
        <v>0</v>
      </c>
      <c r="D507" s="240">
        <f t="shared" si="349"/>
        <v>0</v>
      </c>
      <c r="E507" s="240">
        <f t="shared" si="349"/>
        <v>0</v>
      </c>
      <c r="F507" s="240">
        <f t="shared" si="349"/>
        <v>0</v>
      </c>
      <c r="G507" s="240">
        <f t="shared" si="349"/>
        <v>0</v>
      </c>
      <c r="H507" s="240">
        <f t="shared" si="349"/>
        <v>0</v>
      </c>
      <c r="I507" s="240">
        <f t="shared" si="349"/>
        <v>0</v>
      </c>
      <c r="J507" s="240">
        <f t="shared" si="349"/>
        <v>0</v>
      </c>
      <c r="K507" s="240">
        <f t="shared" si="349"/>
        <v>0</v>
      </c>
      <c r="L507" s="240">
        <f t="shared" si="349"/>
        <v>0</v>
      </c>
      <c r="M507" s="240">
        <f t="shared" si="349"/>
        <v>0</v>
      </c>
      <c r="N507" s="240">
        <f t="shared" si="349"/>
        <v>1189203</v>
      </c>
      <c r="O507" s="240">
        <f t="shared" si="349"/>
        <v>0</v>
      </c>
      <c r="P507" s="240">
        <f t="shared" si="349"/>
        <v>1189203</v>
      </c>
      <c r="Q507" s="240">
        <f t="shared" si="349"/>
        <v>130812.33</v>
      </c>
      <c r="R507" s="240">
        <f t="shared" si="349"/>
        <v>358.38994520547942</v>
      </c>
      <c r="S507" s="240">
        <f t="shared" si="349"/>
        <v>78487.397999999986</v>
      </c>
      <c r="T507" s="199">
        <f t="shared" si="349"/>
        <v>0</v>
      </c>
      <c r="U507" s="241"/>
      <c r="V507" s="242">
        <f>SUM(V501:V506)</f>
        <v>0</v>
      </c>
      <c r="W507" s="242">
        <f>SUM(W501:W506)</f>
        <v>0</v>
      </c>
      <c r="X507" s="242">
        <f>SUM(X501:X506)</f>
        <v>0</v>
      </c>
      <c r="Y507" s="199"/>
      <c r="Z507" s="199"/>
      <c r="AA507" s="243"/>
      <c r="AB507" s="240">
        <f t="shared" ref="AB507:AL507" si="350">SUM(AB501:AB506)</f>
        <v>45522.690839999996</v>
      </c>
      <c r="AC507" s="244">
        <f t="shared" si="350"/>
        <v>10203.36174</v>
      </c>
      <c r="AD507" s="244">
        <f t="shared" si="350"/>
        <v>6887.2691744999993</v>
      </c>
      <c r="AE507" s="244">
        <f t="shared" si="350"/>
        <v>3139.4959199999998</v>
      </c>
      <c r="AF507" s="244">
        <f t="shared" si="350"/>
        <v>1569.7479599999999</v>
      </c>
      <c r="AG507" s="244">
        <f t="shared" si="350"/>
        <v>1569.7479599999999</v>
      </c>
      <c r="AH507" s="244">
        <f t="shared" si="350"/>
        <v>784.87397999999996</v>
      </c>
      <c r="AI507" s="244">
        <f t="shared" si="350"/>
        <v>1569.7479599999999</v>
      </c>
      <c r="AJ507" s="244">
        <f t="shared" si="350"/>
        <v>1569.7479599999999</v>
      </c>
      <c r="AK507" s="244">
        <f t="shared" si="350"/>
        <v>5494.1178600000003</v>
      </c>
      <c r="AL507" s="245">
        <f t="shared" si="350"/>
        <v>24154.496734499997</v>
      </c>
      <c r="AM507" s="158"/>
      <c r="AN507" s="183"/>
      <c r="AO507" s="184">
        <f>SUM(AO501:AO506)</f>
        <v>641793787.6612165</v>
      </c>
      <c r="AP507" s="184">
        <f>SUM(AP501:AP506)</f>
        <v>178276.06639019985</v>
      </c>
      <c r="AQ507" s="184">
        <f>SUM(AQ501:AQ506)</f>
        <v>35655.21327803997</v>
      </c>
      <c r="AR507" s="186">
        <f>SUM(AR501:AR506)</f>
        <v>5.0877872828253388</v>
      </c>
      <c r="AS507" s="435">
        <f>SUM(AS501:AS506)</f>
        <v>5.0877872828253388</v>
      </c>
      <c r="AT507" s="187"/>
      <c r="AU507" s="246">
        <f>SUM(AU505:AU506)</f>
        <v>0</v>
      </c>
      <c r="AV507" s="246"/>
      <c r="AW507" s="185">
        <f>SUM(AW505:AW506)</f>
        <v>0</v>
      </c>
      <c r="AX507" s="189"/>
    </row>
    <row r="509" spans="1:50" s="139" customFormat="1" ht="11.25" x14ac:dyDescent="0.25">
      <c r="A509" s="126"/>
      <c r="B509" s="352" t="s">
        <v>525</v>
      </c>
      <c r="C509" s="122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213"/>
      <c r="P509" s="76"/>
      <c r="Q509" s="108"/>
      <c r="R509" s="108"/>
      <c r="S509" s="94"/>
      <c r="T509" s="199"/>
      <c r="U509" s="179"/>
      <c r="V509" s="180"/>
      <c r="W509" s="180"/>
      <c r="X509" s="214"/>
      <c r="Y509" s="181"/>
      <c r="Z509" s="181"/>
      <c r="AA509" s="182"/>
      <c r="AB509" s="62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125"/>
      <c r="AM509" s="75"/>
      <c r="AN509" s="216"/>
      <c r="AO509" s="75"/>
      <c r="AP509" s="51"/>
      <c r="AQ509" s="217"/>
      <c r="AR509" s="583"/>
      <c r="AS509" s="584"/>
      <c r="AT509" s="220"/>
      <c r="AU509" s="135"/>
      <c r="AV509" s="136"/>
      <c r="AW509" s="137"/>
      <c r="AX509" s="138"/>
    </row>
    <row r="510" spans="1:50" s="139" customFormat="1" ht="11.25" x14ac:dyDescent="0.25">
      <c r="A510" s="140">
        <v>1</v>
      </c>
      <c r="B510" s="361" t="s">
        <v>526</v>
      </c>
      <c r="C510" s="142"/>
      <c r="D510" s="143"/>
      <c r="E510" s="143"/>
      <c r="F510" s="143"/>
      <c r="G510" s="143"/>
      <c r="H510" s="143"/>
      <c r="I510" s="143"/>
      <c r="J510" s="143"/>
      <c r="K510" s="143"/>
      <c r="L510" s="143"/>
      <c r="M510" s="222"/>
      <c r="N510" s="222">
        <v>123283</v>
      </c>
      <c r="O510" s="145"/>
      <c r="P510" s="223">
        <f>MAX(C510:O510)</f>
        <v>123283</v>
      </c>
      <c r="Q510" s="147">
        <f>P510*$Q$8</f>
        <v>13561.13</v>
      </c>
      <c r="R510" s="147">
        <f t="shared" ref="R510:R533" si="351">Q510/$R$3</f>
        <v>37.153780821917806</v>
      </c>
      <c r="S510" s="148">
        <f>R510*$S$3*$S$8</f>
        <v>8136.677999999999</v>
      </c>
      <c r="T510" s="199"/>
      <c r="U510" s="150"/>
      <c r="V510" s="151"/>
      <c r="W510" s="151"/>
      <c r="X510" s="152"/>
      <c r="Y510" s="153"/>
      <c r="Z510" s="153"/>
      <c r="AA510" s="154"/>
      <c r="AB510" s="155">
        <f>S510*$AB$3</f>
        <v>4719.2732399999995</v>
      </c>
      <c r="AC510" s="156">
        <f>S510*$AC$3</f>
        <v>1057.7681399999999</v>
      </c>
      <c r="AD510" s="156">
        <f>S510*$AD$3</f>
        <v>713.99349449999988</v>
      </c>
      <c r="AE510" s="156">
        <f>S510*$AE$3</f>
        <v>325.46711999999997</v>
      </c>
      <c r="AF510" s="156">
        <f>S510*$AF$3</f>
        <v>162.73355999999998</v>
      </c>
      <c r="AG510" s="156">
        <f>S510*$AG$3</f>
        <v>162.73355999999998</v>
      </c>
      <c r="AH510" s="156">
        <f>S510*$AH$3</f>
        <v>81.366779999999991</v>
      </c>
      <c r="AI510" s="156">
        <f>S510*$AI$3</f>
        <v>162.73355999999998</v>
      </c>
      <c r="AJ510" s="156">
        <f>S510*$AJ$3</f>
        <v>162.73355999999998</v>
      </c>
      <c r="AK510" s="156">
        <f>S510*$AK$3</f>
        <v>569.56745999999998</v>
      </c>
      <c r="AL510" s="157">
        <f t="shared" ref="AL510:AL533" si="352">SUM(AC510:AH510)</f>
        <v>2504.0626544999996</v>
      </c>
      <c r="AM510" s="158">
        <f t="shared" ref="AM510:AM533" si="353">$AM$3</f>
        <v>2200</v>
      </c>
      <c r="AN510" s="159">
        <v>0.2</v>
      </c>
      <c r="AO510" s="160">
        <f t="shared" ref="AO510:AO533" si="354">(AB510+AL510)*AM510*$AO$3</f>
        <v>66533857.990803711</v>
      </c>
      <c r="AP510" s="161">
        <f t="shared" ref="AP510:AP533" si="355">AO510*$AP$3</f>
        <v>18481.628698197874</v>
      </c>
      <c r="AQ510" s="162">
        <f t="shared" ref="AQ510:AQ533" si="356">AP510*$AQ$3</f>
        <v>3696.3257396395747</v>
      </c>
      <c r="AR510" s="580">
        <f t="shared" ref="AR510:AR533" si="357">AQ510/$AR$3</f>
        <v>0.52744374138692562</v>
      </c>
      <c r="AS510" s="582">
        <f t="shared" ref="AS510:AS533" si="358">AR510</f>
        <v>0.52744374138692562</v>
      </c>
      <c r="AT510" s="165"/>
      <c r="AU510" s="166"/>
      <c r="AV510" s="167"/>
      <c r="AW510" s="146"/>
      <c r="AX510" s="168"/>
    </row>
    <row r="511" spans="1:50" s="139" customFormat="1" ht="11.25" x14ac:dyDescent="0.25">
      <c r="A511" s="140">
        <v>2</v>
      </c>
      <c r="B511" s="361" t="s">
        <v>527</v>
      </c>
      <c r="C511" s="142"/>
      <c r="D511" s="143"/>
      <c r="E511" s="143"/>
      <c r="F511" s="143"/>
      <c r="G511" s="143"/>
      <c r="H511" s="143"/>
      <c r="I511" s="143"/>
      <c r="J511" s="143"/>
      <c r="K511" s="143"/>
      <c r="L511" s="143"/>
      <c r="M511" s="222"/>
      <c r="N511" s="222">
        <v>398531</v>
      </c>
      <c r="O511" s="145"/>
      <c r="P511" s="223">
        <f t="shared" ref="P511:P533" si="359">MAX(C511:O511)</f>
        <v>398531</v>
      </c>
      <c r="Q511" s="147">
        <f>P511*$Q$8</f>
        <v>43838.41</v>
      </c>
      <c r="R511" s="147">
        <f t="shared" si="351"/>
        <v>120.10523287671234</v>
      </c>
      <c r="S511" s="148">
        <f>R511*$S$3*$S$8</f>
        <v>26303.046000000002</v>
      </c>
      <c r="T511" s="199"/>
      <c r="U511" s="150"/>
      <c r="V511" s="151"/>
      <c r="W511" s="151"/>
      <c r="X511" s="152"/>
      <c r="Y511" s="153"/>
      <c r="Z511" s="153"/>
      <c r="AA511" s="154"/>
      <c r="AB511" s="155">
        <f>S511*$AB$3</f>
        <v>15255.766680000001</v>
      </c>
      <c r="AC511" s="156">
        <f>S511*$AC$3</f>
        <v>3419.3959800000002</v>
      </c>
      <c r="AD511" s="156">
        <f>S511*$AD$3</f>
        <v>2308.0922865000002</v>
      </c>
      <c r="AE511" s="156">
        <f>S511*$AE$3</f>
        <v>1052.12184</v>
      </c>
      <c r="AF511" s="156">
        <f>S511*$AF$3</f>
        <v>526.06092000000001</v>
      </c>
      <c r="AG511" s="156">
        <f>S511*$AG$3</f>
        <v>526.06092000000001</v>
      </c>
      <c r="AH511" s="156">
        <f>S511*$AH$3</f>
        <v>263.03046000000001</v>
      </c>
      <c r="AI511" s="156">
        <f>S511*$AI$3</f>
        <v>526.06092000000001</v>
      </c>
      <c r="AJ511" s="156">
        <f>S511*$AJ$3</f>
        <v>526.06092000000001</v>
      </c>
      <c r="AK511" s="156">
        <f>S511*$AK$3</f>
        <v>1841.2132200000003</v>
      </c>
      <c r="AL511" s="157">
        <f t="shared" si="352"/>
        <v>8094.7624065</v>
      </c>
      <c r="AM511" s="158">
        <f t="shared" si="353"/>
        <v>2200</v>
      </c>
      <c r="AN511" s="159">
        <v>0.2</v>
      </c>
      <c r="AO511" s="160">
        <f t="shared" si="354"/>
        <v>215080789.39458802</v>
      </c>
      <c r="AP511" s="161">
        <f t="shared" si="355"/>
        <v>59744.668500291991</v>
      </c>
      <c r="AQ511" s="162">
        <f t="shared" si="356"/>
        <v>11948.933700058398</v>
      </c>
      <c r="AR511" s="580">
        <f t="shared" si="357"/>
        <v>1.7050419092549085</v>
      </c>
      <c r="AS511" s="582">
        <f t="shared" si="358"/>
        <v>1.7050419092549085</v>
      </c>
      <c r="AT511" s="165"/>
      <c r="AU511" s="166"/>
      <c r="AV511" s="167"/>
      <c r="AW511" s="146"/>
      <c r="AX511" s="168"/>
    </row>
    <row r="512" spans="1:50" s="139" customFormat="1" ht="11.25" x14ac:dyDescent="0.25">
      <c r="A512" s="140">
        <v>3</v>
      </c>
      <c r="B512" s="361" t="s">
        <v>528</v>
      </c>
      <c r="C512" s="142"/>
      <c r="D512" s="143"/>
      <c r="E512" s="143"/>
      <c r="F512" s="143"/>
      <c r="G512" s="143"/>
      <c r="H512" s="143"/>
      <c r="I512" s="143"/>
      <c r="J512" s="143"/>
      <c r="K512" s="143"/>
      <c r="L512" s="143"/>
      <c r="M512" s="222"/>
      <c r="N512" s="222">
        <v>178477</v>
      </c>
      <c r="O512" s="145"/>
      <c r="P512" s="223">
        <f t="shared" si="359"/>
        <v>178477</v>
      </c>
      <c r="Q512" s="147">
        <f>P512*$Q$8</f>
        <v>19632.47</v>
      </c>
      <c r="R512" s="147">
        <f t="shared" si="351"/>
        <v>53.787589041095892</v>
      </c>
      <c r="S512" s="148">
        <f>R512*$S$3*$S$8</f>
        <v>11779.482</v>
      </c>
      <c r="T512" s="199"/>
      <c r="U512" s="150"/>
      <c r="V512" s="151"/>
      <c r="W512" s="151"/>
      <c r="X512" s="152"/>
      <c r="Y512" s="153"/>
      <c r="Z512" s="153"/>
      <c r="AA512" s="154"/>
      <c r="AB512" s="155">
        <f>S512*$AB$3</f>
        <v>6832.0995599999997</v>
      </c>
      <c r="AC512" s="156">
        <f>S512*$AC$3</f>
        <v>1531.33266</v>
      </c>
      <c r="AD512" s="156">
        <f>S512*$AD$3</f>
        <v>1033.6495454999999</v>
      </c>
      <c r="AE512" s="156">
        <f>S512*$AE$3</f>
        <v>471.17928000000001</v>
      </c>
      <c r="AF512" s="156">
        <f>S512*$AF$3</f>
        <v>235.58964</v>
      </c>
      <c r="AG512" s="156">
        <f>S512*$AG$3</f>
        <v>235.58964</v>
      </c>
      <c r="AH512" s="156">
        <f>S512*$AH$3</f>
        <v>117.79482</v>
      </c>
      <c r="AI512" s="156">
        <f>S512*$AI$3</f>
        <v>235.58964</v>
      </c>
      <c r="AJ512" s="156">
        <f>S512*$AJ$3</f>
        <v>235.58964</v>
      </c>
      <c r="AK512" s="156">
        <f>S512*$AK$3</f>
        <v>824.56374000000005</v>
      </c>
      <c r="AL512" s="157">
        <f t="shared" si="352"/>
        <v>3625.1355855000002</v>
      </c>
      <c r="AM512" s="158">
        <f t="shared" si="353"/>
        <v>2200</v>
      </c>
      <c r="AN512" s="159">
        <v>0.2</v>
      </c>
      <c r="AO512" s="160">
        <f t="shared" si="354"/>
        <v>96321174.635794669</v>
      </c>
      <c r="AP512" s="161">
        <f t="shared" si="355"/>
        <v>26755.883983746844</v>
      </c>
      <c r="AQ512" s="162">
        <f t="shared" si="356"/>
        <v>5351.1767967493688</v>
      </c>
      <c r="AR512" s="580">
        <f t="shared" si="357"/>
        <v>0.76358116391971587</v>
      </c>
      <c r="AS512" s="582">
        <f t="shared" si="358"/>
        <v>0.76358116391971587</v>
      </c>
      <c r="AT512" s="165"/>
      <c r="AU512" s="166"/>
      <c r="AV512" s="167"/>
      <c r="AW512" s="146"/>
      <c r="AX512" s="168"/>
    </row>
    <row r="513" spans="1:50" s="139" customFormat="1" ht="11.25" x14ac:dyDescent="0.25">
      <c r="A513" s="140">
        <v>4</v>
      </c>
      <c r="B513" s="361" t="s">
        <v>529</v>
      </c>
      <c r="C513" s="142"/>
      <c r="D513" s="143"/>
      <c r="E513" s="143"/>
      <c r="F513" s="143"/>
      <c r="G513" s="143"/>
      <c r="H513" s="143"/>
      <c r="I513" s="143"/>
      <c r="J513" s="143"/>
      <c r="K513" s="143"/>
      <c r="L513" s="143"/>
      <c r="M513" s="222"/>
      <c r="N513" s="222">
        <v>346149</v>
      </c>
      <c r="O513" s="145"/>
      <c r="P513" s="223">
        <f t="shared" si="359"/>
        <v>346149</v>
      </c>
      <c r="Q513" s="147">
        <f>P513*$Q$8</f>
        <v>38076.39</v>
      </c>
      <c r="R513" s="147">
        <f t="shared" si="351"/>
        <v>104.31887671232876</v>
      </c>
      <c r="S513" s="148">
        <f>R513*$S$3*$S$8</f>
        <v>22845.833999999999</v>
      </c>
      <c r="T513" s="199"/>
      <c r="U513" s="150"/>
      <c r="V513" s="151"/>
      <c r="W513" s="151"/>
      <c r="X513" s="152"/>
      <c r="Y513" s="153"/>
      <c r="Z513" s="153"/>
      <c r="AA513" s="154"/>
      <c r="AB513" s="155">
        <f>S513*$AB$3</f>
        <v>13250.583719999999</v>
      </c>
      <c r="AC513" s="156">
        <f>S513*$AC$3</f>
        <v>2969.9584199999999</v>
      </c>
      <c r="AD513" s="156">
        <f>S513*$AD$3</f>
        <v>2004.7219334999997</v>
      </c>
      <c r="AE513" s="156">
        <f>S513*$AE$3</f>
        <v>913.83335999999997</v>
      </c>
      <c r="AF513" s="156">
        <f>S513*$AF$3</f>
        <v>456.91667999999999</v>
      </c>
      <c r="AG513" s="156">
        <f>S513*$AG$3</f>
        <v>456.91667999999999</v>
      </c>
      <c r="AH513" s="156">
        <f>S513*$AH$3</f>
        <v>228.45833999999999</v>
      </c>
      <c r="AI513" s="156">
        <f>S513*$AI$3</f>
        <v>456.91667999999999</v>
      </c>
      <c r="AJ513" s="156">
        <f>S513*$AJ$3</f>
        <v>456.91667999999999</v>
      </c>
      <c r="AK513" s="156">
        <f>S513*$AK$3</f>
        <v>1599.20838</v>
      </c>
      <c r="AL513" s="157">
        <f t="shared" si="352"/>
        <v>7030.8054135000002</v>
      </c>
      <c r="AM513" s="158">
        <f t="shared" si="353"/>
        <v>2200</v>
      </c>
      <c r="AN513" s="159">
        <v>0.2</v>
      </c>
      <c r="AO513" s="160">
        <f t="shared" si="354"/>
        <v>186811064.05310315</v>
      </c>
      <c r="AP513" s="161">
        <f t="shared" si="355"/>
        <v>51891.966388330075</v>
      </c>
      <c r="AQ513" s="162">
        <f t="shared" si="356"/>
        <v>10378.393277666015</v>
      </c>
      <c r="AR513" s="580">
        <f t="shared" si="357"/>
        <v>1.4809351138222053</v>
      </c>
      <c r="AS513" s="582">
        <f t="shared" si="358"/>
        <v>1.4809351138222053</v>
      </c>
      <c r="AT513" s="165"/>
      <c r="AU513" s="166"/>
      <c r="AV513" s="167"/>
      <c r="AW513" s="146"/>
      <c r="AX513" s="168"/>
    </row>
    <row r="514" spans="1:50" s="139" customFormat="1" ht="11.25" x14ac:dyDescent="0.25">
      <c r="A514" s="140">
        <v>5</v>
      </c>
      <c r="B514" s="361" t="s">
        <v>530</v>
      </c>
      <c r="C514" s="142"/>
      <c r="D514" s="143"/>
      <c r="E514" s="143"/>
      <c r="F514" s="143"/>
      <c r="G514" s="143"/>
      <c r="H514" s="143"/>
      <c r="I514" s="143"/>
      <c r="J514" s="143"/>
      <c r="K514" s="143"/>
      <c r="L514" s="143"/>
      <c r="M514" s="222"/>
      <c r="N514" s="222">
        <v>272316</v>
      </c>
      <c r="O514" s="145"/>
      <c r="P514" s="223">
        <f t="shared" si="359"/>
        <v>272316</v>
      </c>
      <c r="Q514" s="147">
        <f>P514*$Q$8</f>
        <v>29954.76</v>
      </c>
      <c r="R514" s="147">
        <f t="shared" si="351"/>
        <v>82.067835616438359</v>
      </c>
      <c r="S514" s="148">
        <f>R514*$S$3*$S$8</f>
        <v>17972.856</v>
      </c>
      <c r="T514" s="199"/>
      <c r="U514" s="150"/>
      <c r="V514" s="151"/>
      <c r="W514" s="151"/>
      <c r="X514" s="152"/>
      <c r="Y514" s="153"/>
      <c r="Z514" s="153"/>
      <c r="AA514" s="154"/>
      <c r="AB514" s="155">
        <f>S514*$AB$3</f>
        <v>10424.25648</v>
      </c>
      <c r="AC514" s="156">
        <f>S514*$AC$3</f>
        <v>2336.4712800000002</v>
      </c>
      <c r="AD514" s="156">
        <f>S514*$AD$3</f>
        <v>1577.1181139999999</v>
      </c>
      <c r="AE514" s="156">
        <f>S514*$AE$3</f>
        <v>718.91423999999995</v>
      </c>
      <c r="AF514" s="156">
        <f>S514*$AF$3</f>
        <v>359.45711999999997</v>
      </c>
      <c r="AG514" s="156">
        <f>S514*$AG$3</f>
        <v>359.45711999999997</v>
      </c>
      <c r="AH514" s="156">
        <f>S514*$AH$3</f>
        <v>179.72855999999999</v>
      </c>
      <c r="AI514" s="156">
        <f>S514*$AI$3</f>
        <v>359.45711999999997</v>
      </c>
      <c r="AJ514" s="156">
        <f>S514*$AJ$3</f>
        <v>359.45711999999997</v>
      </c>
      <c r="AK514" s="156">
        <f>S514*$AK$3</f>
        <v>1258.0999200000001</v>
      </c>
      <c r="AL514" s="157">
        <f t="shared" si="352"/>
        <v>5531.1464339999993</v>
      </c>
      <c r="AM514" s="158">
        <f t="shared" si="353"/>
        <v>2200</v>
      </c>
      <c r="AN514" s="159">
        <v>0.2</v>
      </c>
      <c r="AO514" s="160">
        <f t="shared" si="354"/>
        <v>146964578.02473742</v>
      </c>
      <c r="AP514" s="161">
        <f t="shared" si="355"/>
        <v>40823.497161639905</v>
      </c>
      <c r="AQ514" s="162">
        <f t="shared" si="356"/>
        <v>8164.6994323279814</v>
      </c>
      <c r="AR514" s="580">
        <f t="shared" si="357"/>
        <v>1.1650541427408649</v>
      </c>
      <c r="AS514" s="582">
        <f t="shared" si="358"/>
        <v>1.1650541427408649</v>
      </c>
      <c r="AT514" s="165"/>
      <c r="AU514" s="166"/>
      <c r="AV514" s="167"/>
      <c r="AW514" s="146"/>
      <c r="AX514" s="168"/>
    </row>
    <row r="515" spans="1:50" s="139" customFormat="1" ht="11.25" x14ac:dyDescent="0.25">
      <c r="A515" s="140">
        <v>6</v>
      </c>
      <c r="B515" s="361" t="s">
        <v>531</v>
      </c>
      <c r="C515" s="142"/>
      <c r="D515" s="143"/>
      <c r="E515" s="143"/>
      <c r="F515" s="143"/>
      <c r="G515" s="143"/>
      <c r="H515" s="143"/>
      <c r="I515" s="143"/>
      <c r="J515" s="143"/>
      <c r="K515" s="143"/>
      <c r="L515" s="143"/>
      <c r="M515" s="222"/>
      <c r="N515" s="222">
        <v>659512</v>
      </c>
      <c r="O515" s="145"/>
      <c r="P515" s="223">
        <f t="shared" si="359"/>
        <v>659512</v>
      </c>
      <c r="Q515" s="147">
        <f>P515*$Q$7</f>
        <v>96288.751999999993</v>
      </c>
      <c r="R515" s="147">
        <f t="shared" si="351"/>
        <v>263.8048</v>
      </c>
      <c r="S515" s="148">
        <f>R515*$S$3*$S$7</f>
        <v>67402.126399999994</v>
      </c>
      <c r="T515" s="199"/>
      <c r="U515" s="150"/>
      <c r="V515" s="151"/>
      <c r="W515" s="151"/>
      <c r="X515" s="152"/>
      <c r="Y515" s="153"/>
      <c r="Z515" s="153"/>
      <c r="AA515" s="154"/>
      <c r="AB515" s="155">
        <f>S515*$AB$3</f>
        <v>39093.233311999997</v>
      </c>
      <c r="AC515" s="156">
        <f>S515*$AC$3</f>
        <v>8762.2764319999987</v>
      </c>
      <c r="AD515" s="156">
        <f>S515*$AD$3</f>
        <v>5914.5365915999992</v>
      </c>
      <c r="AE515" s="156">
        <f>S515*$AE$3</f>
        <v>2696.0850559999999</v>
      </c>
      <c r="AF515" s="156">
        <f>S515*$AF$3</f>
        <v>1348.0425279999999</v>
      </c>
      <c r="AG515" s="156">
        <f>S515*$AG$3</f>
        <v>1348.0425279999999</v>
      </c>
      <c r="AH515" s="156">
        <f>S515*$AH$3</f>
        <v>674.02126399999997</v>
      </c>
      <c r="AI515" s="156">
        <f>S515*$AI$3</f>
        <v>1348.0425279999999</v>
      </c>
      <c r="AJ515" s="156">
        <f>S515*$AJ$3</f>
        <v>1348.0425279999999</v>
      </c>
      <c r="AK515" s="156">
        <f>S515*$AK$3</f>
        <v>4718.1488479999998</v>
      </c>
      <c r="AL515" s="157">
        <f t="shared" si="352"/>
        <v>20743.004399599991</v>
      </c>
      <c r="AM515" s="158">
        <f t="shared" si="353"/>
        <v>2200</v>
      </c>
      <c r="AN515" s="159">
        <v>0.2</v>
      </c>
      <c r="AO515" s="160">
        <f t="shared" si="354"/>
        <v>551149192.11203897</v>
      </c>
      <c r="AP515" s="161">
        <f t="shared" si="355"/>
        <v>153097.01005665955</v>
      </c>
      <c r="AQ515" s="162">
        <f t="shared" si="356"/>
        <v>30619.402011331913</v>
      </c>
      <c r="AR515" s="580">
        <f t="shared" si="357"/>
        <v>4.3692069080096907</v>
      </c>
      <c r="AS515" s="582">
        <f t="shared" si="358"/>
        <v>4.3692069080096907</v>
      </c>
      <c r="AT515" s="165"/>
      <c r="AU515" s="166"/>
      <c r="AV515" s="167"/>
      <c r="AW515" s="146"/>
      <c r="AX515" s="168"/>
    </row>
    <row r="516" spans="1:50" s="139" customFormat="1" ht="11.25" x14ac:dyDescent="0.25">
      <c r="A516" s="140">
        <v>7</v>
      </c>
      <c r="B516" s="361" t="s">
        <v>532</v>
      </c>
      <c r="C516" s="142"/>
      <c r="D516" s="143"/>
      <c r="E516" s="143"/>
      <c r="F516" s="143"/>
      <c r="G516" s="143"/>
      <c r="H516" s="143"/>
      <c r="I516" s="143"/>
      <c r="J516" s="143"/>
      <c r="K516" s="143"/>
      <c r="L516" s="143"/>
      <c r="M516" s="222"/>
      <c r="N516" s="222">
        <v>231182</v>
      </c>
      <c r="O516" s="145"/>
      <c r="P516" s="223">
        <f t="shared" si="359"/>
        <v>231182</v>
      </c>
      <c r="Q516" s="147">
        <f>P516*$Q$8</f>
        <v>25430.02</v>
      </c>
      <c r="R516" s="147">
        <f t="shared" si="351"/>
        <v>69.671287671232875</v>
      </c>
      <c r="S516" s="148">
        <f>R516*$S$3*$S$8</f>
        <v>15258.011999999999</v>
      </c>
      <c r="T516" s="199"/>
      <c r="U516" s="150"/>
      <c r="V516" s="151"/>
      <c r="W516" s="151"/>
      <c r="X516" s="152"/>
      <c r="Y516" s="153"/>
      <c r="Z516" s="153"/>
      <c r="AA516" s="154"/>
      <c r="AB516" s="155">
        <f>S516*$AB$3</f>
        <v>8849.6469599999982</v>
      </c>
      <c r="AC516" s="156">
        <f>S516*$AC$3</f>
        <v>1983.5415599999999</v>
      </c>
      <c r="AD516" s="156">
        <f>S516*$AD$3</f>
        <v>1338.8905529999997</v>
      </c>
      <c r="AE516" s="156">
        <f>S516*$AE$3</f>
        <v>610.32047999999998</v>
      </c>
      <c r="AF516" s="156">
        <f>S516*$AF$3</f>
        <v>305.16023999999999</v>
      </c>
      <c r="AG516" s="156">
        <f>S516*$AG$3</f>
        <v>305.16023999999999</v>
      </c>
      <c r="AH516" s="156">
        <f>S516*$AH$3</f>
        <v>152.58011999999999</v>
      </c>
      <c r="AI516" s="156">
        <f>S516*$AI$3</f>
        <v>305.16023999999999</v>
      </c>
      <c r="AJ516" s="156">
        <f>S516*$AJ$3</f>
        <v>305.16023999999999</v>
      </c>
      <c r="AK516" s="156">
        <f>S516*$AK$3</f>
        <v>1068.0608400000001</v>
      </c>
      <c r="AL516" s="157">
        <f t="shared" si="352"/>
        <v>4695.6531929999992</v>
      </c>
      <c r="AM516" s="158">
        <f t="shared" si="353"/>
        <v>2200</v>
      </c>
      <c r="AN516" s="159">
        <v>0.2</v>
      </c>
      <c r="AO516" s="160">
        <f t="shared" si="354"/>
        <v>124765217.89727683</v>
      </c>
      <c r="AP516" s="161">
        <f t="shared" si="355"/>
        <v>34657.007744026181</v>
      </c>
      <c r="AQ516" s="162">
        <f t="shared" si="356"/>
        <v>6931.4015488052364</v>
      </c>
      <c r="AR516" s="580">
        <f t="shared" si="357"/>
        <v>0.9890698557085098</v>
      </c>
      <c r="AS516" s="582">
        <f t="shared" si="358"/>
        <v>0.9890698557085098</v>
      </c>
      <c r="AT516" s="165"/>
      <c r="AU516" s="166"/>
      <c r="AV516" s="167"/>
      <c r="AW516" s="146"/>
      <c r="AX516" s="168"/>
    </row>
    <row r="517" spans="1:50" s="139" customFormat="1" ht="11.25" x14ac:dyDescent="0.25">
      <c r="A517" s="140">
        <v>8</v>
      </c>
      <c r="B517" s="361" t="s">
        <v>533</v>
      </c>
      <c r="C517" s="142"/>
      <c r="D517" s="143"/>
      <c r="E517" s="143"/>
      <c r="F517" s="143"/>
      <c r="G517" s="143"/>
      <c r="H517" s="143"/>
      <c r="I517" s="143"/>
      <c r="J517" s="143"/>
      <c r="K517" s="143"/>
      <c r="L517" s="143"/>
      <c r="M517" s="222"/>
      <c r="N517" s="222">
        <v>322212</v>
      </c>
      <c r="O517" s="145"/>
      <c r="P517" s="223">
        <f t="shared" si="359"/>
        <v>322212</v>
      </c>
      <c r="Q517" s="147">
        <f>P517*$Q$8</f>
        <v>35443.32</v>
      </c>
      <c r="R517" s="147">
        <f t="shared" si="351"/>
        <v>97.104986301369863</v>
      </c>
      <c r="S517" s="148">
        <f>R517*$S$3*$S$8</f>
        <v>21265.991999999998</v>
      </c>
      <c r="T517" s="199"/>
      <c r="U517" s="150"/>
      <c r="V517" s="151"/>
      <c r="W517" s="151"/>
      <c r="X517" s="152"/>
      <c r="Y517" s="153"/>
      <c r="Z517" s="153"/>
      <c r="AA517" s="154"/>
      <c r="AB517" s="155">
        <f>S517*$AB$3</f>
        <v>12334.275359999998</v>
      </c>
      <c r="AC517" s="156">
        <f>S517*$AC$3</f>
        <v>2764.5789599999998</v>
      </c>
      <c r="AD517" s="156">
        <f>S517*$AD$3</f>
        <v>1866.0907979999997</v>
      </c>
      <c r="AE517" s="156">
        <f>S517*$AE$3</f>
        <v>850.63968</v>
      </c>
      <c r="AF517" s="156">
        <f>S517*$AF$3</f>
        <v>425.31984</v>
      </c>
      <c r="AG517" s="156">
        <f>S517*$AG$3</f>
        <v>425.31984</v>
      </c>
      <c r="AH517" s="156">
        <f>S517*$AH$3</f>
        <v>212.65992</v>
      </c>
      <c r="AI517" s="156">
        <f>S517*$AI$3</f>
        <v>425.31984</v>
      </c>
      <c r="AJ517" s="156">
        <f>S517*$AJ$3</f>
        <v>425.31984</v>
      </c>
      <c r="AK517" s="156">
        <f>S517*$AK$3</f>
        <v>1488.6194399999999</v>
      </c>
      <c r="AL517" s="157">
        <f t="shared" si="352"/>
        <v>6544.6090380000005</v>
      </c>
      <c r="AM517" s="158">
        <f t="shared" si="353"/>
        <v>2200</v>
      </c>
      <c r="AN517" s="159">
        <v>0.2</v>
      </c>
      <c r="AO517" s="160">
        <f t="shared" si="354"/>
        <v>173892649.03460208</v>
      </c>
      <c r="AP517" s="161">
        <f t="shared" si="355"/>
        <v>48303.517485003889</v>
      </c>
      <c r="AQ517" s="162">
        <f t="shared" si="356"/>
        <v>9660.703497000779</v>
      </c>
      <c r="AR517" s="580">
        <f t="shared" si="357"/>
        <v>1.3785250423802482</v>
      </c>
      <c r="AS517" s="582">
        <f t="shared" si="358"/>
        <v>1.3785250423802482</v>
      </c>
      <c r="AT517" s="165"/>
      <c r="AU517" s="166"/>
      <c r="AV517" s="167"/>
      <c r="AW517" s="146"/>
      <c r="AX517" s="168"/>
    </row>
    <row r="518" spans="1:50" s="139" customFormat="1" ht="11.25" x14ac:dyDescent="0.25">
      <c r="A518" s="140">
        <v>9</v>
      </c>
      <c r="B518" s="361" t="s">
        <v>534</v>
      </c>
      <c r="C518" s="142"/>
      <c r="D518" s="143"/>
      <c r="E518" s="143"/>
      <c r="F518" s="143"/>
      <c r="G518" s="143"/>
      <c r="H518" s="143"/>
      <c r="I518" s="143"/>
      <c r="J518" s="143"/>
      <c r="K518" s="143"/>
      <c r="L518" s="143"/>
      <c r="M518" s="222"/>
      <c r="N518" s="222">
        <v>308814</v>
      </c>
      <c r="O518" s="145"/>
      <c r="P518" s="223">
        <f t="shared" si="359"/>
        <v>308814</v>
      </c>
      <c r="Q518" s="147">
        <f>P518*$Q$8</f>
        <v>33969.54</v>
      </c>
      <c r="R518" s="147">
        <f t="shared" si="351"/>
        <v>93.067232876712325</v>
      </c>
      <c r="S518" s="148">
        <f>R518*$S$3*$S$8</f>
        <v>20381.723999999998</v>
      </c>
      <c r="T518" s="199"/>
      <c r="U518" s="150"/>
      <c r="V518" s="151"/>
      <c r="W518" s="151"/>
      <c r="X518" s="152"/>
      <c r="Y518" s="153"/>
      <c r="Z518" s="153"/>
      <c r="AA518" s="154"/>
      <c r="AB518" s="155">
        <f>S518*$AB$3</f>
        <v>11821.399919999998</v>
      </c>
      <c r="AC518" s="156">
        <f>S518*$AC$3</f>
        <v>2649.6241199999999</v>
      </c>
      <c r="AD518" s="156">
        <f>S518*$AD$3</f>
        <v>1788.4962809999997</v>
      </c>
      <c r="AE518" s="156">
        <f>S518*$AE$3</f>
        <v>815.26895999999999</v>
      </c>
      <c r="AF518" s="156">
        <f>S518*$AF$3</f>
        <v>407.63448</v>
      </c>
      <c r="AG518" s="156">
        <f>S518*$AG$3</f>
        <v>407.63448</v>
      </c>
      <c r="AH518" s="156">
        <f>S518*$AH$3</f>
        <v>203.81724</v>
      </c>
      <c r="AI518" s="156">
        <f>S518*$AI$3</f>
        <v>407.63448</v>
      </c>
      <c r="AJ518" s="156">
        <f>S518*$AJ$3</f>
        <v>407.63448</v>
      </c>
      <c r="AK518" s="156">
        <f>S518*$AK$3</f>
        <v>1426.7206800000001</v>
      </c>
      <c r="AL518" s="157">
        <f t="shared" si="352"/>
        <v>6272.4755610000002</v>
      </c>
      <c r="AM518" s="158">
        <f t="shared" si="353"/>
        <v>2200</v>
      </c>
      <c r="AN518" s="159">
        <v>0.2</v>
      </c>
      <c r="AO518" s="160">
        <f t="shared" si="354"/>
        <v>166661963.30047175</v>
      </c>
      <c r="AP518" s="161">
        <f t="shared" si="355"/>
        <v>46294.993509285785</v>
      </c>
      <c r="AQ518" s="162">
        <f t="shared" si="356"/>
        <v>9258.9987018571574</v>
      </c>
      <c r="AR518" s="580">
        <f t="shared" si="357"/>
        <v>1.3212041526622655</v>
      </c>
      <c r="AS518" s="435">
        <f t="shared" si="358"/>
        <v>1.3212041526622655</v>
      </c>
      <c r="AT518" s="187"/>
      <c r="AU518" s="166"/>
      <c r="AV518" s="167"/>
      <c r="AW518" s="146"/>
      <c r="AX518" s="168"/>
    </row>
    <row r="519" spans="1:50" s="139" customFormat="1" ht="11.25" x14ac:dyDescent="0.25">
      <c r="A519" s="140">
        <v>10</v>
      </c>
      <c r="B519" s="361" t="s">
        <v>535</v>
      </c>
      <c r="C519" s="142"/>
      <c r="D519" s="143"/>
      <c r="E519" s="143"/>
      <c r="F519" s="143"/>
      <c r="G519" s="143"/>
      <c r="H519" s="143"/>
      <c r="I519" s="143"/>
      <c r="J519" s="143"/>
      <c r="K519" s="143"/>
      <c r="L519" s="143"/>
      <c r="M519" s="222"/>
      <c r="N519" s="222">
        <v>167653</v>
      </c>
      <c r="O519" s="145"/>
      <c r="P519" s="223">
        <f t="shared" si="359"/>
        <v>167653</v>
      </c>
      <c r="Q519" s="147">
        <f>P519*$Q$8</f>
        <v>18441.830000000002</v>
      </c>
      <c r="R519" s="147">
        <f t="shared" si="351"/>
        <v>50.525561643835623</v>
      </c>
      <c r="S519" s="148">
        <f>R519*$S$3*$S$8</f>
        <v>11065.098</v>
      </c>
      <c r="T519" s="199"/>
      <c r="U519" s="150"/>
      <c r="V519" s="151"/>
      <c r="W519" s="151"/>
      <c r="X519" s="152"/>
      <c r="Y519" s="153"/>
      <c r="Z519" s="153"/>
      <c r="AA519" s="154"/>
      <c r="AB519" s="155">
        <f>S519*$AB$3</f>
        <v>6417.7568399999991</v>
      </c>
      <c r="AC519" s="156">
        <f>S519*$AC$3</f>
        <v>1438.4627399999999</v>
      </c>
      <c r="AD519" s="156">
        <f>S519*$AD$3</f>
        <v>970.96234949999996</v>
      </c>
      <c r="AE519" s="156">
        <f>S519*$AE$3</f>
        <v>442.60392000000002</v>
      </c>
      <c r="AF519" s="156">
        <f>S519*$AF$3</f>
        <v>221.30196000000001</v>
      </c>
      <c r="AG519" s="156">
        <f>S519*$AG$3</f>
        <v>221.30196000000001</v>
      </c>
      <c r="AH519" s="156">
        <f>S519*$AH$3</f>
        <v>110.65098</v>
      </c>
      <c r="AI519" s="156">
        <f>S519*$AI$3</f>
        <v>221.30196000000001</v>
      </c>
      <c r="AJ519" s="156">
        <f>S519*$AJ$3</f>
        <v>221.30196000000001</v>
      </c>
      <c r="AK519" s="156">
        <f>S519*$AK$3</f>
        <v>774.55686000000003</v>
      </c>
      <c r="AL519" s="157">
        <f t="shared" si="352"/>
        <v>3405.2839094999995</v>
      </c>
      <c r="AM519" s="158">
        <f t="shared" si="353"/>
        <v>2200</v>
      </c>
      <c r="AN519" s="159">
        <v>0.2</v>
      </c>
      <c r="AO519" s="160">
        <f t="shared" si="354"/>
        <v>90479635.42201449</v>
      </c>
      <c r="AP519" s="161">
        <f t="shared" si="355"/>
        <v>25133.234072329255</v>
      </c>
      <c r="AQ519" s="162">
        <f t="shared" si="356"/>
        <v>5026.6468144658511</v>
      </c>
      <c r="AR519" s="580">
        <f t="shared" si="357"/>
        <v>0.71727266188154271</v>
      </c>
      <c r="AS519" s="582">
        <f t="shared" si="358"/>
        <v>0.71727266188154271</v>
      </c>
      <c r="AT519" s="165"/>
      <c r="AU519" s="166"/>
      <c r="AV519" s="167"/>
      <c r="AW519" s="146"/>
      <c r="AX519" s="168"/>
    </row>
    <row r="520" spans="1:50" s="139" customFormat="1" ht="11.25" x14ac:dyDescent="0.25">
      <c r="A520" s="140">
        <v>11</v>
      </c>
      <c r="B520" s="361" t="s">
        <v>536</v>
      </c>
      <c r="C520" s="142"/>
      <c r="D520" s="143"/>
      <c r="E520" s="143"/>
      <c r="F520" s="143"/>
      <c r="G520" s="143"/>
      <c r="H520" s="143"/>
      <c r="I520" s="143"/>
      <c r="J520" s="143"/>
      <c r="K520" s="143"/>
      <c r="L520" s="143"/>
      <c r="M520" s="222"/>
      <c r="N520" s="222">
        <v>724905</v>
      </c>
      <c r="O520" s="145"/>
      <c r="P520" s="223">
        <f t="shared" si="359"/>
        <v>724905</v>
      </c>
      <c r="Q520" s="147">
        <f>P520*$Q$7</f>
        <v>105836.12999999999</v>
      </c>
      <c r="R520" s="147">
        <f t="shared" si="351"/>
        <v>289.96199999999999</v>
      </c>
      <c r="S520" s="148">
        <f>R520*$S$3*$S$7</f>
        <v>74085.290999999983</v>
      </c>
      <c r="T520" s="199"/>
      <c r="U520" s="150"/>
      <c r="V520" s="151"/>
      <c r="W520" s="151"/>
      <c r="X520" s="152"/>
      <c r="Y520" s="153"/>
      <c r="Z520" s="153"/>
      <c r="AA520" s="154"/>
      <c r="AB520" s="155">
        <f>S520*$AB$3</f>
        <v>42969.468779999988</v>
      </c>
      <c r="AC520" s="156">
        <f>S520*$AC$3</f>
        <v>9631.0878299999986</v>
      </c>
      <c r="AD520" s="156">
        <f>S520*$AD$3</f>
        <v>6500.9842852499978</v>
      </c>
      <c r="AE520" s="156">
        <f>S520*$AE$3</f>
        <v>2963.4116399999994</v>
      </c>
      <c r="AF520" s="156">
        <f>S520*$AF$3</f>
        <v>1481.7058199999997</v>
      </c>
      <c r="AG520" s="156">
        <f>S520*$AG$3</f>
        <v>1481.7058199999997</v>
      </c>
      <c r="AH520" s="156">
        <f>S520*$AH$3</f>
        <v>740.85290999999984</v>
      </c>
      <c r="AI520" s="156">
        <f>S520*$AI$3</f>
        <v>1481.7058199999997</v>
      </c>
      <c r="AJ520" s="156">
        <f>S520*$AJ$3</f>
        <v>1481.7058199999997</v>
      </c>
      <c r="AK520" s="156">
        <f>S520*$AK$3</f>
        <v>5185.9703699999991</v>
      </c>
      <c r="AL520" s="157">
        <f t="shared" si="352"/>
        <v>22799.748305249996</v>
      </c>
      <c r="AM520" s="158">
        <f t="shared" si="353"/>
        <v>2200</v>
      </c>
      <c r="AN520" s="159">
        <v>0.2</v>
      </c>
      <c r="AO520" s="160">
        <f t="shared" si="354"/>
        <v>605797627.80355418</v>
      </c>
      <c r="AP520" s="161">
        <f t="shared" si="355"/>
        <v>168277.1322964901</v>
      </c>
      <c r="AQ520" s="162">
        <f t="shared" si="356"/>
        <v>33655.426459298025</v>
      </c>
      <c r="AR520" s="580">
        <f t="shared" si="357"/>
        <v>4.802429574671522</v>
      </c>
      <c r="AS520" s="582">
        <f t="shared" si="358"/>
        <v>4.802429574671522</v>
      </c>
      <c r="AT520" s="165"/>
      <c r="AU520" s="166"/>
      <c r="AV520" s="167"/>
      <c r="AW520" s="146"/>
      <c r="AX520" s="168"/>
    </row>
    <row r="521" spans="1:50" s="139" customFormat="1" ht="11.25" x14ac:dyDescent="0.25">
      <c r="A521" s="140">
        <v>12</v>
      </c>
      <c r="B521" s="361" t="s">
        <v>537</v>
      </c>
      <c r="C521" s="142"/>
      <c r="D521" s="143"/>
      <c r="E521" s="143"/>
      <c r="F521" s="143"/>
      <c r="G521" s="143"/>
      <c r="H521" s="143"/>
      <c r="I521" s="143"/>
      <c r="J521" s="143"/>
      <c r="K521" s="143"/>
      <c r="L521" s="143"/>
      <c r="M521" s="222"/>
      <c r="N521" s="222">
        <v>226079</v>
      </c>
      <c r="O521" s="145"/>
      <c r="P521" s="223">
        <f t="shared" si="359"/>
        <v>226079</v>
      </c>
      <c r="Q521" s="147">
        <f t="shared" ref="Q521:Q533" si="360">P521*$Q$8</f>
        <v>24868.69</v>
      </c>
      <c r="R521" s="147">
        <f t="shared" si="351"/>
        <v>68.133397260273966</v>
      </c>
      <c r="S521" s="148">
        <f t="shared" ref="S521:S533" si="361">R521*$S$3*$S$8</f>
        <v>14921.213999999998</v>
      </c>
      <c r="T521" s="199"/>
      <c r="U521" s="150"/>
      <c r="V521" s="151"/>
      <c r="W521" s="151"/>
      <c r="X521" s="152"/>
      <c r="Y521" s="153"/>
      <c r="Z521" s="153"/>
      <c r="AA521" s="154"/>
      <c r="AB521" s="155">
        <f>S521*$AB$3</f>
        <v>8654.3041199999989</v>
      </c>
      <c r="AC521" s="156">
        <f>S521*$AC$3</f>
        <v>1939.7578199999998</v>
      </c>
      <c r="AD521" s="156">
        <f>S521*$AD$3</f>
        <v>1309.3365284999998</v>
      </c>
      <c r="AE521" s="156">
        <f>S521*$AE$3</f>
        <v>596.84855999999991</v>
      </c>
      <c r="AF521" s="156">
        <f>S521*$AF$3</f>
        <v>298.42427999999995</v>
      </c>
      <c r="AG521" s="156">
        <f>S521*$AG$3</f>
        <v>298.42427999999995</v>
      </c>
      <c r="AH521" s="156">
        <f>S521*$AH$3</f>
        <v>149.21213999999998</v>
      </c>
      <c r="AI521" s="156">
        <f>S521*$AI$3</f>
        <v>298.42427999999995</v>
      </c>
      <c r="AJ521" s="156">
        <f>S521*$AJ$3</f>
        <v>298.42427999999995</v>
      </c>
      <c r="AK521" s="156">
        <f>S521*$AK$3</f>
        <v>1044.48498</v>
      </c>
      <c r="AL521" s="157">
        <f t="shared" si="352"/>
        <v>4592.0036084999992</v>
      </c>
      <c r="AM521" s="158">
        <f t="shared" si="353"/>
        <v>2200</v>
      </c>
      <c r="AN521" s="159">
        <v>0.2</v>
      </c>
      <c r="AO521" s="160">
        <f t="shared" si="354"/>
        <v>122011210.63490434</v>
      </c>
      <c r="AP521" s="161">
        <f t="shared" si="355"/>
        <v>33892.005665500328</v>
      </c>
      <c r="AQ521" s="162">
        <f t="shared" si="356"/>
        <v>6778.4011331000656</v>
      </c>
      <c r="AR521" s="580">
        <f t="shared" si="357"/>
        <v>0.96723760460902763</v>
      </c>
      <c r="AS521" s="582">
        <f t="shared" si="358"/>
        <v>0.96723760460902763</v>
      </c>
      <c r="AT521" s="165"/>
      <c r="AU521" s="166"/>
      <c r="AV521" s="167"/>
      <c r="AW521" s="146"/>
      <c r="AX521" s="168"/>
    </row>
    <row r="522" spans="1:50" s="139" customFormat="1" ht="11.25" x14ac:dyDescent="0.25">
      <c r="A522" s="140">
        <v>13</v>
      </c>
      <c r="B522" s="361" t="s">
        <v>538</v>
      </c>
      <c r="C522" s="142"/>
      <c r="D522" s="143"/>
      <c r="E522" s="143"/>
      <c r="F522" s="143"/>
      <c r="G522" s="143"/>
      <c r="H522" s="143"/>
      <c r="I522" s="143"/>
      <c r="J522" s="143"/>
      <c r="K522" s="143"/>
      <c r="L522" s="143"/>
      <c r="M522" s="222"/>
      <c r="N522" s="222">
        <v>388985</v>
      </c>
      <c r="O522" s="145"/>
      <c r="P522" s="223">
        <f t="shared" si="359"/>
        <v>388985</v>
      </c>
      <c r="Q522" s="147">
        <f t="shared" si="360"/>
        <v>42788.35</v>
      </c>
      <c r="R522" s="147">
        <f t="shared" si="351"/>
        <v>117.22835616438356</v>
      </c>
      <c r="S522" s="148">
        <f t="shared" si="361"/>
        <v>25673.01</v>
      </c>
      <c r="T522" s="199"/>
      <c r="U522" s="150"/>
      <c r="V522" s="151"/>
      <c r="W522" s="151"/>
      <c r="X522" s="152"/>
      <c r="Y522" s="153"/>
      <c r="Z522" s="153"/>
      <c r="AA522" s="154"/>
      <c r="AB522" s="155">
        <f>S522*$AB$3</f>
        <v>14890.345799999997</v>
      </c>
      <c r="AC522" s="156">
        <f>S522*$AC$3</f>
        <v>3337.4912999999997</v>
      </c>
      <c r="AD522" s="156">
        <f>S522*$AD$3</f>
        <v>2252.8066274999996</v>
      </c>
      <c r="AE522" s="156">
        <f>S522*$AE$3</f>
        <v>1026.9204</v>
      </c>
      <c r="AF522" s="156">
        <f>S522*$AF$3</f>
        <v>513.46019999999999</v>
      </c>
      <c r="AG522" s="156">
        <f>S522*$AG$3</f>
        <v>513.46019999999999</v>
      </c>
      <c r="AH522" s="156">
        <f>S522*$AH$3</f>
        <v>256.73009999999999</v>
      </c>
      <c r="AI522" s="156">
        <f>S522*$AI$3</f>
        <v>513.46019999999999</v>
      </c>
      <c r="AJ522" s="156">
        <f>S522*$AJ$3</f>
        <v>513.46019999999999</v>
      </c>
      <c r="AK522" s="156">
        <f>S522*$AK$3</f>
        <v>1797.1107</v>
      </c>
      <c r="AL522" s="157">
        <f t="shared" si="352"/>
        <v>7900.8688274999995</v>
      </c>
      <c r="AM522" s="158">
        <f t="shared" si="353"/>
        <v>2200</v>
      </c>
      <c r="AN522" s="159">
        <v>0.2</v>
      </c>
      <c r="AO522" s="160">
        <f t="shared" si="354"/>
        <v>209928966.28531736</v>
      </c>
      <c r="AP522" s="161">
        <f t="shared" si="355"/>
        <v>58313.606411009627</v>
      </c>
      <c r="AQ522" s="162">
        <f t="shared" si="356"/>
        <v>11662.721282201926</v>
      </c>
      <c r="AR522" s="580">
        <f t="shared" si="357"/>
        <v>1.6642010962046128</v>
      </c>
      <c r="AS522" s="582">
        <f t="shared" si="358"/>
        <v>1.6642010962046128</v>
      </c>
      <c r="AT522" s="165"/>
      <c r="AU522" s="166"/>
      <c r="AV522" s="167"/>
      <c r="AW522" s="146"/>
      <c r="AX522" s="168"/>
    </row>
    <row r="523" spans="1:50" s="139" customFormat="1" ht="11.25" x14ac:dyDescent="0.25">
      <c r="A523" s="140">
        <v>14</v>
      </c>
      <c r="B523" s="361" t="s">
        <v>539</v>
      </c>
      <c r="C523" s="142"/>
      <c r="D523" s="143"/>
      <c r="E523" s="143"/>
      <c r="F523" s="143"/>
      <c r="G523" s="143"/>
      <c r="H523" s="143"/>
      <c r="I523" s="143"/>
      <c r="J523" s="143"/>
      <c r="K523" s="143"/>
      <c r="L523" s="143"/>
      <c r="M523" s="222"/>
      <c r="N523" s="222">
        <v>274648</v>
      </c>
      <c r="O523" s="145"/>
      <c r="P523" s="223">
        <f t="shared" si="359"/>
        <v>274648</v>
      </c>
      <c r="Q523" s="147">
        <f t="shared" si="360"/>
        <v>30211.279999999999</v>
      </c>
      <c r="R523" s="147">
        <f t="shared" si="351"/>
        <v>82.770630136986298</v>
      </c>
      <c r="S523" s="148">
        <f t="shared" si="361"/>
        <v>18126.768</v>
      </c>
      <c r="T523" s="199"/>
      <c r="U523" s="150"/>
      <c r="V523" s="151"/>
      <c r="W523" s="151"/>
      <c r="X523" s="152"/>
      <c r="Y523" s="153"/>
      <c r="Z523" s="153"/>
      <c r="AA523" s="154"/>
      <c r="AB523" s="155">
        <f>S523*$AB$3</f>
        <v>10513.525439999999</v>
      </c>
      <c r="AC523" s="156">
        <f>S523*$AC$3</f>
        <v>2356.47984</v>
      </c>
      <c r="AD523" s="156">
        <f>S523*$AD$3</f>
        <v>1590.6238919999998</v>
      </c>
      <c r="AE523" s="156">
        <f>S523*$AE$3</f>
        <v>725.07072000000005</v>
      </c>
      <c r="AF523" s="156">
        <f>S523*$AF$3</f>
        <v>362.53536000000003</v>
      </c>
      <c r="AG523" s="156">
        <f>S523*$AG$3</f>
        <v>362.53536000000003</v>
      </c>
      <c r="AH523" s="156">
        <f>S523*$AH$3</f>
        <v>181.26768000000001</v>
      </c>
      <c r="AI523" s="156">
        <f>S523*$AI$3</f>
        <v>362.53536000000003</v>
      </c>
      <c r="AJ523" s="156">
        <f>S523*$AJ$3</f>
        <v>362.53536000000003</v>
      </c>
      <c r="AK523" s="156">
        <f>S523*$AK$3</f>
        <v>1268.8737600000002</v>
      </c>
      <c r="AL523" s="157">
        <f t="shared" si="352"/>
        <v>5578.5128519999989</v>
      </c>
      <c r="AM523" s="158">
        <f t="shared" si="353"/>
        <v>2200</v>
      </c>
      <c r="AN523" s="159">
        <v>0.2</v>
      </c>
      <c r="AO523" s="160">
        <f t="shared" si="354"/>
        <v>148223121.02608031</v>
      </c>
      <c r="AP523" s="161">
        <f t="shared" si="355"/>
        <v>41173.092467758332</v>
      </c>
      <c r="AQ523" s="162">
        <f t="shared" si="356"/>
        <v>8234.6184935516667</v>
      </c>
      <c r="AR523" s="580">
        <f t="shared" si="357"/>
        <v>1.1750311777328291</v>
      </c>
      <c r="AS523" s="582">
        <f t="shared" si="358"/>
        <v>1.1750311777328291</v>
      </c>
      <c r="AT523" s="165"/>
      <c r="AU523" s="166"/>
      <c r="AV523" s="167"/>
      <c r="AW523" s="146"/>
      <c r="AX523" s="168"/>
    </row>
    <row r="524" spans="1:50" s="139" customFormat="1" ht="11.25" x14ac:dyDescent="0.25">
      <c r="A524" s="140">
        <v>15</v>
      </c>
      <c r="B524" s="361" t="s">
        <v>540</v>
      </c>
      <c r="C524" s="142"/>
      <c r="D524" s="143"/>
      <c r="E524" s="143"/>
      <c r="F524" s="143"/>
      <c r="G524" s="143"/>
      <c r="H524" s="143"/>
      <c r="I524" s="143"/>
      <c r="J524" s="143"/>
      <c r="K524" s="143"/>
      <c r="L524" s="143"/>
      <c r="M524" s="222"/>
      <c r="N524" s="222">
        <v>354652</v>
      </c>
      <c r="O524" s="145"/>
      <c r="P524" s="223">
        <f t="shared" si="359"/>
        <v>354652</v>
      </c>
      <c r="Q524" s="147">
        <f t="shared" si="360"/>
        <v>39011.72</v>
      </c>
      <c r="R524" s="147">
        <f t="shared" si="351"/>
        <v>106.88142465753425</v>
      </c>
      <c r="S524" s="148">
        <f t="shared" si="361"/>
        <v>23407.031999999999</v>
      </c>
      <c r="T524" s="199"/>
      <c r="U524" s="150"/>
      <c r="V524" s="151"/>
      <c r="W524" s="151"/>
      <c r="X524" s="152"/>
      <c r="Y524" s="153"/>
      <c r="Z524" s="153"/>
      <c r="AA524" s="154"/>
      <c r="AB524" s="155">
        <f>S524*$AB$3</f>
        <v>13576.078559999998</v>
      </c>
      <c r="AC524" s="156">
        <f>S524*$AC$3</f>
        <v>3042.9141599999998</v>
      </c>
      <c r="AD524" s="156">
        <f>S524*$AD$3</f>
        <v>2053.9670579999997</v>
      </c>
      <c r="AE524" s="156">
        <f>S524*$AE$3</f>
        <v>936.28128000000004</v>
      </c>
      <c r="AF524" s="156">
        <f>S524*$AF$3</f>
        <v>468.14064000000002</v>
      </c>
      <c r="AG524" s="156">
        <f>S524*$AG$3</f>
        <v>468.14064000000002</v>
      </c>
      <c r="AH524" s="156">
        <f>S524*$AH$3</f>
        <v>234.07032000000001</v>
      </c>
      <c r="AI524" s="156">
        <f>S524*$AI$3</f>
        <v>468.14064000000002</v>
      </c>
      <c r="AJ524" s="156">
        <f>S524*$AJ$3</f>
        <v>468.14064000000002</v>
      </c>
      <c r="AK524" s="156">
        <f>S524*$AK$3</f>
        <v>1638.49224</v>
      </c>
      <c r="AL524" s="157">
        <f t="shared" si="352"/>
        <v>7203.5140979999987</v>
      </c>
      <c r="AM524" s="158">
        <f t="shared" si="353"/>
        <v>2200</v>
      </c>
      <c r="AN524" s="159">
        <v>0.2</v>
      </c>
      <c r="AO524" s="160">
        <f t="shared" si="354"/>
        <v>191399996.78913167</v>
      </c>
      <c r="AP524" s="161">
        <f t="shared" si="355"/>
        <v>53166.670028092056</v>
      </c>
      <c r="AQ524" s="162">
        <f t="shared" si="356"/>
        <v>10633.334005618412</v>
      </c>
      <c r="AR524" s="580">
        <f t="shared" si="357"/>
        <v>1.5173136423542255</v>
      </c>
      <c r="AS524" s="582">
        <f t="shared" si="358"/>
        <v>1.5173136423542255</v>
      </c>
      <c r="AT524" s="165"/>
      <c r="AU524" s="166"/>
      <c r="AV524" s="167"/>
      <c r="AW524" s="146"/>
      <c r="AX524" s="168"/>
    </row>
    <row r="525" spans="1:50" s="139" customFormat="1" ht="11.25" x14ac:dyDescent="0.25">
      <c r="A525" s="140">
        <v>16</v>
      </c>
      <c r="B525" s="361" t="s">
        <v>541</v>
      </c>
      <c r="C525" s="142"/>
      <c r="D525" s="143"/>
      <c r="E525" s="143"/>
      <c r="F525" s="143"/>
      <c r="G525" s="143"/>
      <c r="H525" s="143"/>
      <c r="I525" s="143"/>
      <c r="J525" s="143"/>
      <c r="K525" s="143"/>
      <c r="L525" s="143"/>
      <c r="M525" s="222"/>
      <c r="N525" s="222">
        <v>192163</v>
      </c>
      <c r="O525" s="145"/>
      <c r="P525" s="223">
        <f t="shared" si="359"/>
        <v>192163</v>
      </c>
      <c r="Q525" s="147">
        <f t="shared" si="360"/>
        <v>21137.93</v>
      </c>
      <c r="R525" s="147">
        <f t="shared" si="351"/>
        <v>57.91213698630137</v>
      </c>
      <c r="S525" s="148">
        <f t="shared" si="361"/>
        <v>12682.758</v>
      </c>
      <c r="T525" s="199"/>
      <c r="U525" s="150"/>
      <c r="V525" s="151"/>
      <c r="W525" s="151"/>
      <c r="X525" s="152"/>
      <c r="Y525" s="153"/>
      <c r="Z525" s="153"/>
      <c r="AA525" s="154"/>
      <c r="AB525" s="155">
        <f>S525*$AB$3</f>
        <v>7355.9996399999991</v>
      </c>
      <c r="AC525" s="156">
        <f>S525*$AC$3</f>
        <v>1648.75854</v>
      </c>
      <c r="AD525" s="156">
        <f>S525*$AD$3</f>
        <v>1112.9120144999999</v>
      </c>
      <c r="AE525" s="156">
        <f>S525*$AE$3</f>
        <v>507.31031999999999</v>
      </c>
      <c r="AF525" s="156">
        <f>S525*$AF$3</f>
        <v>253.65516</v>
      </c>
      <c r="AG525" s="156">
        <f>S525*$AG$3</f>
        <v>253.65516</v>
      </c>
      <c r="AH525" s="156">
        <f>S525*$AH$3</f>
        <v>126.82758</v>
      </c>
      <c r="AI525" s="156">
        <f>S525*$AI$3</f>
        <v>253.65516</v>
      </c>
      <c r="AJ525" s="156">
        <f>S525*$AJ$3</f>
        <v>253.65516</v>
      </c>
      <c r="AK525" s="156">
        <f>S525*$AK$3</f>
        <v>887.79306000000008</v>
      </c>
      <c r="AL525" s="157">
        <f t="shared" si="352"/>
        <v>3903.1187744999997</v>
      </c>
      <c r="AM525" s="158">
        <f t="shared" si="353"/>
        <v>2200</v>
      </c>
      <c r="AN525" s="159">
        <v>0.2</v>
      </c>
      <c r="AO525" s="160">
        <f t="shared" si="354"/>
        <v>103707289.3512229</v>
      </c>
      <c r="AP525" s="161">
        <f t="shared" si="355"/>
        <v>28807.582679946125</v>
      </c>
      <c r="AQ525" s="162">
        <f t="shared" si="356"/>
        <v>5761.5165359892253</v>
      </c>
      <c r="AR525" s="580">
        <f t="shared" si="357"/>
        <v>0.82213420890257205</v>
      </c>
      <c r="AS525" s="582">
        <f t="shared" si="358"/>
        <v>0.82213420890257205</v>
      </c>
      <c r="AT525" s="165"/>
      <c r="AU525" s="166"/>
      <c r="AV525" s="167"/>
      <c r="AW525" s="146"/>
      <c r="AX525" s="168"/>
    </row>
    <row r="526" spans="1:50" s="139" customFormat="1" ht="11.25" x14ac:dyDescent="0.25">
      <c r="A526" s="140">
        <v>17</v>
      </c>
      <c r="B526" s="361" t="s">
        <v>542</v>
      </c>
      <c r="C526" s="142"/>
      <c r="D526" s="143"/>
      <c r="E526" s="143"/>
      <c r="F526" s="143"/>
      <c r="G526" s="143"/>
      <c r="H526" s="143"/>
      <c r="I526" s="143"/>
      <c r="J526" s="143"/>
      <c r="K526" s="143"/>
      <c r="L526" s="143"/>
      <c r="M526" s="222"/>
      <c r="N526" s="222">
        <v>335828</v>
      </c>
      <c r="O526" s="145"/>
      <c r="P526" s="223">
        <f t="shared" si="359"/>
        <v>335828</v>
      </c>
      <c r="Q526" s="147">
        <f t="shared" si="360"/>
        <v>36941.08</v>
      </c>
      <c r="R526" s="147">
        <f t="shared" si="351"/>
        <v>101.20843835616439</v>
      </c>
      <c r="S526" s="148">
        <f t="shared" si="361"/>
        <v>22164.648000000001</v>
      </c>
      <c r="T526" s="199"/>
      <c r="U526" s="150"/>
      <c r="V526" s="151"/>
      <c r="W526" s="151"/>
      <c r="X526" s="152"/>
      <c r="Y526" s="153"/>
      <c r="Z526" s="153"/>
      <c r="AA526" s="154"/>
      <c r="AB526" s="155">
        <f>S526*$AB$3</f>
        <v>12855.49584</v>
      </c>
      <c r="AC526" s="156">
        <f>S526*$AC$3</f>
        <v>2881.4042400000003</v>
      </c>
      <c r="AD526" s="156">
        <f>S526*$AD$3</f>
        <v>1944.947862</v>
      </c>
      <c r="AE526" s="156">
        <f>S526*$AE$3</f>
        <v>886.5859200000001</v>
      </c>
      <c r="AF526" s="156">
        <f>S526*$AF$3</f>
        <v>443.29296000000005</v>
      </c>
      <c r="AG526" s="156">
        <f>S526*$AG$3</f>
        <v>443.29296000000005</v>
      </c>
      <c r="AH526" s="156">
        <f>S526*$AH$3</f>
        <v>221.64648000000003</v>
      </c>
      <c r="AI526" s="156">
        <f>S526*$AI$3</f>
        <v>443.29296000000005</v>
      </c>
      <c r="AJ526" s="156">
        <f>S526*$AJ$3</f>
        <v>443.29296000000005</v>
      </c>
      <c r="AK526" s="156">
        <f>S526*$AK$3</f>
        <v>1551.5253600000003</v>
      </c>
      <c r="AL526" s="157">
        <f t="shared" si="352"/>
        <v>6821.1704220000011</v>
      </c>
      <c r="AM526" s="158">
        <f t="shared" si="353"/>
        <v>2200</v>
      </c>
      <c r="AN526" s="159">
        <v>0.2</v>
      </c>
      <c r="AO526" s="160">
        <f t="shared" si="354"/>
        <v>181240985.87263152</v>
      </c>
      <c r="AP526" s="161">
        <f t="shared" si="355"/>
        <v>50344.72232553066</v>
      </c>
      <c r="AQ526" s="162">
        <f t="shared" si="356"/>
        <v>10068.944465106133</v>
      </c>
      <c r="AR526" s="580">
        <f t="shared" si="357"/>
        <v>1.4367786051806697</v>
      </c>
      <c r="AS526" s="582">
        <f t="shared" si="358"/>
        <v>1.4367786051806697</v>
      </c>
      <c r="AT526" s="165"/>
      <c r="AU526" s="166"/>
      <c r="AV526" s="167"/>
      <c r="AW526" s="146"/>
      <c r="AX526" s="168"/>
    </row>
    <row r="527" spans="1:50" s="139" customFormat="1" ht="11.25" x14ac:dyDescent="0.25">
      <c r="A527" s="140">
        <v>18</v>
      </c>
      <c r="B527" s="361" t="s">
        <v>543</v>
      </c>
      <c r="C527" s="142"/>
      <c r="D527" s="143"/>
      <c r="E527" s="143"/>
      <c r="F527" s="143"/>
      <c r="G527" s="143"/>
      <c r="H527" s="143"/>
      <c r="I527" s="143"/>
      <c r="J527" s="143"/>
      <c r="K527" s="143"/>
      <c r="L527" s="143"/>
      <c r="M527" s="222"/>
      <c r="N527" s="222">
        <v>223306</v>
      </c>
      <c r="O527" s="145"/>
      <c r="P527" s="223">
        <f t="shared" si="359"/>
        <v>223306</v>
      </c>
      <c r="Q527" s="147">
        <f t="shared" si="360"/>
        <v>24563.66</v>
      </c>
      <c r="R527" s="147">
        <f t="shared" si="351"/>
        <v>67.297698630136992</v>
      </c>
      <c r="S527" s="148">
        <f t="shared" si="361"/>
        <v>14738.196000000002</v>
      </c>
      <c r="T527" s="199"/>
      <c r="U527" s="150"/>
      <c r="V527" s="151"/>
      <c r="W527" s="151"/>
      <c r="X527" s="152"/>
      <c r="Y527" s="153"/>
      <c r="Z527" s="153"/>
      <c r="AA527" s="154"/>
      <c r="AB527" s="155">
        <f>S527*$AB$3</f>
        <v>8548.1536800000013</v>
      </c>
      <c r="AC527" s="156">
        <f>S527*$AC$3</f>
        <v>1915.9654800000003</v>
      </c>
      <c r="AD527" s="156">
        <f>S527*$AD$3</f>
        <v>1293.276699</v>
      </c>
      <c r="AE527" s="156">
        <f>S527*$AE$3</f>
        <v>589.52784000000008</v>
      </c>
      <c r="AF527" s="156">
        <f>S527*$AF$3</f>
        <v>294.76392000000004</v>
      </c>
      <c r="AG527" s="156">
        <f>S527*$AG$3</f>
        <v>294.76392000000004</v>
      </c>
      <c r="AH527" s="156">
        <f>S527*$AH$3</f>
        <v>147.38196000000002</v>
      </c>
      <c r="AI527" s="156">
        <f>S527*$AI$3</f>
        <v>294.76392000000004</v>
      </c>
      <c r="AJ527" s="156">
        <f>S527*$AJ$3</f>
        <v>294.76392000000004</v>
      </c>
      <c r="AK527" s="156">
        <f>S527*$AK$3</f>
        <v>1031.6737200000002</v>
      </c>
      <c r="AL527" s="157">
        <f t="shared" si="352"/>
        <v>4535.679819</v>
      </c>
      <c r="AM527" s="158">
        <f t="shared" si="353"/>
        <v>2200</v>
      </c>
      <c r="AN527" s="159">
        <v>0.2</v>
      </c>
      <c r="AO527" s="160">
        <f t="shared" si="354"/>
        <v>120514667.00594904</v>
      </c>
      <c r="AP527" s="161">
        <f t="shared" si="355"/>
        <v>33476.299068645108</v>
      </c>
      <c r="AQ527" s="162">
        <f t="shared" si="356"/>
        <v>6695.2598137290224</v>
      </c>
      <c r="AR527" s="580">
        <f t="shared" si="357"/>
        <v>0.95537383186772584</v>
      </c>
      <c r="AS527" s="582">
        <f t="shared" si="358"/>
        <v>0.95537383186772584</v>
      </c>
      <c r="AT527" s="165"/>
      <c r="AU527" s="166"/>
      <c r="AV527" s="167"/>
      <c r="AW527" s="146"/>
      <c r="AX527" s="168"/>
    </row>
    <row r="528" spans="1:50" s="139" customFormat="1" ht="11.25" x14ac:dyDescent="0.25">
      <c r="A528" s="140">
        <v>19</v>
      </c>
      <c r="B528" s="361" t="s">
        <v>544</v>
      </c>
      <c r="C528" s="142"/>
      <c r="D528" s="143"/>
      <c r="E528" s="143"/>
      <c r="F528" s="143"/>
      <c r="G528" s="143"/>
      <c r="H528" s="143"/>
      <c r="I528" s="143"/>
      <c r="J528" s="143"/>
      <c r="K528" s="143"/>
      <c r="L528" s="143"/>
      <c r="M528" s="222"/>
      <c r="N528" s="222">
        <v>290365</v>
      </c>
      <c r="O528" s="145"/>
      <c r="P528" s="223">
        <f t="shared" si="359"/>
        <v>290365</v>
      </c>
      <c r="Q528" s="147">
        <f t="shared" si="360"/>
        <v>31940.15</v>
      </c>
      <c r="R528" s="147">
        <f t="shared" si="351"/>
        <v>87.507260273972605</v>
      </c>
      <c r="S528" s="148">
        <f t="shared" si="361"/>
        <v>19164.09</v>
      </c>
      <c r="T528" s="199"/>
      <c r="U528" s="150"/>
      <c r="V528" s="151"/>
      <c r="W528" s="151"/>
      <c r="X528" s="152"/>
      <c r="Y528" s="153"/>
      <c r="Z528" s="153"/>
      <c r="AA528" s="154"/>
      <c r="AB528" s="155">
        <f>S528*$AB$3</f>
        <v>11115.172199999999</v>
      </c>
      <c r="AC528" s="156">
        <f>S528*$AC$3</f>
        <v>2491.3317000000002</v>
      </c>
      <c r="AD528" s="156">
        <f>S528*$AD$3</f>
        <v>1681.6488975</v>
      </c>
      <c r="AE528" s="156">
        <f>S528*$AE$3</f>
        <v>766.56360000000006</v>
      </c>
      <c r="AF528" s="156">
        <f>S528*$AF$3</f>
        <v>383.28180000000003</v>
      </c>
      <c r="AG528" s="156">
        <f>S528*$AG$3</f>
        <v>383.28180000000003</v>
      </c>
      <c r="AH528" s="156">
        <f>S528*$AH$3</f>
        <v>191.64090000000002</v>
      </c>
      <c r="AI528" s="156">
        <f>S528*$AI$3</f>
        <v>383.28180000000003</v>
      </c>
      <c r="AJ528" s="156">
        <f>S528*$AJ$3</f>
        <v>383.28180000000003</v>
      </c>
      <c r="AK528" s="156">
        <f>S528*$AK$3</f>
        <v>1341.4863</v>
      </c>
      <c r="AL528" s="157">
        <f t="shared" si="352"/>
        <v>5897.7486975000002</v>
      </c>
      <c r="AM528" s="158">
        <f t="shared" si="353"/>
        <v>2200</v>
      </c>
      <c r="AN528" s="159">
        <v>0.2</v>
      </c>
      <c r="AO528" s="160">
        <f t="shared" si="354"/>
        <v>156705333.8700366</v>
      </c>
      <c r="AP528" s="161">
        <f t="shared" si="355"/>
        <v>43529.262890684251</v>
      </c>
      <c r="AQ528" s="162">
        <f t="shared" si="356"/>
        <v>8705.8525781368498</v>
      </c>
      <c r="AR528" s="580">
        <f t="shared" si="357"/>
        <v>1.2422734843231806</v>
      </c>
      <c r="AS528" s="582">
        <f t="shared" si="358"/>
        <v>1.2422734843231806</v>
      </c>
      <c r="AT528" s="165"/>
      <c r="AU528" s="166"/>
      <c r="AV528" s="167"/>
      <c r="AW528" s="146"/>
      <c r="AX528" s="168"/>
    </row>
    <row r="529" spans="1:50" s="139" customFormat="1" ht="11.25" x14ac:dyDescent="0.25">
      <c r="A529" s="140">
        <v>20</v>
      </c>
      <c r="B529" s="361" t="s">
        <v>545</v>
      </c>
      <c r="C529" s="142"/>
      <c r="D529" s="143"/>
      <c r="E529" s="143"/>
      <c r="F529" s="143"/>
      <c r="G529" s="143"/>
      <c r="H529" s="143"/>
      <c r="I529" s="143"/>
      <c r="J529" s="143"/>
      <c r="K529" s="143"/>
      <c r="L529" s="143"/>
      <c r="M529" s="222"/>
      <c r="N529" s="222">
        <v>245515</v>
      </c>
      <c r="O529" s="145"/>
      <c r="P529" s="223">
        <f t="shared" si="359"/>
        <v>245515</v>
      </c>
      <c r="Q529" s="147">
        <f t="shared" si="360"/>
        <v>27006.65</v>
      </c>
      <c r="R529" s="147">
        <f t="shared" si="351"/>
        <v>73.990821917808219</v>
      </c>
      <c r="S529" s="148">
        <f t="shared" si="361"/>
        <v>16203.99</v>
      </c>
      <c r="T529" s="199"/>
      <c r="U529" s="150"/>
      <c r="V529" s="151"/>
      <c r="W529" s="151"/>
      <c r="X529" s="152"/>
      <c r="Y529" s="153"/>
      <c r="Z529" s="153"/>
      <c r="AA529" s="154"/>
      <c r="AB529" s="155">
        <f>S529*$AB$3</f>
        <v>9398.3141999999989</v>
      </c>
      <c r="AC529" s="156">
        <f>S529*$AC$3</f>
        <v>2106.5187000000001</v>
      </c>
      <c r="AD529" s="156">
        <f>S529*$AD$3</f>
        <v>1421.9001225</v>
      </c>
      <c r="AE529" s="156">
        <f>S529*$AE$3</f>
        <v>648.15959999999995</v>
      </c>
      <c r="AF529" s="156">
        <f>S529*$AF$3</f>
        <v>324.07979999999998</v>
      </c>
      <c r="AG529" s="156">
        <f>S529*$AG$3</f>
        <v>324.07979999999998</v>
      </c>
      <c r="AH529" s="156">
        <f>S529*$AH$3</f>
        <v>162.03989999999999</v>
      </c>
      <c r="AI529" s="156">
        <f>S529*$AI$3</f>
        <v>324.07979999999998</v>
      </c>
      <c r="AJ529" s="156">
        <f>S529*$AJ$3</f>
        <v>324.07979999999998</v>
      </c>
      <c r="AK529" s="156">
        <f>S529*$AK$3</f>
        <v>1134.2793000000001</v>
      </c>
      <c r="AL529" s="157">
        <f t="shared" si="352"/>
        <v>4986.7779224999995</v>
      </c>
      <c r="AM529" s="158">
        <f t="shared" si="353"/>
        <v>2200</v>
      </c>
      <c r="AN529" s="159">
        <v>0.2</v>
      </c>
      <c r="AO529" s="160">
        <f t="shared" si="354"/>
        <v>132500508.13666259</v>
      </c>
      <c r="AP529" s="161">
        <f t="shared" si="355"/>
        <v>36805.699649084236</v>
      </c>
      <c r="AQ529" s="162">
        <f t="shared" si="356"/>
        <v>7361.1399298168471</v>
      </c>
      <c r="AR529" s="580">
        <f t="shared" si="357"/>
        <v>1.0503909717204405</v>
      </c>
      <c r="AS529" s="582">
        <f t="shared" si="358"/>
        <v>1.0503909717204405</v>
      </c>
      <c r="AT529" s="165"/>
      <c r="AU529" s="166"/>
      <c r="AV529" s="167"/>
      <c r="AW529" s="146"/>
      <c r="AX529" s="168"/>
    </row>
    <row r="530" spans="1:50" s="139" customFormat="1" ht="11.25" x14ac:dyDescent="0.25">
      <c r="A530" s="140">
        <v>21</v>
      </c>
      <c r="B530" s="361" t="s">
        <v>546</v>
      </c>
      <c r="C530" s="142"/>
      <c r="D530" s="143"/>
      <c r="E530" s="143"/>
      <c r="F530" s="143"/>
      <c r="G530" s="143"/>
      <c r="H530" s="143"/>
      <c r="I530" s="143"/>
      <c r="J530" s="143"/>
      <c r="K530" s="143"/>
      <c r="L530" s="143"/>
      <c r="M530" s="222"/>
      <c r="N530" s="222">
        <v>218943</v>
      </c>
      <c r="O530" s="145"/>
      <c r="P530" s="223">
        <f t="shared" si="359"/>
        <v>218943</v>
      </c>
      <c r="Q530" s="147">
        <f t="shared" si="360"/>
        <v>24083.73</v>
      </c>
      <c r="R530" s="147">
        <f t="shared" si="351"/>
        <v>65.982821917808224</v>
      </c>
      <c r="S530" s="148">
        <f t="shared" si="361"/>
        <v>14450.238000000001</v>
      </c>
      <c r="T530" s="199"/>
      <c r="U530" s="150"/>
      <c r="V530" s="151"/>
      <c r="W530" s="151"/>
      <c r="X530" s="152"/>
      <c r="Y530" s="153"/>
      <c r="Z530" s="153"/>
      <c r="AA530" s="154"/>
      <c r="AB530" s="155">
        <f>S530*$AB$3</f>
        <v>8381.1380399999998</v>
      </c>
      <c r="AC530" s="156">
        <f>S530*$AC$3</f>
        <v>1878.5309400000003</v>
      </c>
      <c r="AD530" s="156">
        <f>S530*$AD$3</f>
        <v>1268.0083844999999</v>
      </c>
      <c r="AE530" s="156">
        <f>S530*$AE$3</f>
        <v>578.00952000000007</v>
      </c>
      <c r="AF530" s="156">
        <f>S530*$AF$3</f>
        <v>289.00476000000003</v>
      </c>
      <c r="AG530" s="156">
        <f>S530*$AG$3</f>
        <v>289.00476000000003</v>
      </c>
      <c r="AH530" s="156">
        <f>S530*$AH$3</f>
        <v>144.50238000000002</v>
      </c>
      <c r="AI530" s="156">
        <f>S530*$AI$3</f>
        <v>289.00476000000003</v>
      </c>
      <c r="AJ530" s="156">
        <f>S530*$AJ$3</f>
        <v>289.00476000000003</v>
      </c>
      <c r="AK530" s="156">
        <f>S530*$AK$3</f>
        <v>1011.5166600000002</v>
      </c>
      <c r="AL530" s="157">
        <f t="shared" si="352"/>
        <v>4447.0607445000005</v>
      </c>
      <c r="AM530" s="158">
        <f t="shared" si="353"/>
        <v>2200</v>
      </c>
      <c r="AN530" s="159">
        <v>0.2</v>
      </c>
      <c r="AO530" s="160">
        <f t="shared" si="354"/>
        <v>118160025.87607811</v>
      </c>
      <c r="AP530" s="161">
        <f t="shared" si="355"/>
        <v>32822.232035800051</v>
      </c>
      <c r="AQ530" s="162">
        <f t="shared" si="356"/>
        <v>6564.4464071600105</v>
      </c>
      <c r="AR530" s="580">
        <f t="shared" si="357"/>
        <v>0.93670753526826633</v>
      </c>
      <c r="AS530" s="582">
        <f t="shared" si="358"/>
        <v>0.93670753526826633</v>
      </c>
      <c r="AT530" s="165"/>
      <c r="AU530" s="166"/>
      <c r="AV530" s="167"/>
      <c r="AW530" s="146"/>
      <c r="AX530" s="168"/>
    </row>
    <row r="531" spans="1:50" s="139" customFormat="1" ht="11.25" x14ac:dyDescent="0.25">
      <c r="A531" s="140">
        <v>22</v>
      </c>
      <c r="B531" s="361" t="s">
        <v>547</v>
      </c>
      <c r="C531" s="142"/>
      <c r="D531" s="143"/>
      <c r="E531" s="143"/>
      <c r="F531" s="143"/>
      <c r="G531" s="143"/>
      <c r="H531" s="143"/>
      <c r="I531" s="143"/>
      <c r="J531" s="143"/>
      <c r="K531" s="143"/>
      <c r="L531" s="143"/>
      <c r="M531" s="222"/>
      <c r="N531" s="222">
        <v>130563</v>
      </c>
      <c r="O531" s="145"/>
      <c r="P531" s="223">
        <f t="shared" si="359"/>
        <v>130563</v>
      </c>
      <c r="Q531" s="147">
        <f t="shared" si="360"/>
        <v>14361.93</v>
      </c>
      <c r="R531" s="147">
        <f t="shared" si="351"/>
        <v>39.347753424657533</v>
      </c>
      <c r="S531" s="148">
        <f t="shared" si="361"/>
        <v>8617.1579999999994</v>
      </c>
      <c r="T531" s="199"/>
      <c r="U531" s="150"/>
      <c r="V531" s="151"/>
      <c r="W531" s="151"/>
      <c r="X531" s="152"/>
      <c r="Y531" s="153"/>
      <c r="Z531" s="153"/>
      <c r="AA531" s="154"/>
      <c r="AB531" s="155">
        <f>S531*$AB$3</f>
        <v>4997.9516399999993</v>
      </c>
      <c r="AC531" s="156">
        <f>S531*$AC$3</f>
        <v>1120.23054</v>
      </c>
      <c r="AD531" s="156">
        <f>S531*$AD$3</f>
        <v>756.15561449999996</v>
      </c>
      <c r="AE531" s="156">
        <f>S531*$AE$3</f>
        <v>344.68631999999997</v>
      </c>
      <c r="AF531" s="156">
        <f>S531*$AF$3</f>
        <v>172.34315999999998</v>
      </c>
      <c r="AG531" s="156">
        <f>S531*$AG$3</f>
        <v>172.34315999999998</v>
      </c>
      <c r="AH531" s="156">
        <f>S531*$AH$3</f>
        <v>86.171579999999992</v>
      </c>
      <c r="AI531" s="156">
        <f>S531*$AI$3</f>
        <v>172.34315999999998</v>
      </c>
      <c r="AJ531" s="156">
        <f>S531*$AJ$3</f>
        <v>172.34315999999998</v>
      </c>
      <c r="AK531" s="156">
        <f>S531*$AK$3</f>
        <v>603.20105999999998</v>
      </c>
      <c r="AL531" s="157">
        <f t="shared" si="352"/>
        <v>2651.9303744999997</v>
      </c>
      <c r="AM531" s="158">
        <f t="shared" si="353"/>
        <v>2200</v>
      </c>
      <c r="AN531" s="159">
        <v>0.2</v>
      </c>
      <c r="AO531" s="160">
        <f t="shared" si="354"/>
        <v>70462757.240278915</v>
      </c>
      <c r="AP531" s="161">
        <f t="shared" si="355"/>
        <v>19572.989688138747</v>
      </c>
      <c r="AQ531" s="162">
        <f t="shared" si="356"/>
        <v>3914.5979376277496</v>
      </c>
      <c r="AR531" s="580">
        <f t="shared" si="357"/>
        <v>0.55858988836012413</v>
      </c>
      <c r="AS531" s="582">
        <f t="shared" si="358"/>
        <v>0.55858988836012413</v>
      </c>
      <c r="AT531" s="165"/>
      <c r="AU531" s="166"/>
      <c r="AV531" s="167"/>
      <c r="AW531" s="146"/>
      <c r="AX531" s="168"/>
    </row>
    <row r="532" spans="1:50" s="139" customFormat="1" ht="11.25" x14ac:dyDescent="0.25">
      <c r="A532" s="140">
        <v>23</v>
      </c>
      <c r="B532" s="361" t="s">
        <v>548</v>
      </c>
      <c r="C532" s="142"/>
      <c r="D532" s="143"/>
      <c r="E532" s="143"/>
      <c r="F532" s="143"/>
      <c r="G532" s="143"/>
      <c r="H532" s="143"/>
      <c r="I532" s="143"/>
      <c r="J532" s="143"/>
      <c r="K532" s="143"/>
      <c r="L532" s="143"/>
      <c r="M532" s="222"/>
      <c r="N532" s="222">
        <v>149421</v>
      </c>
      <c r="O532" s="145"/>
      <c r="P532" s="223">
        <f t="shared" si="359"/>
        <v>149421</v>
      </c>
      <c r="Q532" s="147">
        <f t="shared" si="360"/>
        <v>16436.310000000001</v>
      </c>
      <c r="R532" s="147">
        <f t="shared" si="351"/>
        <v>45.030986301369865</v>
      </c>
      <c r="S532" s="148">
        <f t="shared" si="361"/>
        <v>9861.7860000000001</v>
      </c>
      <c r="T532" s="199"/>
      <c r="U532" s="150"/>
      <c r="V532" s="151"/>
      <c r="W532" s="151"/>
      <c r="X532" s="152"/>
      <c r="Y532" s="153"/>
      <c r="Z532" s="153"/>
      <c r="AA532" s="154"/>
      <c r="AB532" s="155">
        <f>S532*$AB$3</f>
        <v>5719.8358799999996</v>
      </c>
      <c r="AC532" s="156">
        <f>S532*$AC$3</f>
        <v>1282.0321800000002</v>
      </c>
      <c r="AD532" s="156">
        <f>S532*$AD$3</f>
        <v>865.37172149999992</v>
      </c>
      <c r="AE532" s="156">
        <f>S532*$AE$3</f>
        <v>394.47144000000003</v>
      </c>
      <c r="AF532" s="156">
        <f>S532*$AF$3</f>
        <v>197.23572000000001</v>
      </c>
      <c r="AG532" s="156">
        <f>S532*$AG$3</f>
        <v>197.23572000000001</v>
      </c>
      <c r="AH532" s="156">
        <f>S532*$AH$3</f>
        <v>98.617860000000007</v>
      </c>
      <c r="AI532" s="156">
        <f>S532*$AI$3</f>
        <v>197.23572000000001</v>
      </c>
      <c r="AJ532" s="156">
        <f>S532*$AJ$3</f>
        <v>197.23572000000001</v>
      </c>
      <c r="AK532" s="156">
        <f>S532*$AK$3</f>
        <v>690.32502000000011</v>
      </c>
      <c r="AL532" s="157">
        <f t="shared" si="352"/>
        <v>3034.9646415000002</v>
      </c>
      <c r="AM532" s="158">
        <f t="shared" si="353"/>
        <v>2200</v>
      </c>
      <c r="AN532" s="159">
        <v>0.2</v>
      </c>
      <c r="AO532" s="160">
        <f t="shared" si="354"/>
        <v>80640117.411515623</v>
      </c>
      <c r="AP532" s="161">
        <f t="shared" si="355"/>
        <v>22400.034406312505</v>
      </c>
      <c r="AQ532" s="162">
        <f t="shared" si="356"/>
        <v>4480.0068812625013</v>
      </c>
      <c r="AR532" s="580">
        <f t="shared" si="357"/>
        <v>0.63927038830800531</v>
      </c>
      <c r="AS532" s="582">
        <f t="shared" si="358"/>
        <v>0.63927038830800531</v>
      </c>
      <c r="AT532" s="165"/>
      <c r="AU532" s="166"/>
      <c r="AV532" s="167"/>
      <c r="AW532" s="146"/>
      <c r="AX532" s="168"/>
    </row>
    <row r="533" spans="1:50" s="139" customFormat="1" ht="11.25" x14ac:dyDescent="0.25">
      <c r="A533" s="140">
        <v>24</v>
      </c>
      <c r="B533" s="342" t="s">
        <v>549</v>
      </c>
      <c r="C533" s="142"/>
      <c r="D533" s="143"/>
      <c r="E533" s="143"/>
      <c r="F533" s="143"/>
      <c r="G533" s="143"/>
      <c r="H533" s="143"/>
      <c r="I533" s="143"/>
      <c r="J533" s="143"/>
      <c r="K533" s="143"/>
      <c r="L533" s="143"/>
      <c r="M533" s="222"/>
      <c r="N533" s="222">
        <v>218943</v>
      </c>
      <c r="O533" s="145"/>
      <c r="P533" s="223">
        <f t="shared" si="359"/>
        <v>218943</v>
      </c>
      <c r="Q533" s="147">
        <f t="shared" si="360"/>
        <v>24083.73</v>
      </c>
      <c r="R533" s="147">
        <f t="shared" si="351"/>
        <v>65.982821917808224</v>
      </c>
      <c r="S533" s="148">
        <f t="shared" si="361"/>
        <v>14450.238000000001</v>
      </c>
      <c r="T533" s="199"/>
      <c r="U533" s="150"/>
      <c r="V533" s="151"/>
      <c r="W533" s="151"/>
      <c r="X533" s="152"/>
      <c r="Y533" s="153"/>
      <c r="Z533" s="153"/>
      <c r="AA533" s="154"/>
      <c r="AB533" s="155">
        <f>S533*$AB$3</f>
        <v>8381.1380399999998</v>
      </c>
      <c r="AC533" s="156">
        <f>S533*$AC$3</f>
        <v>1878.5309400000003</v>
      </c>
      <c r="AD533" s="156">
        <f>S533*$AD$3</f>
        <v>1268.0083844999999</v>
      </c>
      <c r="AE533" s="156">
        <f>S533*$AE$3</f>
        <v>578.00952000000007</v>
      </c>
      <c r="AF533" s="156">
        <f>S533*$AF$3</f>
        <v>289.00476000000003</v>
      </c>
      <c r="AG533" s="156">
        <f>S533*$AG$3</f>
        <v>289.00476000000003</v>
      </c>
      <c r="AH533" s="156">
        <f>S533*$AH$3</f>
        <v>144.50238000000002</v>
      </c>
      <c r="AI533" s="156">
        <f>S533*$AI$3</f>
        <v>289.00476000000003</v>
      </c>
      <c r="AJ533" s="156">
        <f>S533*$AJ$3</f>
        <v>289.00476000000003</v>
      </c>
      <c r="AK533" s="156">
        <f>S533*$AK$3</f>
        <v>1011.5166600000002</v>
      </c>
      <c r="AL533" s="157">
        <f t="shared" si="352"/>
        <v>4447.0607445000005</v>
      </c>
      <c r="AM533" s="158">
        <f t="shared" si="353"/>
        <v>2200</v>
      </c>
      <c r="AN533" s="159">
        <v>0.2</v>
      </c>
      <c r="AO533" s="160">
        <f t="shared" si="354"/>
        <v>118160025.87607811</v>
      </c>
      <c r="AP533" s="161">
        <f t="shared" si="355"/>
        <v>32822.232035800051</v>
      </c>
      <c r="AQ533" s="162">
        <f t="shared" si="356"/>
        <v>6564.4464071600105</v>
      </c>
      <c r="AR533" s="580">
        <f t="shared" si="357"/>
        <v>0.93670753526826633</v>
      </c>
      <c r="AS533" s="582">
        <f t="shared" si="358"/>
        <v>0.93670753526826633</v>
      </c>
      <c r="AT533" s="165"/>
      <c r="AU533" s="166"/>
      <c r="AV533" s="167"/>
      <c r="AW533" s="146"/>
      <c r="AX533" s="168"/>
    </row>
    <row r="534" spans="1:50" s="190" customFormat="1" ht="11.25" x14ac:dyDescent="0.25">
      <c r="A534" s="120"/>
      <c r="B534" s="352" t="s">
        <v>550</v>
      </c>
      <c r="C534" s="240">
        <f t="shared" ref="C534:T534" si="362">SUM(C510:C533)</f>
        <v>0</v>
      </c>
      <c r="D534" s="240">
        <f t="shared" si="362"/>
        <v>0</v>
      </c>
      <c r="E534" s="240">
        <f t="shared" si="362"/>
        <v>0</v>
      </c>
      <c r="F534" s="240">
        <f t="shared" si="362"/>
        <v>0</v>
      </c>
      <c r="G534" s="240">
        <f t="shared" si="362"/>
        <v>0</v>
      </c>
      <c r="H534" s="240">
        <f t="shared" si="362"/>
        <v>0</v>
      </c>
      <c r="I534" s="240">
        <f t="shared" si="362"/>
        <v>0</v>
      </c>
      <c r="J534" s="240">
        <f t="shared" si="362"/>
        <v>0</v>
      </c>
      <c r="K534" s="240">
        <f t="shared" si="362"/>
        <v>0</v>
      </c>
      <c r="L534" s="240">
        <f t="shared" si="362"/>
        <v>0</v>
      </c>
      <c r="M534" s="240">
        <f t="shared" si="362"/>
        <v>0</v>
      </c>
      <c r="N534" s="240">
        <f t="shared" si="362"/>
        <v>6982445</v>
      </c>
      <c r="O534" s="240">
        <f t="shared" si="362"/>
        <v>0</v>
      </c>
      <c r="P534" s="240">
        <f t="shared" si="362"/>
        <v>6982445</v>
      </c>
      <c r="Q534" s="240">
        <f t="shared" si="362"/>
        <v>817907.96200000017</v>
      </c>
      <c r="R534" s="240">
        <f t="shared" si="362"/>
        <v>2240.8437315068495</v>
      </c>
      <c r="S534" s="240">
        <f t="shared" si="362"/>
        <v>510957.26539999997</v>
      </c>
      <c r="T534" s="199">
        <f t="shared" si="362"/>
        <v>0</v>
      </c>
      <c r="U534" s="241"/>
      <c r="V534" s="242">
        <f>SUM(V510:V533)</f>
        <v>0</v>
      </c>
      <c r="W534" s="242">
        <f>SUM(W510:W533)</f>
        <v>0</v>
      </c>
      <c r="X534" s="242">
        <f>SUM(X510:X533)</f>
        <v>0</v>
      </c>
      <c r="Y534" s="199"/>
      <c r="Z534" s="199"/>
      <c r="AA534" s="243"/>
      <c r="AB534" s="240">
        <f t="shared" ref="AB534:AL534" si="363">SUM(AB510:AB533)</f>
        <v>296355.21393199993</v>
      </c>
      <c r="AC534" s="244">
        <f t="shared" si="363"/>
        <v>66424.444501999998</v>
      </c>
      <c r="AD534" s="244">
        <f t="shared" si="363"/>
        <v>44836.500038849998</v>
      </c>
      <c r="AE534" s="244">
        <f t="shared" si="363"/>
        <v>20438.290616000002</v>
      </c>
      <c r="AF534" s="244">
        <f t="shared" si="363"/>
        <v>10219.145308000001</v>
      </c>
      <c r="AG534" s="244">
        <f t="shared" si="363"/>
        <v>10219.145308000001</v>
      </c>
      <c r="AH534" s="244">
        <f t="shared" si="363"/>
        <v>5109.5726540000005</v>
      </c>
      <c r="AI534" s="244">
        <f t="shared" si="363"/>
        <v>10219.145308000001</v>
      </c>
      <c r="AJ534" s="244">
        <f t="shared" si="363"/>
        <v>10219.145308000001</v>
      </c>
      <c r="AK534" s="244">
        <f t="shared" si="363"/>
        <v>35767.008578000001</v>
      </c>
      <c r="AL534" s="245">
        <f t="shared" si="363"/>
        <v>157247.09842684999</v>
      </c>
      <c r="AM534" s="158"/>
      <c r="AN534" s="183"/>
      <c r="AO534" s="184">
        <f>SUM(AO510:AO533)</f>
        <v>4178112755.0448723</v>
      </c>
      <c r="AP534" s="184">
        <f>SUM(AP510:AP533)</f>
        <v>1160586.9692483037</v>
      </c>
      <c r="AQ534" s="184">
        <f>SUM(AQ510:AQ533)</f>
        <v>232117.39384966076</v>
      </c>
      <c r="AR534" s="186">
        <f>SUM(AR510:AR533)</f>
        <v>33.12177423653835</v>
      </c>
      <c r="AS534" s="435">
        <f>SUM(AS510:AS533)</f>
        <v>33.12177423653835</v>
      </c>
      <c r="AT534" s="187"/>
      <c r="AU534" s="246">
        <f>SUM(AU514:AU533)</f>
        <v>0</v>
      </c>
      <c r="AV534" s="246"/>
      <c r="AW534" s="185">
        <f>SUM(AW514:AW533)</f>
        <v>0</v>
      </c>
      <c r="AX534" s="189"/>
    </row>
    <row r="536" spans="1:50" s="139" customFormat="1" ht="11.25" x14ac:dyDescent="0.25">
      <c r="A536" s="126"/>
      <c r="B536" s="352" t="s">
        <v>551</v>
      </c>
      <c r="C536" s="122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213"/>
      <c r="P536" s="76"/>
      <c r="Q536" s="108"/>
      <c r="R536" s="108"/>
      <c r="S536" s="94"/>
      <c r="T536" s="199"/>
      <c r="U536" s="179"/>
      <c r="V536" s="180"/>
      <c r="W536" s="180"/>
      <c r="X536" s="214"/>
      <c r="Y536" s="181"/>
      <c r="Z536" s="181"/>
      <c r="AA536" s="182"/>
      <c r="AB536" s="62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125"/>
      <c r="AM536" s="75"/>
      <c r="AN536" s="216"/>
      <c r="AO536" s="75"/>
      <c r="AP536" s="51"/>
      <c r="AQ536" s="217"/>
      <c r="AR536" s="583"/>
      <c r="AS536" s="584"/>
      <c r="AT536" s="220"/>
      <c r="AU536" s="135"/>
      <c r="AV536" s="136"/>
      <c r="AW536" s="137"/>
      <c r="AX536" s="138"/>
    </row>
    <row r="537" spans="1:50" s="139" customFormat="1" ht="11.25" x14ac:dyDescent="0.25">
      <c r="A537" s="140">
        <v>1</v>
      </c>
      <c r="B537" s="63" t="s">
        <v>552</v>
      </c>
      <c r="C537" s="142"/>
      <c r="D537" s="143"/>
      <c r="E537" s="143"/>
      <c r="F537" s="143"/>
      <c r="G537" s="143"/>
      <c r="H537" s="222"/>
      <c r="I537" s="222"/>
      <c r="J537" s="222"/>
      <c r="K537" s="222"/>
      <c r="L537" s="222"/>
      <c r="M537" s="222"/>
      <c r="N537" s="222">
        <v>142006</v>
      </c>
      <c r="O537" s="145"/>
      <c r="P537" s="223">
        <f>N537</f>
        <v>142006</v>
      </c>
      <c r="Q537" s="147">
        <f t="shared" ref="Q537:Q548" si="364">P537*$Q$8</f>
        <v>15620.66</v>
      </c>
      <c r="R537" s="147">
        <f t="shared" ref="R537:R548" si="365">Q537/$R$3</f>
        <v>42.796328767123285</v>
      </c>
      <c r="S537" s="148">
        <f t="shared" ref="S537:S548" si="366">R537*$S$3*$S$8</f>
        <v>9372.3959999999988</v>
      </c>
      <c r="T537" s="199"/>
      <c r="U537" s="150"/>
      <c r="V537" s="151"/>
      <c r="W537" s="151"/>
      <c r="X537" s="152"/>
      <c r="Y537" s="153"/>
      <c r="Z537" s="153"/>
      <c r="AA537" s="154"/>
      <c r="AB537" s="155">
        <f>S537*$AB$3</f>
        <v>5435.9896799999988</v>
      </c>
      <c r="AC537" s="156">
        <f>S537*$AC$3</f>
        <v>1218.41148</v>
      </c>
      <c r="AD537" s="156">
        <f>S537*$AD$3</f>
        <v>822.42774899999984</v>
      </c>
      <c r="AE537" s="156">
        <f>S537*$AE$3</f>
        <v>374.89583999999996</v>
      </c>
      <c r="AF537" s="156">
        <f>S537*$AF$3</f>
        <v>187.44791999999998</v>
      </c>
      <c r="AG537" s="156">
        <f>S537*$AG$3</f>
        <v>187.44791999999998</v>
      </c>
      <c r="AH537" s="156">
        <f>S537*$AH$3</f>
        <v>93.723959999999991</v>
      </c>
      <c r="AI537" s="156">
        <f>S537*$AI$3</f>
        <v>187.44791999999998</v>
      </c>
      <c r="AJ537" s="156">
        <f>S537*$AJ$3</f>
        <v>187.44791999999998</v>
      </c>
      <c r="AK537" s="156">
        <f>S537*$AK$3</f>
        <v>656.06772000000001</v>
      </c>
      <c r="AL537" s="157">
        <f t="shared" ref="AL537:AL548" si="367">SUM(AC537:AH537)</f>
        <v>2884.3548689999998</v>
      </c>
      <c r="AM537" s="158">
        <f t="shared" ref="AM537:AM548" si="368">$AM$3</f>
        <v>2200</v>
      </c>
      <c r="AN537" s="159">
        <v>0.2</v>
      </c>
      <c r="AO537" s="160">
        <f t="shared" ref="AO537:AO548" si="369">(AB537+AL537)*AM537*$AO$3</f>
        <v>76638360.827057019</v>
      </c>
      <c r="AP537" s="161">
        <f t="shared" ref="AP537:AP548" si="370">AO537*$AP$3</f>
        <v>21288.43526614608</v>
      </c>
      <c r="AQ537" s="162">
        <f t="shared" ref="AQ537:AQ548" si="371">AP537*$AQ$3</f>
        <v>4257.687053229216</v>
      </c>
      <c r="AR537" s="580">
        <f t="shared" ref="AR537:AR548" si="372">AQ537/$AR$3</f>
        <v>0.60754666855439721</v>
      </c>
      <c r="AS537" s="582">
        <f t="shared" ref="AS537:AS548" si="373">AR537</f>
        <v>0.60754666855439721</v>
      </c>
      <c r="AT537" s="165"/>
      <c r="AU537" s="166"/>
      <c r="AV537" s="167"/>
      <c r="AW537" s="146"/>
      <c r="AX537" s="168"/>
    </row>
    <row r="538" spans="1:50" s="139" customFormat="1" ht="11.25" x14ac:dyDescent="0.25">
      <c r="A538" s="140">
        <v>2</v>
      </c>
      <c r="B538" s="63" t="s">
        <v>553</v>
      </c>
      <c r="C538" s="142"/>
      <c r="D538" s="143"/>
      <c r="E538" s="143"/>
      <c r="F538" s="143"/>
      <c r="G538" s="143"/>
      <c r="H538" s="222"/>
      <c r="I538" s="222"/>
      <c r="J538" s="222"/>
      <c r="K538" s="222"/>
      <c r="L538" s="222"/>
      <c r="M538" s="222"/>
      <c r="N538" s="222">
        <v>260801</v>
      </c>
      <c r="O538" s="145"/>
      <c r="P538" s="223">
        <f t="shared" ref="P538:P548" si="374">N538</f>
        <v>260801</v>
      </c>
      <c r="Q538" s="147">
        <f t="shared" si="364"/>
        <v>28688.11</v>
      </c>
      <c r="R538" s="147">
        <f t="shared" si="365"/>
        <v>78.597561643835618</v>
      </c>
      <c r="S538" s="148">
        <f t="shared" si="366"/>
        <v>17212.865999999998</v>
      </c>
      <c r="T538" s="199"/>
      <c r="U538" s="150"/>
      <c r="V538" s="151"/>
      <c r="W538" s="151"/>
      <c r="X538" s="152"/>
      <c r="Y538" s="153"/>
      <c r="Z538" s="153"/>
      <c r="AA538" s="154"/>
      <c r="AB538" s="155">
        <f>S538*$AB$3</f>
        <v>9983.4622799999979</v>
      </c>
      <c r="AC538" s="156">
        <f>S538*$AC$3</f>
        <v>2237.6725799999999</v>
      </c>
      <c r="AD538" s="156">
        <f>S538*$AD$3</f>
        <v>1510.4289914999997</v>
      </c>
      <c r="AE538" s="156">
        <f>S538*$AE$3</f>
        <v>688.51463999999999</v>
      </c>
      <c r="AF538" s="156">
        <f>S538*$AF$3</f>
        <v>344.25731999999999</v>
      </c>
      <c r="AG538" s="156">
        <f>S538*$AG$3</f>
        <v>344.25731999999999</v>
      </c>
      <c r="AH538" s="156">
        <f>S538*$AH$3</f>
        <v>172.12866</v>
      </c>
      <c r="AI538" s="156">
        <f>S538*$AI$3</f>
        <v>344.25731999999999</v>
      </c>
      <c r="AJ538" s="156">
        <f>S538*$AJ$3</f>
        <v>344.25731999999999</v>
      </c>
      <c r="AK538" s="156">
        <f>S538*$AK$3</f>
        <v>1204.9006199999999</v>
      </c>
      <c r="AL538" s="157">
        <f t="shared" si="367"/>
        <v>5297.2595114999995</v>
      </c>
      <c r="AM538" s="158">
        <f t="shared" si="368"/>
        <v>2200</v>
      </c>
      <c r="AN538" s="159">
        <v>0.2</v>
      </c>
      <c r="AO538" s="160">
        <f t="shared" si="369"/>
        <v>140750117.19263479</v>
      </c>
      <c r="AP538" s="161">
        <f t="shared" si="370"/>
        <v>39097.257903512269</v>
      </c>
      <c r="AQ538" s="162">
        <f t="shared" si="371"/>
        <v>7819.4515807024545</v>
      </c>
      <c r="AR538" s="580">
        <f t="shared" si="372"/>
        <v>1.1157893237303731</v>
      </c>
      <c r="AS538" s="582">
        <f t="shared" si="373"/>
        <v>1.1157893237303731</v>
      </c>
      <c r="AT538" s="165"/>
      <c r="AU538" s="166"/>
      <c r="AV538" s="167"/>
      <c r="AW538" s="146"/>
      <c r="AX538" s="168"/>
    </row>
    <row r="539" spans="1:50" s="139" customFormat="1" ht="11.25" x14ac:dyDescent="0.25">
      <c r="A539" s="140">
        <v>3</v>
      </c>
      <c r="B539" s="63" t="s">
        <v>554</v>
      </c>
      <c r="C539" s="142"/>
      <c r="D539" s="143"/>
      <c r="E539" s="143"/>
      <c r="F539" s="143"/>
      <c r="G539" s="143"/>
      <c r="H539" s="222"/>
      <c r="I539" s="222"/>
      <c r="J539" s="222"/>
      <c r="K539" s="222"/>
      <c r="L539" s="222"/>
      <c r="M539" s="222"/>
      <c r="N539" s="222">
        <v>55825</v>
      </c>
      <c r="O539" s="145"/>
      <c r="P539" s="223">
        <f t="shared" si="374"/>
        <v>55825</v>
      </c>
      <c r="Q539" s="147">
        <f t="shared" si="364"/>
        <v>6140.75</v>
      </c>
      <c r="R539" s="147">
        <f t="shared" si="365"/>
        <v>16.823972602739726</v>
      </c>
      <c r="S539" s="148">
        <f t="shared" si="366"/>
        <v>3684.45</v>
      </c>
      <c r="T539" s="199"/>
      <c r="U539" s="150"/>
      <c r="V539" s="151"/>
      <c r="W539" s="151"/>
      <c r="X539" s="152"/>
      <c r="Y539" s="153"/>
      <c r="Z539" s="153"/>
      <c r="AA539" s="154"/>
      <c r="AB539" s="155">
        <f>S539*$AB$3</f>
        <v>2136.9809999999998</v>
      </c>
      <c r="AC539" s="156">
        <f>S539*$AC$3</f>
        <v>478.9785</v>
      </c>
      <c r="AD539" s="156">
        <f>S539*$AD$3</f>
        <v>323.31048749999997</v>
      </c>
      <c r="AE539" s="156">
        <f>S539*$AE$3</f>
        <v>147.37799999999999</v>
      </c>
      <c r="AF539" s="156">
        <f>S539*$AF$3</f>
        <v>73.688999999999993</v>
      </c>
      <c r="AG539" s="156">
        <f>S539*$AG$3</f>
        <v>73.688999999999993</v>
      </c>
      <c r="AH539" s="156">
        <f>S539*$AH$3</f>
        <v>36.844499999999996</v>
      </c>
      <c r="AI539" s="156">
        <f>S539*$AI$3</f>
        <v>73.688999999999993</v>
      </c>
      <c r="AJ539" s="156">
        <f>S539*$AJ$3</f>
        <v>73.688999999999993</v>
      </c>
      <c r="AK539" s="156">
        <f>S539*$AK$3</f>
        <v>257.91149999999999</v>
      </c>
      <c r="AL539" s="157">
        <f t="shared" si="367"/>
        <v>1133.8894874999999</v>
      </c>
      <c r="AM539" s="158">
        <f t="shared" si="368"/>
        <v>2200</v>
      </c>
      <c r="AN539" s="159">
        <v>0.2</v>
      </c>
      <c r="AO539" s="160">
        <f t="shared" si="369"/>
        <v>30127857.225542992</v>
      </c>
      <c r="AP539" s="161">
        <f t="shared" si="370"/>
        <v>8368.849898825436</v>
      </c>
      <c r="AQ539" s="162">
        <f t="shared" si="371"/>
        <v>1673.7699797650873</v>
      </c>
      <c r="AR539" s="580">
        <f t="shared" si="372"/>
        <v>0.23883704049159352</v>
      </c>
      <c r="AS539" s="582">
        <f t="shared" si="373"/>
        <v>0.23883704049159352</v>
      </c>
      <c r="AT539" s="165"/>
      <c r="AU539" s="166"/>
      <c r="AV539" s="167"/>
      <c r="AW539" s="146"/>
      <c r="AX539" s="168"/>
    </row>
    <row r="540" spans="1:50" s="139" customFormat="1" ht="11.25" x14ac:dyDescent="0.25">
      <c r="A540" s="140">
        <v>4</v>
      </c>
      <c r="B540" s="63" t="s">
        <v>555</v>
      </c>
      <c r="C540" s="142"/>
      <c r="D540" s="143"/>
      <c r="E540" s="143"/>
      <c r="F540" s="143"/>
      <c r="G540" s="143"/>
      <c r="H540" s="222"/>
      <c r="I540" s="222"/>
      <c r="J540" s="222"/>
      <c r="K540" s="222"/>
      <c r="L540" s="222"/>
      <c r="M540" s="222"/>
      <c r="N540" s="222">
        <v>321506</v>
      </c>
      <c r="O540" s="145"/>
      <c r="P540" s="223">
        <f t="shared" si="374"/>
        <v>321506</v>
      </c>
      <c r="Q540" s="147">
        <f t="shared" si="364"/>
        <v>35365.660000000003</v>
      </c>
      <c r="R540" s="147">
        <f t="shared" si="365"/>
        <v>96.8922191780822</v>
      </c>
      <c r="S540" s="148">
        <f t="shared" si="366"/>
        <v>21219.396000000001</v>
      </c>
      <c r="T540" s="199"/>
      <c r="U540" s="150"/>
      <c r="V540" s="151"/>
      <c r="W540" s="151"/>
      <c r="X540" s="152"/>
      <c r="Y540" s="153"/>
      <c r="Z540" s="153"/>
      <c r="AA540" s="154"/>
      <c r="AB540" s="155">
        <f>S540*$AB$3</f>
        <v>12307.249679999999</v>
      </c>
      <c r="AC540" s="156">
        <f>S540*$AC$3</f>
        <v>2758.5214800000003</v>
      </c>
      <c r="AD540" s="156">
        <f>S540*$AD$3</f>
        <v>1862.0019989999998</v>
      </c>
      <c r="AE540" s="156">
        <f>S540*$AE$3</f>
        <v>848.77584000000002</v>
      </c>
      <c r="AF540" s="156">
        <f>S540*$AF$3</f>
        <v>424.38792000000001</v>
      </c>
      <c r="AG540" s="156">
        <f>S540*$AG$3</f>
        <v>424.38792000000001</v>
      </c>
      <c r="AH540" s="156">
        <f>S540*$AH$3</f>
        <v>212.19396</v>
      </c>
      <c r="AI540" s="156">
        <f>S540*$AI$3</f>
        <v>424.38792000000001</v>
      </c>
      <c r="AJ540" s="156">
        <f>S540*$AJ$3</f>
        <v>424.38792000000001</v>
      </c>
      <c r="AK540" s="156">
        <f>S540*$AK$3</f>
        <v>1485.3577200000002</v>
      </c>
      <c r="AL540" s="157">
        <f t="shared" si="367"/>
        <v>6530.2691190000005</v>
      </c>
      <c r="AM540" s="158">
        <f t="shared" si="368"/>
        <v>2200</v>
      </c>
      <c r="AN540" s="159">
        <v>0.2</v>
      </c>
      <c r="AO540" s="160">
        <f t="shared" si="369"/>
        <v>173511632.15683699</v>
      </c>
      <c r="AP540" s="161">
        <f t="shared" si="370"/>
        <v>48197.679454935431</v>
      </c>
      <c r="AQ540" s="162">
        <f t="shared" si="371"/>
        <v>9639.5358909870865</v>
      </c>
      <c r="AR540" s="580">
        <f t="shared" si="372"/>
        <v>1.37550455065455</v>
      </c>
      <c r="AS540" s="582">
        <f t="shared" si="373"/>
        <v>1.37550455065455</v>
      </c>
      <c r="AT540" s="165"/>
      <c r="AU540" s="166"/>
      <c r="AV540" s="167"/>
      <c r="AW540" s="146"/>
      <c r="AX540" s="168"/>
    </row>
    <row r="541" spans="1:50" s="139" customFormat="1" ht="11.25" x14ac:dyDescent="0.25">
      <c r="A541" s="140">
        <v>5</v>
      </c>
      <c r="B541" s="63" t="s">
        <v>556</v>
      </c>
      <c r="C541" s="142"/>
      <c r="D541" s="143"/>
      <c r="E541" s="143"/>
      <c r="F541" s="143"/>
      <c r="G541" s="143"/>
      <c r="H541" s="222"/>
      <c r="I541" s="222"/>
      <c r="J541" s="222"/>
      <c r="K541" s="222"/>
      <c r="L541" s="222"/>
      <c r="M541" s="222"/>
      <c r="N541" s="222">
        <v>123755</v>
      </c>
      <c r="O541" s="145"/>
      <c r="P541" s="223">
        <f t="shared" si="374"/>
        <v>123755</v>
      </c>
      <c r="Q541" s="147">
        <f t="shared" si="364"/>
        <v>13613.05</v>
      </c>
      <c r="R541" s="147">
        <f t="shared" si="365"/>
        <v>37.296027397260275</v>
      </c>
      <c r="S541" s="148">
        <f t="shared" si="366"/>
        <v>8167.83</v>
      </c>
      <c r="T541" s="199"/>
      <c r="U541" s="150"/>
      <c r="V541" s="151"/>
      <c r="W541" s="151"/>
      <c r="X541" s="152"/>
      <c r="Y541" s="153"/>
      <c r="Z541" s="153"/>
      <c r="AA541" s="154"/>
      <c r="AB541" s="155">
        <f>S541*$AB$3</f>
        <v>4737.3413999999993</v>
      </c>
      <c r="AC541" s="156">
        <f>S541*$AC$3</f>
        <v>1061.8179</v>
      </c>
      <c r="AD541" s="156">
        <f>S541*$AD$3</f>
        <v>716.72708249999994</v>
      </c>
      <c r="AE541" s="156">
        <f>S541*$AE$3</f>
        <v>326.71320000000003</v>
      </c>
      <c r="AF541" s="156">
        <f>S541*$AF$3</f>
        <v>163.35660000000001</v>
      </c>
      <c r="AG541" s="156">
        <f>S541*$AG$3</f>
        <v>163.35660000000001</v>
      </c>
      <c r="AH541" s="156">
        <f>S541*$AH$3</f>
        <v>81.678300000000007</v>
      </c>
      <c r="AI541" s="156">
        <f>S541*$AI$3</f>
        <v>163.35660000000001</v>
      </c>
      <c r="AJ541" s="156">
        <f>S541*$AJ$3</f>
        <v>163.35660000000001</v>
      </c>
      <c r="AK541" s="156">
        <f>S541*$AK$3</f>
        <v>571.74810000000002</v>
      </c>
      <c r="AL541" s="157">
        <f t="shared" si="367"/>
        <v>2513.6496825000004</v>
      </c>
      <c r="AM541" s="158">
        <f t="shared" si="368"/>
        <v>2200</v>
      </c>
      <c r="AN541" s="159">
        <v>0.2</v>
      </c>
      <c r="AO541" s="160">
        <f t="shared" si="369"/>
        <v>66788588.8212642</v>
      </c>
      <c r="AP541" s="161">
        <f t="shared" si="370"/>
        <v>18552.387267875361</v>
      </c>
      <c r="AQ541" s="162">
        <f t="shared" si="371"/>
        <v>3710.4774535750726</v>
      </c>
      <c r="AR541" s="580">
        <f t="shared" si="372"/>
        <v>0.52946310695991328</v>
      </c>
      <c r="AS541" s="582">
        <f t="shared" si="373"/>
        <v>0.52946310695991328</v>
      </c>
      <c r="AT541" s="165"/>
      <c r="AU541" s="166"/>
      <c r="AV541" s="167"/>
      <c r="AW541" s="146"/>
      <c r="AX541" s="168"/>
    </row>
    <row r="542" spans="1:50" s="139" customFormat="1" ht="11.25" x14ac:dyDescent="0.25">
      <c r="A542" s="140">
        <v>6</v>
      </c>
      <c r="B542" s="63" t="s">
        <v>557</v>
      </c>
      <c r="C542" s="142"/>
      <c r="D542" s="143"/>
      <c r="E542" s="143"/>
      <c r="F542" s="143"/>
      <c r="G542" s="143"/>
      <c r="H542" s="222"/>
      <c r="I542" s="222"/>
      <c r="J542" s="222"/>
      <c r="K542" s="222"/>
      <c r="L542" s="222"/>
      <c r="M542" s="222"/>
      <c r="N542" s="222">
        <v>246798</v>
      </c>
      <c r="O542" s="145"/>
      <c r="P542" s="223">
        <f t="shared" si="374"/>
        <v>246798</v>
      </c>
      <c r="Q542" s="147">
        <f t="shared" si="364"/>
        <v>27147.78</v>
      </c>
      <c r="R542" s="147">
        <f t="shared" si="365"/>
        <v>74.377479452054786</v>
      </c>
      <c r="S542" s="148">
        <f t="shared" si="366"/>
        <v>16288.667999999996</v>
      </c>
      <c r="T542" s="199"/>
      <c r="U542" s="150"/>
      <c r="V542" s="151"/>
      <c r="W542" s="151"/>
      <c r="X542" s="152"/>
      <c r="Y542" s="153"/>
      <c r="Z542" s="153"/>
      <c r="AA542" s="154"/>
      <c r="AB542" s="155">
        <f>S542*$AB$3</f>
        <v>9447.4274399999977</v>
      </c>
      <c r="AC542" s="156">
        <f>S542*$AC$3</f>
        <v>2117.5268399999995</v>
      </c>
      <c r="AD542" s="156">
        <f>S542*$AD$3</f>
        <v>1429.3306169999996</v>
      </c>
      <c r="AE542" s="156">
        <f>S542*$AE$3</f>
        <v>651.54671999999982</v>
      </c>
      <c r="AF542" s="156">
        <f>S542*$AF$3</f>
        <v>325.77335999999991</v>
      </c>
      <c r="AG542" s="156">
        <f>S542*$AG$3</f>
        <v>325.77335999999991</v>
      </c>
      <c r="AH542" s="156">
        <f>S542*$AH$3</f>
        <v>162.88667999999996</v>
      </c>
      <c r="AI542" s="156">
        <f>S542*$AI$3</f>
        <v>325.77335999999991</v>
      </c>
      <c r="AJ542" s="156">
        <f>S542*$AJ$3</f>
        <v>325.77335999999991</v>
      </c>
      <c r="AK542" s="156">
        <f>S542*$AK$3</f>
        <v>1140.2067599999998</v>
      </c>
      <c r="AL542" s="157">
        <f t="shared" si="367"/>
        <v>5012.8375769999984</v>
      </c>
      <c r="AM542" s="158">
        <f t="shared" si="368"/>
        <v>2200</v>
      </c>
      <c r="AN542" s="159">
        <v>0.2</v>
      </c>
      <c r="AO542" s="160">
        <f t="shared" si="369"/>
        <v>133192922.66098629</v>
      </c>
      <c r="AP542" s="161">
        <f t="shared" si="370"/>
        <v>36998.037032338914</v>
      </c>
      <c r="AQ542" s="162">
        <f t="shared" si="371"/>
        <v>7399.6074064677832</v>
      </c>
      <c r="AR542" s="580">
        <f t="shared" si="372"/>
        <v>1.0558800522927774</v>
      </c>
      <c r="AS542" s="582">
        <f t="shared" si="373"/>
        <v>1.0558800522927774</v>
      </c>
      <c r="AT542" s="165"/>
      <c r="AU542" s="166"/>
      <c r="AV542" s="167"/>
      <c r="AW542" s="146"/>
      <c r="AX542" s="168"/>
    </row>
    <row r="543" spans="1:50" s="139" customFormat="1" ht="11.25" x14ac:dyDescent="0.25">
      <c r="A543" s="140">
        <v>7</v>
      </c>
      <c r="B543" s="63" t="s">
        <v>558</v>
      </c>
      <c r="C543" s="142"/>
      <c r="D543" s="143"/>
      <c r="E543" s="143"/>
      <c r="F543" s="143"/>
      <c r="G543" s="143"/>
      <c r="H543" s="222"/>
      <c r="I543" s="222"/>
      <c r="J543" s="222"/>
      <c r="K543" s="222"/>
      <c r="L543" s="222"/>
      <c r="M543" s="222"/>
      <c r="N543" s="222">
        <v>269853</v>
      </c>
      <c r="O543" s="145"/>
      <c r="P543" s="223">
        <f t="shared" si="374"/>
        <v>269853</v>
      </c>
      <c r="Q543" s="147">
        <f t="shared" si="364"/>
        <v>29683.83</v>
      </c>
      <c r="R543" s="147">
        <f t="shared" si="365"/>
        <v>81.325561643835627</v>
      </c>
      <c r="S543" s="148">
        <f t="shared" si="366"/>
        <v>17810.298000000003</v>
      </c>
      <c r="T543" s="199"/>
      <c r="U543" s="150"/>
      <c r="V543" s="151"/>
      <c r="W543" s="151"/>
      <c r="X543" s="152"/>
      <c r="Y543" s="153"/>
      <c r="Z543" s="153"/>
      <c r="AA543" s="154"/>
      <c r="AB543" s="155">
        <f>S543*$AB$3</f>
        <v>10329.97284</v>
      </c>
      <c r="AC543" s="156">
        <f>S543*$AC$3</f>
        <v>2315.3387400000006</v>
      </c>
      <c r="AD543" s="156">
        <f>S543*$AD$3</f>
        <v>1562.8536495000001</v>
      </c>
      <c r="AE543" s="156">
        <f>S543*$AE$3</f>
        <v>712.41192000000012</v>
      </c>
      <c r="AF543" s="156">
        <f>S543*$AF$3</f>
        <v>356.20596000000006</v>
      </c>
      <c r="AG543" s="156">
        <f>S543*$AG$3</f>
        <v>356.20596000000006</v>
      </c>
      <c r="AH543" s="156">
        <f>S543*$AH$3</f>
        <v>178.10298000000003</v>
      </c>
      <c r="AI543" s="156">
        <f>S543*$AI$3</f>
        <v>356.20596000000006</v>
      </c>
      <c r="AJ543" s="156">
        <f>S543*$AJ$3</f>
        <v>356.20596000000006</v>
      </c>
      <c r="AK543" s="156">
        <f>S543*$AK$3</f>
        <v>1246.7208600000004</v>
      </c>
      <c r="AL543" s="157">
        <f t="shared" si="367"/>
        <v>5481.1192095000015</v>
      </c>
      <c r="AM543" s="158">
        <f t="shared" si="368"/>
        <v>2200</v>
      </c>
      <c r="AN543" s="159">
        <v>0.2</v>
      </c>
      <c r="AO543" s="160">
        <f t="shared" si="369"/>
        <v>145635336.42426255</v>
      </c>
      <c r="AP543" s="161">
        <f t="shared" si="370"/>
        <v>40454.26335419152</v>
      </c>
      <c r="AQ543" s="162">
        <f t="shared" si="371"/>
        <v>8090.8526708383042</v>
      </c>
      <c r="AR543" s="580">
        <f t="shared" si="372"/>
        <v>1.1545166482360594</v>
      </c>
      <c r="AS543" s="582">
        <f t="shared" si="373"/>
        <v>1.1545166482360594</v>
      </c>
      <c r="AT543" s="165"/>
      <c r="AU543" s="166"/>
      <c r="AV543" s="167"/>
      <c r="AW543" s="146"/>
      <c r="AX543" s="168"/>
    </row>
    <row r="544" spans="1:50" s="139" customFormat="1" ht="11.25" x14ac:dyDescent="0.25">
      <c r="A544" s="140">
        <v>8</v>
      </c>
      <c r="B544" s="63" t="s">
        <v>559</v>
      </c>
      <c r="C544" s="142"/>
      <c r="D544" s="143"/>
      <c r="E544" s="143"/>
      <c r="F544" s="143"/>
      <c r="G544" s="143"/>
      <c r="H544" s="222"/>
      <c r="I544" s="222"/>
      <c r="J544" s="222"/>
      <c r="K544" s="222"/>
      <c r="L544" s="222"/>
      <c r="M544" s="222"/>
      <c r="N544" s="222">
        <v>52560</v>
      </c>
      <c r="O544" s="145"/>
      <c r="P544" s="223">
        <f t="shared" si="374"/>
        <v>52560</v>
      </c>
      <c r="Q544" s="147">
        <f t="shared" si="364"/>
        <v>5781.6</v>
      </c>
      <c r="R544" s="147">
        <f t="shared" si="365"/>
        <v>15.840000000000002</v>
      </c>
      <c r="S544" s="148">
        <f t="shared" si="366"/>
        <v>3468.96</v>
      </c>
      <c r="T544" s="199"/>
      <c r="U544" s="150"/>
      <c r="V544" s="151"/>
      <c r="W544" s="151"/>
      <c r="X544" s="152"/>
      <c r="Y544" s="153"/>
      <c r="Z544" s="153"/>
      <c r="AA544" s="154"/>
      <c r="AB544" s="155">
        <f>S544*$AB$3</f>
        <v>2011.9967999999999</v>
      </c>
      <c r="AC544" s="156">
        <f>S544*$AC$3</f>
        <v>450.96480000000003</v>
      </c>
      <c r="AD544" s="156">
        <f>S544*$AD$3</f>
        <v>304.40123999999997</v>
      </c>
      <c r="AE544" s="156">
        <f>S544*$AE$3</f>
        <v>138.75839999999999</v>
      </c>
      <c r="AF544" s="156">
        <f>S544*$AF$3</f>
        <v>69.379199999999997</v>
      </c>
      <c r="AG544" s="156">
        <f>S544*$AG$3</f>
        <v>69.379199999999997</v>
      </c>
      <c r="AH544" s="156">
        <f>S544*$AH$3</f>
        <v>34.689599999999999</v>
      </c>
      <c r="AI544" s="156">
        <f>S544*$AI$3</f>
        <v>69.379199999999997</v>
      </c>
      <c r="AJ544" s="156">
        <f>S544*$AJ$3</f>
        <v>69.379199999999997</v>
      </c>
      <c r="AK544" s="156">
        <f>S544*$AK$3</f>
        <v>242.82720000000003</v>
      </c>
      <c r="AL544" s="157">
        <f t="shared" si="367"/>
        <v>1067.5724399999999</v>
      </c>
      <c r="AM544" s="158">
        <f t="shared" si="368"/>
        <v>2200</v>
      </c>
      <c r="AN544" s="159">
        <v>0.2</v>
      </c>
      <c r="AO544" s="160">
        <f t="shared" si="369"/>
        <v>28365789.086870398</v>
      </c>
      <c r="AP544" s="161">
        <f t="shared" si="370"/>
        <v>7879.3864878148679</v>
      </c>
      <c r="AQ544" s="162">
        <f t="shared" si="371"/>
        <v>1575.8772975629736</v>
      </c>
      <c r="AR544" s="580">
        <f t="shared" si="372"/>
        <v>0.22486833583946542</v>
      </c>
      <c r="AS544" s="582">
        <f t="shared" si="373"/>
        <v>0.22486833583946542</v>
      </c>
      <c r="AT544" s="165"/>
      <c r="AU544" s="166"/>
      <c r="AV544" s="167"/>
      <c r="AW544" s="146"/>
      <c r="AX544" s="168"/>
    </row>
    <row r="545" spans="1:50" s="139" customFormat="1" ht="11.25" x14ac:dyDescent="0.25">
      <c r="A545" s="140">
        <v>9</v>
      </c>
      <c r="B545" s="63" t="s">
        <v>560</v>
      </c>
      <c r="C545" s="142"/>
      <c r="D545" s="143"/>
      <c r="E545" s="143"/>
      <c r="F545" s="143"/>
      <c r="G545" s="143"/>
      <c r="H545" s="222"/>
      <c r="I545" s="222"/>
      <c r="J545" s="222"/>
      <c r="K545" s="222"/>
      <c r="L545" s="222"/>
      <c r="M545" s="222"/>
      <c r="N545" s="222">
        <v>273616</v>
      </c>
      <c r="O545" s="145"/>
      <c r="P545" s="223">
        <f t="shared" si="374"/>
        <v>273616</v>
      </c>
      <c r="Q545" s="147">
        <f t="shared" si="364"/>
        <v>30097.759999999998</v>
      </c>
      <c r="R545" s="147">
        <f t="shared" si="365"/>
        <v>82.459616438356164</v>
      </c>
      <c r="S545" s="148">
        <f t="shared" si="366"/>
        <v>18058.655999999999</v>
      </c>
      <c r="T545" s="199"/>
      <c r="U545" s="150"/>
      <c r="V545" s="151"/>
      <c r="W545" s="151"/>
      <c r="X545" s="152"/>
      <c r="Y545" s="153"/>
      <c r="Z545" s="153"/>
      <c r="AA545" s="154"/>
      <c r="AB545" s="155">
        <f>S545*$AB$3</f>
        <v>10474.020479999999</v>
      </c>
      <c r="AC545" s="156">
        <f>S545*$AC$3</f>
        <v>2347.6252799999997</v>
      </c>
      <c r="AD545" s="156">
        <f>S545*$AD$3</f>
        <v>1584.6470639999998</v>
      </c>
      <c r="AE545" s="156">
        <f>S545*$AE$3</f>
        <v>722.34623999999997</v>
      </c>
      <c r="AF545" s="156">
        <f>S545*$AF$3</f>
        <v>361.17311999999998</v>
      </c>
      <c r="AG545" s="156">
        <f>S545*$AG$3</f>
        <v>361.17311999999998</v>
      </c>
      <c r="AH545" s="156">
        <f>S545*$AH$3</f>
        <v>180.58655999999999</v>
      </c>
      <c r="AI545" s="156">
        <f>S545*$AI$3</f>
        <v>361.17311999999998</v>
      </c>
      <c r="AJ545" s="156">
        <f>S545*$AJ$3</f>
        <v>361.17311999999998</v>
      </c>
      <c r="AK545" s="156">
        <f>S545*$AK$3</f>
        <v>1264.10592</v>
      </c>
      <c r="AL545" s="157">
        <f t="shared" si="367"/>
        <v>5557.5513840000003</v>
      </c>
      <c r="AM545" s="158">
        <f t="shared" si="368"/>
        <v>2200</v>
      </c>
      <c r="AN545" s="159">
        <v>0.2</v>
      </c>
      <c r="AO545" s="160">
        <f t="shared" si="369"/>
        <v>147666167.17642942</v>
      </c>
      <c r="AP545" s="161">
        <f t="shared" si="370"/>
        <v>41018.383052700774</v>
      </c>
      <c r="AQ545" s="162">
        <f t="shared" si="371"/>
        <v>8203.6766105401548</v>
      </c>
      <c r="AR545" s="580">
        <f t="shared" si="372"/>
        <v>1.1706159547003645</v>
      </c>
      <c r="AS545" s="435">
        <f t="shared" si="373"/>
        <v>1.1706159547003645</v>
      </c>
      <c r="AT545" s="187"/>
      <c r="AU545" s="166"/>
      <c r="AV545" s="167"/>
      <c r="AW545" s="146"/>
      <c r="AX545" s="168"/>
    </row>
    <row r="546" spans="1:50" s="139" customFormat="1" ht="11.25" x14ac:dyDescent="0.25">
      <c r="A546" s="140">
        <v>10</v>
      </c>
      <c r="B546" s="63" t="s">
        <v>561</v>
      </c>
      <c r="C546" s="142"/>
      <c r="D546" s="143"/>
      <c r="E546" s="143"/>
      <c r="F546" s="143"/>
      <c r="G546" s="143"/>
      <c r="H546" s="222"/>
      <c r="I546" s="222"/>
      <c r="J546" s="222"/>
      <c r="K546" s="222"/>
      <c r="L546" s="222"/>
      <c r="M546" s="222"/>
      <c r="N546" s="222">
        <v>94846</v>
      </c>
      <c r="O546" s="145"/>
      <c r="P546" s="223">
        <f t="shared" si="374"/>
        <v>94846</v>
      </c>
      <c r="Q546" s="147">
        <f t="shared" si="364"/>
        <v>10433.06</v>
      </c>
      <c r="R546" s="147">
        <f t="shared" si="365"/>
        <v>28.583726027397258</v>
      </c>
      <c r="S546" s="148">
        <f t="shared" si="366"/>
        <v>6259.8359999999993</v>
      </c>
      <c r="T546" s="199"/>
      <c r="U546" s="150"/>
      <c r="V546" s="151"/>
      <c r="W546" s="151"/>
      <c r="X546" s="152"/>
      <c r="Y546" s="153"/>
      <c r="Z546" s="153"/>
      <c r="AA546" s="154"/>
      <c r="AB546" s="155">
        <f>S546*$AB$3</f>
        <v>3630.7048799999993</v>
      </c>
      <c r="AC546" s="156">
        <f>S546*$AC$3</f>
        <v>813.77867999999989</v>
      </c>
      <c r="AD546" s="156">
        <f>S546*$AD$3</f>
        <v>549.30060899999989</v>
      </c>
      <c r="AE546" s="156">
        <f>S546*$AE$3</f>
        <v>250.39343999999997</v>
      </c>
      <c r="AF546" s="156">
        <f>S546*$AF$3</f>
        <v>125.19671999999998</v>
      </c>
      <c r="AG546" s="156">
        <f>S546*$AG$3</f>
        <v>125.19671999999998</v>
      </c>
      <c r="AH546" s="156">
        <f>S546*$AH$3</f>
        <v>62.598359999999992</v>
      </c>
      <c r="AI546" s="156">
        <f>S546*$AI$3</f>
        <v>125.19671999999998</v>
      </c>
      <c r="AJ546" s="156">
        <f>S546*$AJ$3</f>
        <v>125.19671999999998</v>
      </c>
      <c r="AK546" s="156">
        <f>S546*$AK$3</f>
        <v>438.18851999999998</v>
      </c>
      <c r="AL546" s="157">
        <f t="shared" si="367"/>
        <v>1926.4645289999996</v>
      </c>
      <c r="AM546" s="158">
        <f t="shared" si="368"/>
        <v>2200</v>
      </c>
      <c r="AN546" s="159">
        <v>0.2</v>
      </c>
      <c r="AO546" s="160">
        <f t="shared" si="369"/>
        <v>51186865.139522627</v>
      </c>
      <c r="AP546" s="161">
        <f t="shared" si="370"/>
        <v>14218.574787353287</v>
      </c>
      <c r="AQ546" s="162">
        <f t="shared" si="371"/>
        <v>2843.7149574706577</v>
      </c>
      <c r="AR546" s="580">
        <f t="shared" si="372"/>
        <v>0.40578124393131532</v>
      </c>
      <c r="AS546" s="582">
        <f t="shared" si="373"/>
        <v>0.40578124393131532</v>
      </c>
      <c r="AT546" s="165"/>
      <c r="AU546" s="166"/>
      <c r="AV546" s="167"/>
      <c r="AW546" s="146"/>
      <c r="AX546" s="168"/>
    </row>
    <row r="547" spans="1:50" s="139" customFormat="1" ht="11.25" x14ac:dyDescent="0.25">
      <c r="A547" s="140">
        <v>11</v>
      </c>
      <c r="B547" s="362" t="s">
        <v>562</v>
      </c>
      <c r="C547" s="142"/>
      <c r="D547" s="143"/>
      <c r="E547" s="143"/>
      <c r="F547" s="143"/>
      <c r="G547" s="143"/>
      <c r="H547" s="222"/>
      <c r="I547" s="222"/>
      <c r="J547" s="222"/>
      <c r="K547" s="222"/>
      <c r="L547" s="222"/>
      <c r="M547" s="222"/>
      <c r="N547" s="222">
        <v>139717</v>
      </c>
      <c r="O547" s="145"/>
      <c r="P547" s="223">
        <f t="shared" si="374"/>
        <v>139717</v>
      </c>
      <c r="Q547" s="147">
        <f t="shared" si="364"/>
        <v>15368.87</v>
      </c>
      <c r="R547" s="147">
        <f t="shared" si="365"/>
        <v>42.106493150684933</v>
      </c>
      <c r="S547" s="148">
        <f t="shared" si="366"/>
        <v>9221.3220000000001</v>
      </c>
      <c r="T547" s="199"/>
      <c r="U547" s="150"/>
      <c r="V547" s="151"/>
      <c r="W547" s="151"/>
      <c r="X547" s="152"/>
      <c r="Y547" s="153"/>
      <c r="Z547" s="153"/>
      <c r="AA547" s="154"/>
      <c r="AB547" s="155">
        <f>S547*$AB$3</f>
        <v>5348.3667599999999</v>
      </c>
      <c r="AC547" s="156">
        <f>S547*$AC$3</f>
        <v>1198.7718600000001</v>
      </c>
      <c r="AD547" s="156">
        <f>S547*$AD$3</f>
        <v>809.17100549999998</v>
      </c>
      <c r="AE547" s="156">
        <f>S547*$AE$3</f>
        <v>368.85288000000003</v>
      </c>
      <c r="AF547" s="156">
        <f>S547*$AF$3</f>
        <v>184.42644000000001</v>
      </c>
      <c r="AG547" s="156">
        <f>S547*$AG$3</f>
        <v>184.42644000000001</v>
      </c>
      <c r="AH547" s="156">
        <f>S547*$AH$3</f>
        <v>92.213220000000007</v>
      </c>
      <c r="AI547" s="156">
        <f>S547*$AI$3</f>
        <v>184.42644000000001</v>
      </c>
      <c r="AJ547" s="156">
        <f>S547*$AJ$3</f>
        <v>184.42644000000001</v>
      </c>
      <c r="AK547" s="156">
        <f>S547*$AK$3</f>
        <v>645.49254000000008</v>
      </c>
      <c r="AL547" s="157">
        <f t="shared" si="367"/>
        <v>2837.8618455000005</v>
      </c>
      <c r="AM547" s="158">
        <f t="shared" si="368"/>
        <v>2200</v>
      </c>
      <c r="AN547" s="159">
        <v>0.2</v>
      </c>
      <c r="AO547" s="160">
        <f t="shared" si="369"/>
        <v>75403024.23611629</v>
      </c>
      <c r="AP547" s="161">
        <f t="shared" si="370"/>
        <v>20945.286185655063</v>
      </c>
      <c r="AQ547" s="162">
        <f t="shared" si="371"/>
        <v>4189.0572371310127</v>
      </c>
      <c r="AR547" s="580">
        <f t="shared" si="372"/>
        <v>0.59775360118878607</v>
      </c>
      <c r="AS547" s="582">
        <f t="shared" si="373"/>
        <v>0.59775360118878607</v>
      </c>
      <c r="AT547" s="165"/>
      <c r="AU547" s="166"/>
      <c r="AV547" s="167"/>
      <c r="AW547" s="146"/>
      <c r="AX547" s="168"/>
    </row>
    <row r="548" spans="1:50" s="139" customFormat="1" ht="11.25" x14ac:dyDescent="0.25">
      <c r="A548" s="140">
        <v>12</v>
      </c>
      <c r="B548" s="128" t="s">
        <v>563</v>
      </c>
      <c r="C548" s="142"/>
      <c r="D548" s="143"/>
      <c r="E548" s="143"/>
      <c r="F548" s="143"/>
      <c r="G548" s="143"/>
      <c r="H548" s="222"/>
      <c r="I548" s="222"/>
      <c r="J548" s="222"/>
      <c r="K548" s="222"/>
      <c r="L548" s="222"/>
      <c r="M548" s="222"/>
      <c r="N548" s="222">
        <v>295737</v>
      </c>
      <c r="O548" s="145"/>
      <c r="P548" s="223">
        <f t="shared" si="374"/>
        <v>295737</v>
      </c>
      <c r="Q548" s="147">
        <f t="shared" si="364"/>
        <v>32531.07</v>
      </c>
      <c r="R548" s="147">
        <f t="shared" si="365"/>
        <v>89.126219178082195</v>
      </c>
      <c r="S548" s="148">
        <f t="shared" si="366"/>
        <v>19518.642</v>
      </c>
      <c r="T548" s="199"/>
      <c r="U548" s="150"/>
      <c r="V548" s="151"/>
      <c r="W548" s="151"/>
      <c r="X548" s="152"/>
      <c r="Y548" s="153"/>
      <c r="Z548" s="153"/>
      <c r="AA548" s="154"/>
      <c r="AB548" s="155">
        <f>S548*$AB$3</f>
        <v>11320.81236</v>
      </c>
      <c r="AC548" s="156">
        <f>S548*$AC$3</f>
        <v>2537.42346</v>
      </c>
      <c r="AD548" s="156">
        <f>S548*$AD$3</f>
        <v>1712.7608355</v>
      </c>
      <c r="AE548" s="156">
        <f>S548*$AE$3</f>
        <v>780.74567999999999</v>
      </c>
      <c r="AF548" s="156">
        <f>S548*$AF$3</f>
        <v>390.37284</v>
      </c>
      <c r="AG548" s="156">
        <f>S548*$AG$3</f>
        <v>390.37284</v>
      </c>
      <c r="AH548" s="156">
        <f>S548*$AH$3</f>
        <v>195.18642</v>
      </c>
      <c r="AI548" s="156">
        <f>S548*$AI$3</f>
        <v>390.37284</v>
      </c>
      <c r="AJ548" s="156">
        <f>S548*$AJ$3</f>
        <v>390.37284</v>
      </c>
      <c r="AK548" s="156">
        <f>S548*$AK$3</f>
        <v>1366.3049400000002</v>
      </c>
      <c r="AL548" s="157">
        <f t="shared" si="367"/>
        <v>6006.8620755000002</v>
      </c>
      <c r="AM548" s="158">
        <f t="shared" si="368"/>
        <v>2200</v>
      </c>
      <c r="AN548" s="159">
        <v>0.2</v>
      </c>
      <c r="AO548" s="160">
        <f t="shared" si="369"/>
        <v>159604516.11841309</v>
      </c>
      <c r="AP548" s="161">
        <f t="shared" si="370"/>
        <v>44334.591357437326</v>
      </c>
      <c r="AQ548" s="162">
        <f t="shared" si="371"/>
        <v>8866.918271487466</v>
      </c>
      <c r="AR548" s="580">
        <f t="shared" si="372"/>
        <v>1.2652566026665906</v>
      </c>
      <c r="AS548" s="582">
        <f t="shared" si="373"/>
        <v>1.2652566026665906</v>
      </c>
      <c r="AT548" s="165"/>
      <c r="AU548" s="166"/>
      <c r="AV548" s="167"/>
      <c r="AW548" s="146"/>
      <c r="AX548" s="168"/>
    </row>
    <row r="549" spans="1:50" s="190" customFormat="1" ht="11.25" x14ac:dyDescent="0.25">
      <c r="A549" s="120"/>
      <c r="B549" s="352" t="s">
        <v>564</v>
      </c>
      <c r="C549" s="240">
        <f>SUM(C537:C548)</f>
        <v>0</v>
      </c>
      <c r="D549" s="240">
        <f>SUM(D537:D548)</f>
        <v>0</v>
      </c>
      <c r="E549" s="240">
        <f>SUM(E537:E548)</f>
        <v>0</v>
      </c>
      <c r="F549" s="240">
        <f>SUM(F537:F548)</f>
        <v>0</v>
      </c>
      <c r="G549" s="240">
        <f>SUM(G537:G548)</f>
        <v>0</v>
      </c>
      <c r="H549" s="240">
        <f t="shared" ref="H549:O549" si="375">SUM(H537:H548)</f>
        <v>0</v>
      </c>
      <c r="I549" s="240">
        <f t="shared" si="375"/>
        <v>0</v>
      </c>
      <c r="J549" s="240">
        <f t="shared" si="375"/>
        <v>0</v>
      </c>
      <c r="K549" s="240">
        <f t="shared" si="375"/>
        <v>0</v>
      </c>
      <c r="L549" s="240">
        <f t="shared" si="375"/>
        <v>0</v>
      </c>
      <c r="M549" s="240">
        <f t="shared" si="375"/>
        <v>0</v>
      </c>
      <c r="N549" s="240">
        <f t="shared" si="375"/>
        <v>2277020</v>
      </c>
      <c r="O549" s="240">
        <f t="shared" si="375"/>
        <v>0</v>
      </c>
      <c r="P549" s="240">
        <f>SUM(P537:P548)</f>
        <v>2277020</v>
      </c>
      <c r="Q549" s="240">
        <f>SUM(Q537:Q548)</f>
        <v>250472.20000000004</v>
      </c>
      <c r="R549" s="240">
        <f>SUM(R537:R548)</f>
        <v>686.22520547945203</v>
      </c>
      <c r="S549" s="240">
        <f>SUM(S537:S548)</f>
        <v>150283.31999999998</v>
      </c>
      <c r="T549" s="199">
        <f>SUM(T537:T548)</f>
        <v>0</v>
      </c>
      <c r="U549" s="241"/>
      <c r="V549" s="242">
        <f>SUM(V537:V548)</f>
        <v>0</v>
      </c>
      <c r="W549" s="242">
        <f>SUM(W537:W548)</f>
        <v>0</v>
      </c>
      <c r="X549" s="242">
        <f>SUM(X537:X548)</f>
        <v>0</v>
      </c>
      <c r="Y549" s="199"/>
      <c r="Z549" s="199"/>
      <c r="AA549" s="243"/>
      <c r="AB549" s="240">
        <f t="shared" ref="AB549:AL549" si="376">SUM(AB537:AB548)</f>
        <v>87164.325599999996</v>
      </c>
      <c r="AC549" s="244">
        <f t="shared" si="376"/>
        <v>19536.831599999998</v>
      </c>
      <c r="AD549" s="244">
        <f t="shared" si="376"/>
        <v>13187.361329999996</v>
      </c>
      <c r="AE549" s="244">
        <f t="shared" si="376"/>
        <v>6011.3328000000001</v>
      </c>
      <c r="AF549" s="244">
        <f t="shared" si="376"/>
        <v>3005.6664000000001</v>
      </c>
      <c r="AG549" s="244">
        <f t="shared" si="376"/>
        <v>3005.6664000000001</v>
      </c>
      <c r="AH549" s="244">
        <f t="shared" si="376"/>
        <v>1502.8332</v>
      </c>
      <c r="AI549" s="244">
        <f t="shared" si="376"/>
        <v>3005.6664000000001</v>
      </c>
      <c r="AJ549" s="244">
        <f t="shared" si="376"/>
        <v>3005.6664000000001</v>
      </c>
      <c r="AK549" s="244">
        <f t="shared" si="376"/>
        <v>10519.832399999999</v>
      </c>
      <c r="AL549" s="245">
        <f t="shared" si="376"/>
        <v>46249.691729999999</v>
      </c>
      <c r="AM549" s="158"/>
      <c r="AN549" s="183"/>
      <c r="AO549" s="184">
        <f>SUM(AO537:AO548)</f>
        <v>1228871177.0659366</v>
      </c>
      <c r="AP549" s="184">
        <f>SUM(AP537:AP548)</f>
        <v>341353.13204878633</v>
      </c>
      <c r="AQ549" s="184">
        <f>SUM(AQ537:AQ548)</f>
        <v>68270.626409757271</v>
      </c>
      <c r="AR549" s="186">
        <f>SUM(AR537:AR548)</f>
        <v>9.7418131292461876</v>
      </c>
      <c r="AS549" s="435">
        <f>SUM(AS537:AS548)</f>
        <v>9.7418131292461876</v>
      </c>
      <c r="AT549" s="187"/>
      <c r="AU549" s="246">
        <f>SUM(AU541:AU548)</f>
        <v>0</v>
      </c>
      <c r="AV549" s="246"/>
      <c r="AW549" s="185">
        <f>SUM(AW541:AW548)</f>
        <v>0</v>
      </c>
      <c r="AX549" s="189"/>
    </row>
    <row r="550" spans="1:50" s="139" customFormat="1" ht="11.25" x14ac:dyDescent="0.25">
      <c r="P550" s="310"/>
      <c r="Q550" s="310"/>
      <c r="R550" s="310"/>
      <c r="S550" s="310"/>
      <c r="T550" s="311"/>
      <c r="U550" s="312"/>
      <c r="V550" s="310"/>
      <c r="W550" s="310"/>
      <c r="Y550" s="86"/>
      <c r="Z550" s="86"/>
      <c r="AA550" s="313"/>
      <c r="AC550" s="314"/>
      <c r="AD550" s="314"/>
      <c r="AE550" s="314"/>
      <c r="AF550" s="314"/>
      <c r="AG550" s="314"/>
      <c r="AH550" s="314"/>
      <c r="AI550" s="314"/>
      <c r="AJ550" s="314"/>
      <c r="AK550" s="314"/>
      <c r="AL550" s="315"/>
      <c r="AM550" s="310"/>
      <c r="AN550" s="316"/>
      <c r="AO550" s="310"/>
      <c r="AP550" s="317"/>
      <c r="AQ550" s="317"/>
      <c r="AR550" s="318"/>
      <c r="AS550" s="318"/>
      <c r="AT550" s="319"/>
      <c r="AU550" s="310"/>
      <c r="AV550" s="310"/>
      <c r="AW550" s="310"/>
      <c r="AX550" s="310"/>
    </row>
    <row r="551" spans="1:50" s="351" customFormat="1" ht="19.5" thickBot="1" x14ac:dyDescent="0.3">
      <c r="A551" s="272"/>
      <c r="B551" s="356" t="s">
        <v>565</v>
      </c>
      <c r="C551" s="272">
        <f>C475+C484+C498+C507+C534+C549</f>
        <v>830184</v>
      </c>
      <c r="D551" s="272">
        <f t="shared" ref="D551:O551" si="377">D475+D484+D498+D507+D534+D549</f>
        <v>0</v>
      </c>
      <c r="E551" s="272">
        <f t="shared" si="377"/>
        <v>0</v>
      </c>
      <c r="F551" s="272">
        <f t="shared" si="377"/>
        <v>0</v>
      </c>
      <c r="G551" s="272">
        <f t="shared" si="377"/>
        <v>0</v>
      </c>
      <c r="H551" s="272">
        <f t="shared" si="377"/>
        <v>0</v>
      </c>
      <c r="I551" s="272">
        <f t="shared" si="377"/>
        <v>0</v>
      </c>
      <c r="J551" s="272">
        <f t="shared" si="377"/>
        <v>0</v>
      </c>
      <c r="K551" s="272">
        <f t="shared" si="377"/>
        <v>0</v>
      </c>
      <c r="L551" s="272">
        <f t="shared" si="377"/>
        <v>0</v>
      </c>
      <c r="M551" s="272">
        <f t="shared" si="377"/>
        <v>1040164</v>
      </c>
      <c r="N551" s="272">
        <f>N475+N484+N498+N507+N534+N549</f>
        <v>15429056</v>
      </c>
      <c r="O551" s="272">
        <f t="shared" si="377"/>
        <v>0</v>
      </c>
      <c r="P551" s="272">
        <f>P475+P484+P498+P507+P534+P549</f>
        <v>16469220</v>
      </c>
      <c r="Q551" s="272">
        <f>Q475+Q484+Q498+Q507+Q534+Q549</f>
        <v>1608819.952</v>
      </c>
      <c r="R551" s="272">
        <f>R475+R484+R498+R507+R534+R549</f>
        <v>5099.8718136986299</v>
      </c>
      <c r="S551" s="272">
        <f>S475+S484+S498+S507+S534+S549</f>
        <v>1137084.4154000001</v>
      </c>
      <c r="T551" s="272">
        <f t="shared" ref="T551:AL551" si="378">T475+T484+T498+T507+T534+T549</f>
        <v>0</v>
      </c>
      <c r="U551" s="272">
        <f t="shared" si="378"/>
        <v>0</v>
      </c>
      <c r="V551" s="272">
        <f t="shared" si="378"/>
        <v>0</v>
      </c>
      <c r="W551" s="272">
        <f t="shared" si="378"/>
        <v>0</v>
      </c>
      <c r="X551" s="272">
        <f t="shared" si="378"/>
        <v>0</v>
      </c>
      <c r="Y551" s="272">
        <f t="shared" si="378"/>
        <v>0</v>
      </c>
      <c r="Z551" s="272">
        <f t="shared" si="378"/>
        <v>0</v>
      </c>
      <c r="AA551" s="272">
        <f t="shared" si="378"/>
        <v>0</v>
      </c>
      <c r="AB551" s="272">
        <f t="shared" si="378"/>
        <v>659508.96093199996</v>
      </c>
      <c r="AC551" s="272">
        <f t="shared" si="378"/>
        <v>147820.974002</v>
      </c>
      <c r="AD551" s="272">
        <f t="shared" si="378"/>
        <v>99779.157451349995</v>
      </c>
      <c r="AE551" s="272">
        <f t="shared" si="378"/>
        <v>45483.376616000009</v>
      </c>
      <c r="AF551" s="272">
        <f t="shared" si="378"/>
        <v>22741.688308000004</v>
      </c>
      <c r="AG551" s="272">
        <f t="shared" si="378"/>
        <v>22741.688308000004</v>
      </c>
      <c r="AH551" s="272">
        <f t="shared" si="378"/>
        <v>11370.844154000002</v>
      </c>
      <c r="AI551" s="272">
        <f t="shared" si="378"/>
        <v>22741.688308000004</v>
      </c>
      <c r="AJ551" s="272">
        <f t="shared" si="378"/>
        <v>22741.688308000004</v>
      </c>
      <c r="AK551" s="272">
        <f t="shared" si="378"/>
        <v>79595.909077999997</v>
      </c>
      <c r="AL551" s="272">
        <f t="shared" si="378"/>
        <v>349937.72883934999</v>
      </c>
      <c r="AM551" s="350"/>
      <c r="AN551" s="350"/>
      <c r="AO551" s="272">
        <f t="shared" ref="AO551:AW551" si="379">AO475+AO484+AO498+AO507+AO534+AO549</f>
        <v>9297973081.616312</v>
      </c>
      <c r="AP551" s="272">
        <f t="shared" si="379"/>
        <v>2582770.5070705996</v>
      </c>
      <c r="AQ551" s="272">
        <f t="shared" si="379"/>
        <v>516554.10141412006</v>
      </c>
      <c r="AR551" s="272">
        <f t="shared" si="379"/>
        <v>73.709203968909819</v>
      </c>
      <c r="AS551" s="272">
        <f t="shared" si="379"/>
        <v>73.709203968909819</v>
      </c>
      <c r="AT551" s="272">
        <f t="shared" si="379"/>
        <v>0</v>
      </c>
      <c r="AU551" s="272">
        <f t="shared" si="379"/>
        <v>0</v>
      </c>
      <c r="AV551" s="272"/>
      <c r="AW551" s="272">
        <f t="shared" si="379"/>
        <v>0</v>
      </c>
      <c r="AX551" s="350"/>
    </row>
    <row r="552" spans="1:50" s="139" customFormat="1" ht="11.25" x14ac:dyDescent="0.25">
      <c r="P552" s="310"/>
      <c r="Q552" s="310"/>
      <c r="R552" s="310"/>
      <c r="S552" s="310"/>
      <c r="T552" s="311"/>
      <c r="U552" s="312"/>
      <c r="V552" s="310"/>
      <c r="W552" s="310"/>
      <c r="Y552" s="86"/>
      <c r="Z552" s="86"/>
      <c r="AA552" s="313"/>
      <c r="AC552" s="314"/>
      <c r="AD552" s="314"/>
      <c r="AE552" s="314"/>
      <c r="AF552" s="314"/>
      <c r="AG552" s="314"/>
      <c r="AH552" s="314"/>
      <c r="AI552" s="314"/>
      <c r="AJ552" s="314"/>
      <c r="AK552" s="314"/>
      <c r="AL552" s="315"/>
      <c r="AM552" s="310"/>
      <c r="AN552" s="316"/>
      <c r="AO552" s="310"/>
      <c r="AP552" s="317"/>
      <c r="AQ552" s="317"/>
      <c r="AR552" s="318"/>
      <c r="AS552" s="318"/>
      <c r="AT552" s="319"/>
      <c r="AU552" s="310"/>
      <c r="AV552" s="310"/>
      <c r="AW552" s="310"/>
      <c r="AX552" s="310"/>
    </row>
    <row r="553" spans="1:50" s="139" customFormat="1" ht="11.25" x14ac:dyDescent="0.25">
      <c r="P553" s="310"/>
      <c r="Q553" s="310"/>
      <c r="R553" s="310"/>
      <c r="S553" s="310"/>
      <c r="T553" s="311"/>
      <c r="U553" s="312"/>
      <c r="V553" s="310"/>
      <c r="W553" s="310"/>
      <c r="Y553" s="86"/>
      <c r="Z553" s="86"/>
      <c r="AA553" s="313"/>
      <c r="AC553" s="314"/>
      <c r="AD553" s="314"/>
      <c r="AE553" s="314"/>
      <c r="AF553" s="314"/>
      <c r="AG553" s="314"/>
      <c r="AH553" s="314"/>
      <c r="AI553" s="314"/>
      <c r="AJ553" s="314"/>
      <c r="AK553" s="314"/>
      <c r="AL553" s="315"/>
      <c r="AM553" s="310"/>
      <c r="AN553" s="316"/>
      <c r="AO553" s="310"/>
      <c r="AP553" s="317"/>
      <c r="AQ553" s="317"/>
      <c r="AR553" s="318"/>
      <c r="AS553" s="318"/>
      <c r="AT553" s="319"/>
      <c r="AU553" s="310"/>
      <c r="AV553" s="310"/>
      <c r="AW553" s="310"/>
      <c r="AX553" s="310"/>
    </row>
    <row r="554" spans="1:50" s="290" customFormat="1" ht="18.75" x14ac:dyDescent="0.25">
      <c r="A554" s="291" t="s">
        <v>566</v>
      </c>
      <c r="B554" s="292"/>
      <c r="C554" s="293"/>
      <c r="D554" s="292"/>
      <c r="E554" s="292"/>
      <c r="F554" s="292"/>
      <c r="G554" s="292"/>
      <c r="H554" s="292"/>
      <c r="I554" s="292"/>
      <c r="J554" s="292"/>
      <c r="K554" s="292"/>
      <c r="L554" s="292"/>
      <c r="M554" s="292"/>
      <c r="N554" s="292"/>
      <c r="O554" s="292"/>
      <c r="P554" s="292"/>
      <c r="Q554" s="292"/>
      <c r="R554" s="294"/>
      <c r="S554" s="292"/>
      <c r="T554" s="292"/>
      <c r="U554" s="292"/>
      <c r="V554" s="292"/>
      <c r="W554" s="292"/>
      <c r="X554" s="292"/>
      <c r="Y554" s="295"/>
      <c r="Z554" s="296"/>
      <c r="AA554" s="116"/>
      <c r="AB554" s="117"/>
      <c r="AC554" s="117"/>
      <c r="AD554" s="117"/>
      <c r="AE554" s="117"/>
      <c r="AF554" s="117"/>
      <c r="AG554" s="117"/>
      <c r="AH554" s="117"/>
      <c r="AI554" s="117"/>
      <c r="AJ554" s="117"/>
      <c r="AK554" s="117"/>
      <c r="AL554" s="117"/>
      <c r="AM554" s="297"/>
      <c r="AN554" s="292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</row>
    <row r="555" spans="1:50" s="139" customFormat="1" ht="11.25" x14ac:dyDescent="0.25">
      <c r="A555" s="126"/>
      <c r="B555" s="352" t="s">
        <v>567</v>
      </c>
      <c r="C555" s="122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213"/>
      <c r="P555" s="76"/>
      <c r="Q555" s="108"/>
      <c r="R555" s="108"/>
      <c r="S555" s="94"/>
      <c r="T555" s="199"/>
      <c r="U555" s="179"/>
      <c r="V555" s="180"/>
      <c r="W555" s="180"/>
      <c r="X555" s="214"/>
      <c r="Y555" s="181"/>
      <c r="Z555" s="181"/>
      <c r="AA555" s="182"/>
      <c r="AB555" s="62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125"/>
      <c r="AM555" s="75"/>
      <c r="AN555" s="216"/>
      <c r="AO555" s="75"/>
      <c r="AP555" s="51"/>
      <c r="AQ555" s="259"/>
      <c r="AR555" s="583"/>
      <c r="AS555" s="584"/>
      <c r="AT555" s="220"/>
      <c r="AU555" s="135"/>
      <c r="AV555" s="136"/>
      <c r="AW555" s="137"/>
      <c r="AX555" s="138"/>
    </row>
    <row r="556" spans="1:50" ht="11.25" x14ac:dyDescent="0.2">
      <c r="A556" s="357">
        <v>1</v>
      </c>
      <c r="B556" s="141" t="s">
        <v>568</v>
      </c>
      <c r="C556" s="300"/>
      <c r="D556" s="236"/>
      <c r="E556" s="236"/>
      <c r="F556" s="236"/>
      <c r="G556" s="236"/>
      <c r="H556" s="236"/>
      <c r="I556" s="236"/>
      <c r="J556" s="236"/>
      <c r="K556" s="236"/>
      <c r="L556" s="236">
        <v>95974</v>
      </c>
      <c r="M556" s="236">
        <v>108445</v>
      </c>
      <c r="N556" s="301">
        <v>113036</v>
      </c>
      <c r="O556" s="237">
        <v>115004</v>
      </c>
      <c r="P556" s="223">
        <f t="shared" ref="P556:P566" si="380">MAX(C556:O556)</f>
        <v>115004</v>
      </c>
      <c r="Q556" s="147">
        <f t="shared" ref="Q556:Q566" si="381">P556*$Q$8</f>
        <v>12650.44</v>
      </c>
      <c r="R556" s="147">
        <f t="shared" ref="R556:R566" si="382">Q556/$R$3</f>
        <v>34.658739726027399</v>
      </c>
      <c r="S556" s="148">
        <f t="shared" ref="S556:S566" si="383">R556*$S$3*$S$8</f>
        <v>7590.2640000000001</v>
      </c>
      <c r="T556" s="199"/>
      <c r="U556" s="150"/>
      <c r="V556" s="249"/>
      <c r="W556" s="249"/>
      <c r="X556" s="152"/>
      <c r="Y556" s="153"/>
      <c r="Z556" s="153"/>
      <c r="AA556" s="154"/>
      <c r="AB556" s="155">
        <f>S556*$AB$3</f>
        <v>4402.3531199999998</v>
      </c>
      <c r="AC556" s="156">
        <f>S556*$AC$3</f>
        <v>986.73432000000003</v>
      </c>
      <c r="AD556" s="156">
        <f>S556*$AD$3</f>
        <v>666.04566599999998</v>
      </c>
      <c r="AE556" s="156">
        <f>S556*$AE$3</f>
        <v>303.61056000000002</v>
      </c>
      <c r="AF556" s="156">
        <f>S556*$AF$3</f>
        <v>151.80528000000001</v>
      </c>
      <c r="AG556" s="156">
        <f>S556*$AG$3</f>
        <v>151.80528000000001</v>
      </c>
      <c r="AH556" s="156">
        <f>S556*$AH$3</f>
        <v>75.902640000000005</v>
      </c>
      <c r="AI556" s="156">
        <f>S556*$AI$3</f>
        <v>151.80528000000001</v>
      </c>
      <c r="AJ556" s="156">
        <f>S556*$AJ$3</f>
        <v>151.80528000000001</v>
      </c>
      <c r="AK556" s="156">
        <f>S556*$AK$3</f>
        <v>531.31848000000002</v>
      </c>
      <c r="AL556" s="157">
        <f t="shared" ref="AL556:AL566" si="384">SUM(AC556:AH556)</f>
        <v>2335.903746</v>
      </c>
      <c r="AM556" s="158">
        <f t="shared" ref="AM556:AM566" si="385">$AM$3</f>
        <v>2200</v>
      </c>
      <c r="AN556" s="159">
        <v>0.2</v>
      </c>
      <c r="AO556" s="160">
        <f t="shared" ref="AO556:AO566" si="386">(AB556+AL556)*AM556*$AO$3</f>
        <v>62065814.462451361</v>
      </c>
      <c r="AP556" s="161">
        <f t="shared" ref="AP556:AP566" si="387">AO556*$AP$3</f>
        <v>17240.50539658792</v>
      </c>
      <c r="AQ556" s="162">
        <f t="shared" ref="AQ556:AQ566" si="388">AP556*$AQ$3</f>
        <v>3448.1010793175842</v>
      </c>
      <c r="AR556" s="580">
        <f t="shared" ref="AR556:AR566" si="389">AQ556/$AR$3</f>
        <v>0.49202355583869639</v>
      </c>
      <c r="AS556" s="582">
        <f t="shared" ref="AS556:AS566" si="390">AR556</f>
        <v>0.49202355583869639</v>
      </c>
      <c r="AT556" s="165"/>
      <c r="AU556" s="166"/>
      <c r="AV556" s="167"/>
      <c r="AW556" s="146"/>
      <c r="AX556" s="168"/>
    </row>
    <row r="557" spans="1:50" ht="11.25" x14ac:dyDescent="0.2">
      <c r="A557" s="357">
        <v>2</v>
      </c>
      <c r="B557" s="169" t="s">
        <v>569</v>
      </c>
      <c r="C557" s="300"/>
      <c r="D557" s="236"/>
      <c r="E557" s="236"/>
      <c r="F557" s="236"/>
      <c r="G557" s="236"/>
      <c r="H557" s="236"/>
      <c r="I557" s="236"/>
      <c r="J557" s="236"/>
      <c r="K557" s="236"/>
      <c r="L557" s="236">
        <v>52950</v>
      </c>
      <c r="M557" s="236">
        <v>53671</v>
      </c>
      <c r="N557" s="301">
        <v>55403</v>
      </c>
      <c r="O557" s="237">
        <v>56368</v>
      </c>
      <c r="P557" s="223">
        <f t="shared" si="380"/>
        <v>56368</v>
      </c>
      <c r="Q557" s="147">
        <f t="shared" si="381"/>
        <v>6200.4800000000005</v>
      </c>
      <c r="R557" s="147">
        <f t="shared" si="382"/>
        <v>16.987616438356167</v>
      </c>
      <c r="S557" s="148">
        <f t="shared" si="383"/>
        <v>3720.288</v>
      </c>
      <c r="T557" s="199"/>
      <c r="U557" s="150"/>
      <c r="V557" s="249"/>
      <c r="W557" s="249"/>
      <c r="X557" s="152"/>
      <c r="Y557" s="153"/>
      <c r="Z557" s="153"/>
      <c r="AA557" s="154"/>
      <c r="AB557" s="155">
        <f>S557*$AB$3</f>
        <v>2157.7670399999997</v>
      </c>
      <c r="AC557" s="156">
        <f>S557*$AC$3</f>
        <v>483.63744000000003</v>
      </c>
      <c r="AD557" s="156">
        <f>S557*$AD$3</f>
        <v>326.45527199999998</v>
      </c>
      <c r="AE557" s="156">
        <f>S557*$AE$3</f>
        <v>148.81152</v>
      </c>
      <c r="AF557" s="156">
        <f>S557*$AF$3</f>
        <v>74.405760000000001</v>
      </c>
      <c r="AG557" s="156">
        <f>S557*$AG$3</f>
        <v>74.405760000000001</v>
      </c>
      <c r="AH557" s="156">
        <f>S557*$AH$3</f>
        <v>37.20288</v>
      </c>
      <c r="AI557" s="156">
        <f>S557*$AI$3</f>
        <v>74.405760000000001</v>
      </c>
      <c r="AJ557" s="156">
        <f>S557*$AJ$3</f>
        <v>74.405760000000001</v>
      </c>
      <c r="AK557" s="156">
        <f>S557*$AK$3</f>
        <v>260.42016000000001</v>
      </c>
      <c r="AL557" s="157">
        <f t="shared" si="384"/>
        <v>1144.9186320000001</v>
      </c>
      <c r="AM557" s="158">
        <f t="shared" si="385"/>
        <v>2200</v>
      </c>
      <c r="AN557" s="159">
        <v>0.2</v>
      </c>
      <c r="AO557" s="160">
        <f t="shared" si="386"/>
        <v>30420905.617365118</v>
      </c>
      <c r="AP557" s="161">
        <f t="shared" si="387"/>
        <v>8450.2522363993248</v>
      </c>
      <c r="AQ557" s="162">
        <f t="shared" si="388"/>
        <v>1690.050447279865</v>
      </c>
      <c r="AR557" s="580">
        <f t="shared" si="389"/>
        <v>0.24116016656390768</v>
      </c>
      <c r="AS557" s="582">
        <f t="shared" si="390"/>
        <v>0.24116016656390768</v>
      </c>
      <c r="AT557" s="165"/>
      <c r="AU557" s="166"/>
      <c r="AV557" s="167"/>
      <c r="AW557" s="146"/>
      <c r="AX557" s="168"/>
    </row>
    <row r="558" spans="1:50" ht="11.25" x14ac:dyDescent="0.2">
      <c r="A558" s="357">
        <v>10</v>
      </c>
      <c r="B558" s="170" t="s">
        <v>570</v>
      </c>
      <c r="C558" s="300"/>
      <c r="D558" s="236"/>
      <c r="E558" s="236"/>
      <c r="F558" s="236"/>
      <c r="G558" s="236"/>
      <c r="H558" s="236"/>
      <c r="I558" s="236"/>
      <c r="J558" s="236"/>
      <c r="K558" s="236"/>
      <c r="L558" s="236">
        <v>284809</v>
      </c>
      <c r="M558" s="236">
        <v>331254</v>
      </c>
      <c r="N558" s="301">
        <v>348407</v>
      </c>
      <c r="O558" s="237">
        <v>354464</v>
      </c>
      <c r="P558" s="223">
        <f t="shared" si="380"/>
        <v>354464</v>
      </c>
      <c r="Q558" s="147">
        <f t="shared" si="381"/>
        <v>38991.040000000001</v>
      </c>
      <c r="R558" s="147">
        <f t="shared" si="382"/>
        <v>106.82476712328767</v>
      </c>
      <c r="S558" s="148">
        <f t="shared" si="383"/>
        <v>23394.624</v>
      </c>
      <c r="T558" s="199"/>
      <c r="U558" s="150"/>
      <c r="V558" s="249"/>
      <c r="W558" s="249"/>
      <c r="X558" s="152"/>
      <c r="Y558" s="153"/>
      <c r="Z558" s="153"/>
      <c r="AA558" s="154"/>
      <c r="AB558" s="155">
        <f>S558*$AB$3</f>
        <v>13568.88192</v>
      </c>
      <c r="AC558" s="156">
        <f>S558*$AC$3</f>
        <v>3041.3011200000001</v>
      </c>
      <c r="AD558" s="156">
        <f>S558*$AD$3</f>
        <v>2052.878256</v>
      </c>
      <c r="AE558" s="156">
        <f>S558*$AE$3</f>
        <v>935.78495999999996</v>
      </c>
      <c r="AF558" s="156">
        <f>S558*$AF$3</f>
        <v>467.89247999999998</v>
      </c>
      <c r="AG558" s="156">
        <f>S558*$AG$3</f>
        <v>467.89247999999998</v>
      </c>
      <c r="AH558" s="156">
        <f>S558*$AH$3</f>
        <v>233.94623999999999</v>
      </c>
      <c r="AI558" s="156">
        <f>S558*$AI$3</f>
        <v>467.89247999999998</v>
      </c>
      <c r="AJ558" s="156">
        <f>S558*$AJ$3</f>
        <v>467.89247999999998</v>
      </c>
      <c r="AK558" s="156">
        <f>S558*$AK$3</f>
        <v>1637.6236800000001</v>
      </c>
      <c r="AL558" s="157">
        <f t="shared" si="384"/>
        <v>7199.6955360000002</v>
      </c>
      <c r="AM558" s="158">
        <f t="shared" si="385"/>
        <v>2200</v>
      </c>
      <c r="AN558" s="159">
        <v>0.2</v>
      </c>
      <c r="AO558" s="160">
        <f t="shared" si="386"/>
        <v>191298536.20411775</v>
      </c>
      <c r="AP558" s="161">
        <f t="shared" si="387"/>
        <v>53138.486530000177</v>
      </c>
      <c r="AQ558" s="162">
        <f t="shared" si="388"/>
        <v>10627.697306000036</v>
      </c>
      <c r="AR558" s="580">
        <f t="shared" si="389"/>
        <v>1.5165093187785441</v>
      </c>
      <c r="AS558" s="582">
        <f t="shared" si="390"/>
        <v>1.5165093187785441</v>
      </c>
      <c r="AT558" s="165"/>
      <c r="AU558" s="166"/>
      <c r="AV558" s="167"/>
      <c r="AW558" s="146"/>
      <c r="AX558" s="168"/>
    </row>
    <row r="559" spans="1:50" ht="11.25" x14ac:dyDescent="0.2">
      <c r="A559" s="357">
        <v>8</v>
      </c>
      <c r="B559" s="170" t="s">
        <v>571</v>
      </c>
      <c r="C559" s="300"/>
      <c r="D559" s="236"/>
      <c r="E559" s="236"/>
      <c r="F559" s="236"/>
      <c r="G559" s="236"/>
      <c r="H559" s="236"/>
      <c r="I559" s="236"/>
      <c r="J559" s="236"/>
      <c r="K559" s="236"/>
      <c r="L559" s="236">
        <v>159718</v>
      </c>
      <c r="M559" s="236">
        <v>164656</v>
      </c>
      <c r="N559" s="301">
        <v>168197</v>
      </c>
      <c r="O559" s="237">
        <v>171129</v>
      </c>
      <c r="P559" s="223">
        <f t="shared" si="380"/>
        <v>171129</v>
      </c>
      <c r="Q559" s="147">
        <f t="shared" si="381"/>
        <v>18824.189999999999</v>
      </c>
      <c r="R559" s="147">
        <f t="shared" si="382"/>
        <v>51.57312328767123</v>
      </c>
      <c r="S559" s="148">
        <f t="shared" si="383"/>
        <v>11294.513999999999</v>
      </c>
      <c r="T559" s="199"/>
      <c r="U559" s="150"/>
      <c r="V559" s="249"/>
      <c r="W559" s="249"/>
      <c r="X559" s="152"/>
      <c r="Y559" s="153"/>
      <c r="Z559" s="153"/>
      <c r="AA559" s="154"/>
      <c r="AB559" s="155">
        <f>S559*$AB$3</f>
        <v>6550.818119999999</v>
      </c>
      <c r="AC559" s="156">
        <f>S559*$AC$3</f>
        <v>1468.28682</v>
      </c>
      <c r="AD559" s="156">
        <f>S559*$AD$3</f>
        <v>991.09360349999986</v>
      </c>
      <c r="AE559" s="156">
        <f>S559*$AE$3</f>
        <v>451.78055999999998</v>
      </c>
      <c r="AF559" s="156">
        <f>S559*$AF$3</f>
        <v>225.89027999999999</v>
      </c>
      <c r="AG559" s="156">
        <f>S559*$AG$3</f>
        <v>225.89027999999999</v>
      </c>
      <c r="AH559" s="156">
        <f>S559*$AH$3</f>
        <v>112.94513999999999</v>
      </c>
      <c r="AI559" s="156">
        <f>S559*$AI$3</f>
        <v>225.89027999999999</v>
      </c>
      <c r="AJ559" s="156">
        <f>S559*$AJ$3</f>
        <v>225.89027999999999</v>
      </c>
      <c r="AK559" s="156">
        <f>S559*$AK$3</f>
        <v>790.61598000000004</v>
      </c>
      <c r="AL559" s="157">
        <f t="shared" si="384"/>
        <v>3475.8866834999999</v>
      </c>
      <c r="AM559" s="158">
        <f t="shared" si="385"/>
        <v>2200</v>
      </c>
      <c r="AN559" s="159">
        <v>0.2</v>
      </c>
      <c r="AO559" s="160">
        <f t="shared" si="386"/>
        <v>92355576.876846358</v>
      </c>
      <c r="AP559" s="161">
        <f t="shared" si="387"/>
        <v>25654.32896258125</v>
      </c>
      <c r="AQ559" s="162">
        <f t="shared" si="388"/>
        <v>5130.8657925162506</v>
      </c>
      <c r="AR559" s="580">
        <f t="shared" si="389"/>
        <v>0.73214409139786685</v>
      </c>
      <c r="AS559" s="582">
        <f t="shared" si="390"/>
        <v>0.73214409139786685</v>
      </c>
      <c r="AT559" s="165"/>
      <c r="AU559" s="166"/>
      <c r="AV559" s="167"/>
      <c r="AW559" s="146"/>
      <c r="AX559" s="168"/>
    </row>
    <row r="560" spans="1:50" ht="11.25" x14ac:dyDescent="0.2">
      <c r="A560" s="357">
        <v>5</v>
      </c>
      <c r="B560" s="170" t="s">
        <v>572</v>
      </c>
      <c r="C560" s="300"/>
      <c r="D560" s="236"/>
      <c r="E560" s="236"/>
      <c r="F560" s="236"/>
      <c r="G560" s="236"/>
      <c r="H560" s="236"/>
      <c r="I560" s="236"/>
      <c r="J560" s="236"/>
      <c r="K560" s="236"/>
      <c r="L560" s="236">
        <v>370931</v>
      </c>
      <c r="M560" s="236">
        <v>361698</v>
      </c>
      <c r="N560" s="301">
        <v>368999</v>
      </c>
      <c r="O560" s="237">
        <v>375393</v>
      </c>
      <c r="P560" s="223">
        <f t="shared" si="380"/>
        <v>375393</v>
      </c>
      <c r="Q560" s="147">
        <f t="shared" si="381"/>
        <v>41293.230000000003</v>
      </c>
      <c r="R560" s="147">
        <f t="shared" si="382"/>
        <v>113.13213698630138</v>
      </c>
      <c r="S560" s="148">
        <f t="shared" si="383"/>
        <v>24775.938000000002</v>
      </c>
      <c r="T560" s="199"/>
      <c r="U560" s="150"/>
      <c r="V560" s="249"/>
      <c r="W560" s="249"/>
      <c r="X560" s="152"/>
      <c r="Y560" s="153"/>
      <c r="Z560" s="153"/>
      <c r="AA560" s="154"/>
      <c r="AB560" s="155">
        <f>S560*$AB$3</f>
        <v>14370.044040000001</v>
      </c>
      <c r="AC560" s="156">
        <f>S560*$AC$3</f>
        <v>3220.8719400000004</v>
      </c>
      <c r="AD560" s="156">
        <f>S560*$AD$3</f>
        <v>2174.0885595</v>
      </c>
      <c r="AE560" s="156">
        <f>S560*$AE$3</f>
        <v>991.03752000000009</v>
      </c>
      <c r="AF560" s="156">
        <f>S560*$AF$3</f>
        <v>495.51876000000004</v>
      </c>
      <c r="AG560" s="156">
        <f>S560*$AG$3</f>
        <v>495.51876000000004</v>
      </c>
      <c r="AH560" s="156">
        <f>S560*$AH$3</f>
        <v>247.75938000000002</v>
      </c>
      <c r="AI560" s="156">
        <f>S560*$AI$3</f>
        <v>495.51876000000004</v>
      </c>
      <c r="AJ560" s="156">
        <f>S560*$AJ$3</f>
        <v>495.51876000000004</v>
      </c>
      <c r="AK560" s="156">
        <f>S560*$AK$3</f>
        <v>1734.3156600000002</v>
      </c>
      <c r="AL560" s="157">
        <f t="shared" si="384"/>
        <v>7624.794919500001</v>
      </c>
      <c r="AM560" s="158">
        <f t="shared" si="385"/>
        <v>2200</v>
      </c>
      <c r="AN560" s="159">
        <v>0.2</v>
      </c>
      <c r="AO560" s="160">
        <f t="shared" si="386"/>
        <v>202593581.86239612</v>
      </c>
      <c r="AP560" s="161">
        <f t="shared" si="387"/>
        <v>56275.999463856293</v>
      </c>
      <c r="AQ560" s="162">
        <f t="shared" si="388"/>
        <v>11255.199892771259</v>
      </c>
      <c r="AR560" s="580">
        <f t="shared" si="389"/>
        <v>1.6060502130095975</v>
      </c>
      <c r="AS560" s="582">
        <f t="shared" si="390"/>
        <v>1.6060502130095975</v>
      </c>
      <c r="AT560" s="165"/>
      <c r="AU560" s="166"/>
      <c r="AV560" s="167"/>
      <c r="AW560" s="146"/>
      <c r="AX560" s="168"/>
    </row>
    <row r="561" spans="1:50" ht="11.25" x14ac:dyDescent="0.2">
      <c r="A561" s="357">
        <v>9</v>
      </c>
      <c r="B561" s="170" t="s">
        <v>573</v>
      </c>
      <c r="C561" s="300"/>
      <c r="D561" s="236"/>
      <c r="E561" s="236"/>
      <c r="F561" s="236"/>
      <c r="G561" s="236"/>
      <c r="H561" s="236"/>
      <c r="I561" s="236"/>
      <c r="J561" s="236"/>
      <c r="K561" s="236"/>
      <c r="L561" s="236">
        <v>86709</v>
      </c>
      <c r="M561" s="236">
        <v>99065</v>
      </c>
      <c r="N561" s="301">
        <v>102107</v>
      </c>
      <c r="O561" s="237">
        <v>103890</v>
      </c>
      <c r="P561" s="223">
        <f t="shared" si="380"/>
        <v>103890</v>
      </c>
      <c r="Q561" s="147">
        <f t="shared" si="381"/>
        <v>11427.9</v>
      </c>
      <c r="R561" s="147">
        <f t="shared" si="382"/>
        <v>31.309315068493149</v>
      </c>
      <c r="S561" s="148">
        <f t="shared" si="383"/>
        <v>6856.74</v>
      </c>
      <c r="T561" s="199"/>
      <c r="U561" s="150"/>
      <c r="V561" s="249"/>
      <c r="W561" s="249"/>
      <c r="X561" s="152"/>
      <c r="Y561" s="153"/>
      <c r="Z561" s="153"/>
      <c r="AA561" s="154"/>
      <c r="AB561" s="155">
        <f>S561*$AB$3</f>
        <v>3976.9091999999996</v>
      </c>
      <c r="AC561" s="156">
        <f>S561*$AC$3</f>
        <v>891.37620000000004</v>
      </c>
      <c r="AD561" s="156">
        <f>S561*$AD$3</f>
        <v>601.67893499999991</v>
      </c>
      <c r="AE561" s="156">
        <f>S561*$AE$3</f>
        <v>274.26960000000003</v>
      </c>
      <c r="AF561" s="156">
        <f>S561*$AF$3</f>
        <v>137.13480000000001</v>
      </c>
      <c r="AG561" s="156">
        <f>S561*$AG$3</f>
        <v>137.13480000000001</v>
      </c>
      <c r="AH561" s="156">
        <f>S561*$AH$3</f>
        <v>68.567400000000006</v>
      </c>
      <c r="AI561" s="156">
        <f>S561*$AI$3</f>
        <v>137.13480000000001</v>
      </c>
      <c r="AJ561" s="156">
        <f>S561*$AJ$3</f>
        <v>137.13480000000001</v>
      </c>
      <c r="AK561" s="156">
        <f>S561*$AK$3</f>
        <v>479.97180000000003</v>
      </c>
      <c r="AL561" s="157">
        <f t="shared" si="384"/>
        <v>2110.1617350000001</v>
      </c>
      <c r="AM561" s="158">
        <f t="shared" si="385"/>
        <v>2200</v>
      </c>
      <c r="AN561" s="159">
        <v>0.2</v>
      </c>
      <c r="AO561" s="160">
        <f t="shared" si="386"/>
        <v>56067766.899447598</v>
      </c>
      <c r="AP561" s="161">
        <f t="shared" si="387"/>
        <v>15574.380940241375</v>
      </c>
      <c r="AQ561" s="162">
        <f t="shared" si="388"/>
        <v>3114.8761880482753</v>
      </c>
      <c r="AR561" s="580">
        <f t="shared" si="389"/>
        <v>0.44447434190186574</v>
      </c>
      <c r="AS561" s="582">
        <f t="shared" si="390"/>
        <v>0.44447434190186574</v>
      </c>
      <c r="AT561" s="165"/>
      <c r="AU561" s="166"/>
      <c r="AV561" s="167"/>
      <c r="AW561" s="146"/>
      <c r="AX561" s="168"/>
    </row>
    <row r="562" spans="1:50" ht="11.25" x14ac:dyDescent="0.2">
      <c r="A562" s="357">
        <v>4</v>
      </c>
      <c r="B562" s="169" t="s">
        <v>574</v>
      </c>
      <c r="C562" s="300"/>
      <c r="D562" s="236"/>
      <c r="E562" s="236"/>
      <c r="F562" s="236"/>
      <c r="G562" s="236"/>
      <c r="H562" s="236"/>
      <c r="I562" s="236"/>
      <c r="J562" s="236"/>
      <c r="K562" s="236"/>
      <c r="L562" s="236">
        <v>70412</v>
      </c>
      <c r="M562" s="236">
        <v>70714</v>
      </c>
      <c r="N562" s="301">
        <v>71730</v>
      </c>
      <c r="O562" s="237">
        <v>72981</v>
      </c>
      <c r="P562" s="223">
        <f t="shared" si="380"/>
        <v>72981</v>
      </c>
      <c r="Q562" s="147">
        <f t="shared" si="381"/>
        <v>8027.91</v>
      </c>
      <c r="R562" s="147">
        <f t="shared" si="382"/>
        <v>21.994273972602738</v>
      </c>
      <c r="S562" s="148">
        <f t="shared" si="383"/>
        <v>4816.7459999999992</v>
      </c>
      <c r="T562" s="199"/>
      <c r="U562" s="150"/>
      <c r="V562" s="249"/>
      <c r="W562" s="249"/>
      <c r="X562" s="152"/>
      <c r="Y562" s="153"/>
      <c r="Z562" s="153"/>
      <c r="AA562" s="154"/>
      <c r="AB562" s="155">
        <f>S562*$AB$3</f>
        <v>2793.7126799999992</v>
      </c>
      <c r="AC562" s="156">
        <f>S562*$AC$3</f>
        <v>626.17697999999996</v>
      </c>
      <c r="AD562" s="156">
        <f>S562*$AD$3</f>
        <v>422.6694614999999</v>
      </c>
      <c r="AE562" s="156">
        <f>S562*$AE$3</f>
        <v>192.66983999999997</v>
      </c>
      <c r="AF562" s="156">
        <f>S562*$AF$3</f>
        <v>96.334919999999983</v>
      </c>
      <c r="AG562" s="156">
        <f>S562*$AG$3</f>
        <v>96.334919999999983</v>
      </c>
      <c r="AH562" s="156">
        <f>S562*$AH$3</f>
        <v>48.167459999999991</v>
      </c>
      <c r="AI562" s="156">
        <f>S562*$AI$3</f>
        <v>96.334919999999983</v>
      </c>
      <c r="AJ562" s="156">
        <f>S562*$AJ$3</f>
        <v>96.334919999999983</v>
      </c>
      <c r="AK562" s="156">
        <f>S562*$AK$3</f>
        <v>337.17221999999998</v>
      </c>
      <c r="AL562" s="157">
        <f t="shared" si="384"/>
        <v>1482.3535814999998</v>
      </c>
      <c r="AM562" s="158">
        <f t="shared" si="385"/>
        <v>2200</v>
      </c>
      <c r="AN562" s="159">
        <v>0.2</v>
      </c>
      <c r="AO562" s="160">
        <f t="shared" si="386"/>
        <v>39386675.292026028</v>
      </c>
      <c r="AP562" s="161">
        <f t="shared" si="387"/>
        <v>10940.744011933348</v>
      </c>
      <c r="AQ562" s="162">
        <f t="shared" si="388"/>
        <v>2188.1488023866696</v>
      </c>
      <c r="AR562" s="580">
        <f t="shared" si="389"/>
        <v>0.31223584508942204</v>
      </c>
      <c r="AS562" s="582">
        <f t="shared" si="390"/>
        <v>0.31223584508942204</v>
      </c>
      <c r="AT562" s="165"/>
      <c r="AU562" s="166"/>
      <c r="AV562" s="167"/>
      <c r="AW562" s="146"/>
      <c r="AX562" s="168"/>
    </row>
    <row r="563" spans="1:50" ht="11.25" x14ac:dyDescent="0.2">
      <c r="A563" s="357">
        <v>7</v>
      </c>
      <c r="B563" s="170" t="s">
        <v>575</v>
      </c>
      <c r="C563" s="300"/>
      <c r="D563" s="236"/>
      <c r="E563" s="236"/>
      <c r="F563" s="236"/>
      <c r="G563" s="236"/>
      <c r="H563" s="236"/>
      <c r="I563" s="236"/>
      <c r="J563" s="236"/>
      <c r="K563" s="236"/>
      <c r="L563" s="236">
        <v>94370</v>
      </c>
      <c r="M563" s="236">
        <v>105341</v>
      </c>
      <c r="N563" s="301">
        <v>107898</v>
      </c>
      <c r="O563" s="237">
        <v>109768</v>
      </c>
      <c r="P563" s="223">
        <f t="shared" si="380"/>
        <v>109768</v>
      </c>
      <c r="Q563" s="147">
        <f t="shared" si="381"/>
        <v>12074.48</v>
      </c>
      <c r="R563" s="147">
        <f t="shared" si="382"/>
        <v>33.080767123287671</v>
      </c>
      <c r="S563" s="148">
        <f t="shared" si="383"/>
        <v>7244.6879999999992</v>
      </c>
      <c r="T563" s="199"/>
      <c r="U563" s="150"/>
      <c r="V563" s="249"/>
      <c r="W563" s="249"/>
      <c r="X563" s="152"/>
      <c r="Y563" s="153"/>
      <c r="Z563" s="153"/>
      <c r="AA563" s="154"/>
      <c r="AB563" s="155">
        <f>S563*$AB$3</f>
        <v>4201.9190399999989</v>
      </c>
      <c r="AC563" s="156">
        <f>S563*$AC$3</f>
        <v>941.80943999999988</v>
      </c>
      <c r="AD563" s="156">
        <f>S563*$AD$3</f>
        <v>635.72137199999986</v>
      </c>
      <c r="AE563" s="156">
        <f>S563*$AE$3</f>
        <v>289.78751999999997</v>
      </c>
      <c r="AF563" s="156">
        <f>S563*$AF$3</f>
        <v>144.89375999999999</v>
      </c>
      <c r="AG563" s="156">
        <f>S563*$AG$3</f>
        <v>144.89375999999999</v>
      </c>
      <c r="AH563" s="156">
        <f>S563*$AH$3</f>
        <v>72.446879999999993</v>
      </c>
      <c r="AI563" s="156">
        <f>S563*$AI$3</f>
        <v>144.89375999999999</v>
      </c>
      <c r="AJ563" s="156">
        <f>S563*$AJ$3</f>
        <v>144.89375999999999</v>
      </c>
      <c r="AK563" s="156">
        <f>S563*$AK$3</f>
        <v>507.12815999999998</v>
      </c>
      <c r="AL563" s="157">
        <f t="shared" si="384"/>
        <v>2229.5527319999997</v>
      </c>
      <c r="AM563" s="158">
        <f t="shared" si="385"/>
        <v>2200</v>
      </c>
      <c r="AN563" s="159">
        <v>0.2</v>
      </c>
      <c r="AO563" s="160">
        <f t="shared" si="386"/>
        <v>59240029.23302111</v>
      </c>
      <c r="AP563" s="161">
        <f t="shared" si="387"/>
        <v>16455.564992284289</v>
      </c>
      <c r="AQ563" s="162">
        <f t="shared" si="388"/>
        <v>3291.1129984568579</v>
      </c>
      <c r="AR563" s="580">
        <f t="shared" si="389"/>
        <v>0.46962228859258814</v>
      </c>
      <c r="AS563" s="582">
        <f t="shared" si="390"/>
        <v>0.46962228859258814</v>
      </c>
      <c r="AT563" s="165"/>
      <c r="AU563" s="166"/>
      <c r="AV563" s="167"/>
      <c r="AW563" s="146"/>
      <c r="AX563" s="168"/>
    </row>
    <row r="564" spans="1:50" ht="11.25" x14ac:dyDescent="0.2">
      <c r="A564" s="357">
        <v>6</v>
      </c>
      <c r="B564" s="170" t="s">
        <v>576</v>
      </c>
      <c r="C564" s="300"/>
      <c r="D564" s="236"/>
      <c r="E564" s="236"/>
      <c r="F564" s="236"/>
      <c r="G564" s="236"/>
      <c r="H564" s="236"/>
      <c r="I564" s="236"/>
      <c r="J564" s="236"/>
      <c r="K564" s="236"/>
      <c r="L564" s="236">
        <v>105081</v>
      </c>
      <c r="M564" s="236">
        <v>96442</v>
      </c>
      <c r="N564" s="301">
        <v>98440</v>
      </c>
      <c r="O564" s="237">
        <v>100154</v>
      </c>
      <c r="P564" s="223">
        <f t="shared" si="380"/>
        <v>105081</v>
      </c>
      <c r="Q564" s="147">
        <f t="shared" si="381"/>
        <v>11558.91</v>
      </c>
      <c r="R564" s="147">
        <f t="shared" si="382"/>
        <v>31.668246575342465</v>
      </c>
      <c r="S564" s="148">
        <f t="shared" si="383"/>
        <v>6935.3459999999995</v>
      </c>
      <c r="T564" s="199"/>
      <c r="U564" s="150"/>
      <c r="V564" s="249"/>
      <c r="W564" s="249"/>
      <c r="X564" s="152"/>
      <c r="Y564" s="153"/>
      <c r="Z564" s="153"/>
      <c r="AA564" s="154"/>
      <c r="AB564" s="155">
        <f>S564*$AB$3</f>
        <v>4022.5006799999996</v>
      </c>
      <c r="AC564" s="156">
        <f>S564*$AC$3</f>
        <v>901.59497999999996</v>
      </c>
      <c r="AD564" s="156">
        <f>S564*$AD$3</f>
        <v>608.5766114999999</v>
      </c>
      <c r="AE564" s="156">
        <f>S564*$AE$3</f>
        <v>277.41383999999999</v>
      </c>
      <c r="AF564" s="156">
        <f>S564*$AF$3</f>
        <v>138.70692</v>
      </c>
      <c r="AG564" s="156">
        <f>S564*$AG$3</f>
        <v>138.70692</v>
      </c>
      <c r="AH564" s="156">
        <f>S564*$AH$3</f>
        <v>69.353459999999998</v>
      </c>
      <c r="AI564" s="156">
        <f>S564*$AI$3</f>
        <v>138.70692</v>
      </c>
      <c r="AJ564" s="156">
        <f>S564*$AJ$3</f>
        <v>138.70692</v>
      </c>
      <c r="AK564" s="156">
        <f>S564*$AK$3</f>
        <v>485.47422</v>
      </c>
      <c r="AL564" s="157">
        <f t="shared" si="384"/>
        <v>2134.3527314999997</v>
      </c>
      <c r="AM564" s="158">
        <f t="shared" si="385"/>
        <v>2200</v>
      </c>
      <c r="AN564" s="159">
        <v>0.2</v>
      </c>
      <c r="AO564" s="160">
        <f t="shared" si="386"/>
        <v>56710530.499190032</v>
      </c>
      <c r="AP564" s="161">
        <f t="shared" si="387"/>
        <v>15752.926398897909</v>
      </c>
      <c r="AQ564" s="162">
        <f t="shared" si="388"/>
        <v>3150.5852797795819</v>
      </c>
      <c r="AR564" s="580">
        <f t="shared" si="389"/>
        <v>0.44956981732014584</v>
      </c>
      <c r="AS564" s="582">
        <f t="shared" si="390"/>
        <v>0.44956981732014584</v>
      </c>
      <c r="AT564" s="165"/>
      <c r="AU564" s="166"/>
      <c r="AV564" s="167"/>
      <c r="AW564" s="146"/>
      <c r="AX564" s="168"/>
    </row>
    <row r="565" spans="1:50" ht="11.25" x14ac:dyDescent="0.2">
      <c r="A565" s="357">
        <v>11</v>
      </c>
      <c r="B565" s="170" t="s">
        <v>577</v>
      </c>
      <c r="C565" s="300"/>
      <c r="D565" s="236"/>
      <c r="E565" s="236"/>
      <c r="F565" s="236"/>
      <c r="G565" s="236"/>
      <c r="H565" s="236"/>
      <c r="I565" s="236"/>
      <c r="J565" s="236"/>
      <c r="K565" s="236"/>
      <c r="L565" s="236">
        <v>54404</v>
      </c>
      <c r="M565" s="236">
        <v>58082</v>
      </c>
      <c r="N565" s="301">
        <v>60444</v>
      </c>
      <c r="O565" s="237">
        <v>61503</v>
      </c>
      <c r="P565" s="223">
        <f t="shared" si="380"/>
        <v>61503</v>
      </c>
      <c r="Q565" s="147">
        <f t="shared" si="381"/>
        <v>6765.33</v>
      </c>
      <c r="R565" s="147">
        <f t="shared" si="382"/>
        <v>18.535150684931505</v>
      </c>
      <c r="S565" s="148">
        <f t="shared" si="383"/>
        <v>4059.1979999999994</v>
      </c>
      <c r="T565" s="199"/>
      <c r="U565" s="150"/>
      <c r="V565" s="249"/>
      <c r="W565" s="249"/>
      <c r="X565" s="152"/>
      <c r="Y565" s="153"/>
      <c r="Z565" s="153"/>
      <c r="AA565" s="154"/>
      <c r="AB565" s="155">
        <f>S565*$AB$3</f>
        <v>2354.3348399999995</v>
      </c>
      <c r="AC565" s="156">
        <f>S565*$AC$3</f>
        <v>527.69573999999989</v>
      </c>
      <c r="AD565" s="156">
        <f>S565*$AD$3</f>
        <v>356.19462449999992</v>
      </c>
      <c r="AE565" s="156">
        <f>S565*$AE$3</f>
        <v>162.36791999999997</v>
      </c>
      <c r="AF565" s="156">
        <f>S565*$AF$3</f>
        <v>81.183959999999985</v>
      </c>
      <c r="AG565" s="156">
        <f>S565*$AG$3</f>
        <v>81.183959999999985</v>
      </c>
      <c r="AH565" s="156">
        <f>S565*$AH$3</f>
        <v>40.591979999999992</v>
      </c>
      <c r="AI565" s="156">
        <f>S565*$AI$3</f>
        <v>81.183959999999985</v>
      </c>
      <c r="AJ565" s="156">
        <f>S565*$AJ$3</f>
        <v>81.183959999999985</v>
      </c>
      <c r="AK565" s="156">
        <f>S565*$AK$3</f>
        <v>284.14385999999996</v>
      </c>
      <c r="AL565" s="157">
        <f t="shared" si="384"/>
        <v>1249.2181844999998</v>
      </c>
      <c r="AM565" s="158">
        <f t="shared" si="385"/>
        <v>2200</v>
      </c>
      <c r="AN565" s="159">
        <v>0.2</v>
      </c>
      <c r="AO565" s="160">
        <f t="shared" si="386"/>
        <v>33192182.766548511</v>
      </c>
      <c r="AP565" s="161">
        <f t="shared" si="387"/>
        <v>9220.0515060897578</v>
      </c>
      <c r="AQ565" s="162">
        <f t="shared" si="388"/>
        <v>1844.0103012179516</v>
      </c>
      <c r="AR565" s="580">
        <f t="shared" si="389"/>
        <v>0.26312932380393145</v>
      </c>
      <c r="AS565" s="582">
        <f t="shared" si="390"/>
        <v>0.26312932380393145</v>
      </c>
      <c r="AT565" s="165"/>
      <c r="AU565" s="166"/>
      <c r="AV565" s="167"/>
      <c r="AW565" s="146"/>
      <c r="AX565" s="168"/>
    </row>
    <row r="566" spans="1:50" ht="11.25" x14ac:dyDescent="0.2">
      <c r="A566" s="357">
        <v>3</v>
      </c>
      <c r="B566" s="169" t="s">
        <v>578</v>
      </c>
      <c r="C566" s="300"/>
      <c r="D566" s="236"/>
      <c r="E566" s="236"/>
      <c r="F566" s="236"/>
      <c r="G566" s="236"/>
      <c r="H566" s="236"/>
      <c r="I566" s="236"/>
      <c r="J566" s="236"/>
      <c r="K566" s="236"/>
      <c r="L566" s="236">
        <v>81712</v>
      </c>
      <c r="M566" s="236">
        <v>84138</v>
      </c>
      <c r="N566" s="301">
        <v>86618</v>
      </c>
      <c r="O566" s="237">
        <v>88132</v>
      </c>
      <c r="P566" s="223">
        <f t="shared" si="380"/>
        <v>88132</v>
      </c>
      <c r="Q566" s="147">
        <f t="shared" si="381"/>
        <v>9694.52</v>
      </c>
      <c r="R566" s="147">
        <f t="shared" si="382"/>
        <v>26.560328767123288</v>
      </c>
      <c r="S566" s="148">
        <f t="shared" si="383"/>
        <v>5816.7120000000004</v>
      </c>
      <c r="T566" s="199"/>
      <c r="U566" s="150"/>
      <c r="V566" s="249"/>
      <c r="W566" s="249"/>
      <c r="X566" s="152"/>
      <c r="Y566" s="153"/>
      <c r="Z566" s="153"/>
      <c r="AA566" s="154"/>
      <c r="AB566" s="155">
        <f>S566*$AB$3</f>
        <v>3373.6929599999999</v>
      </c>
      <c r="AC566" s="156">
        <f>S566*$AC$3</f>
        <v>756.17256000000009</v>
      </c>
      <c r="AD566" s="156">
        <f>S566*$AD$3</f>
        <v>510.41647799999998</v>
      </c>
      <c r="AE566" s="156">
        <f>S566*$AE$3</f>
        <v>232.66848000000002</v>
      </c>
      <c r="AF566" s="156">
        <f>S566*$AF$3</f>
        <v>116.33424000000001</v>
      </c>
      <c r="AG566" s="156">
        <f>S566*$AG$3</f>
        <v>116.33424000000001</v>
      </c>
      <c r="AH566" s="156">
        <f>S566*$AH$3</f>
        <v>58.167120000000004</v>
      </c>
      <c r="AI566" s="156">
        <f>S566*$AI$3</f>
        <v>116.33424000000001</v>
      </c>
      <c r="AJ566" s="156">
        <f>S566*$AJ$3</f>
        <v>116.33424000000001</v>
      </c>
      <c r="AK566" s="156">
        <f>S566*$AK$3</f>
        <v>407.16984000000008</v>
      </c>
      <c r="AL566" s="157">
        <f t="shared" si="384"/>
        <v>1790.093118</v>
      </c>
      <c r="AM566" s="158">
        <f t="shared" si="385"/>
        <v>2200</v>
      </c>
      <c r="AN566" s="159">
        <v>0.2</v>
      </c>
      <c r="AO566" s="160">
        <f t="shared" si="386"/>
        <v>47563427.013014883</v>
      </c>
      <c r="AP566" s="161">
        <f t="shared" si="387"/>
        <v>13212.064116135845</v>
      </c>
      <c r="AQ566" s="162">
        <f t="shared" si="388"/>
        <v>2642.4128232271692</v>
      </c>
      <c r="AR566" s="580">
        <f t="shared" si="389"/>
        <v>0.37705662431894538</v>
      </c>
      <c r="AS566" s="582">
        <f t="shared" si="390"/>
        <v>0.37705662431894538</v>
      </c>
      <c r="AT566" s="165"/>
      <c r="AU566" s="166"/>
      <c r="AV566" s="167"/>
      <c r="AW566" s="146"/>
      <c r="AX566" s="168"/>
    </row>
    <row r="567" spans="1:50" s="263" customFormat="1" ht="11.25" x14ac:dyDescent="0.25">
      <c r="A567" s="225"/>
      <c r="B567" s="352" t="s">
        <v>579</v>
      </c>
      <c r="C567" s="240">
        <f t="shared" ref="C567:T567" si="391">SUM(C556:C566)</f>
        <v>0</v>
      </c>
      <c r="D567" s="240">
        <f t="shared" si="391"/>
        <v>0</v>
      </c>
      <c r="E567" s="240">
        <f t="shared" si="391"/>
        <v>0</v>
      </c>
      <c r="F567" s="240">
        <f t="shared" si="391"/>
        <v>0</v>
      </c>
      <c r="G567" s="240">
        <f t="shared" si="391"/>
        <v>0</v>
      </c>
      <c r="H567" s="240">
        <f t="shared" si="391"/>
        <v>0</v>
      </c>
      <c r="I567" s="240">
        <f t="shared" si="391"/>
        <v>0</v>
      </c>
      <c r="J567" s="240">
        <f t="shared" si="391"/>
        <v>0</v>
      </c>
      <c r="K567" s="240">
        <f t="shared" si="391"/>
        <v>0</v>
      </c>
      <c r="L567" s="240">
        <f t="shared" si="391"/>
        <v>1457070</v>
      </c>
      <c r="M567" s="240">
        <f t="shared" si="391"/>
        <v>1533506</v>
      </c>
      <c r="N567" s="240">
        <f t="shared" si="391"/>
        <v>1581279</v>
      </c>
      <c r="O567" s="240">
        <f t="shared" si="391"/>
        <v>1608786</v>
      </c>
      <c r="P567" s="240">
        <f t="shared" si="391"/>
        <v>1613713</v>
      </c>
      <c r="Q567" s="240">
        <f t="shared" si="391"/>
        <v>177508.43</v>
      </c>
      <c r="R567" s="240">
        <f t="shared" si="391"/>
        <v>486.3244657534247</v>
      </c>
      <c r="S567" s="240">
        <f t="shared" si="391"/>
        <v>106505.058</v>
      </c>
      <c r="T567" s="199">
        <f t="shared" si="391"/>
        <v>0</v>
      </c>
      <c r="U567" s="241"/>
      <c r="V567" s="242">
        <f>SUM(V556:V566)</f>
        <v>0</v>
      </c>
      <c r="W567" s="242">
        <f>SUM(W556:W566)</f>
        <v>0</v>
      </c>
      <c r="X567" s="242">
        <f>SUM(X556:X566)</f>
        <v>0</v>
      </c>
      <c r="Y567" s="199"/>
      <c r="Z567" s="199"/>
      <c r="AA567" s="243"/>
      <c r="AB567" s="240">
        <f t="shared" ref="AB567:AL567" si="392">SUM(AB556:AB566)</f>
        <v>61772.933639999988</v>
      </c>
      <c r="AC567" s="244">
        <f t="shared" si="392"/>
        <v>13845.65754</v>
      </c>
      <c r="AD567" s="244">
        <f t="shared" si="392"/>
        <v>9345.8188394999997</v>
      </c>
      <c r="AE567" s="244">
        <f t="shared" si="392"/>
        <v>4260.2023200000003</v>
      </c>
      <c r="AF567" s="244">
        <f t="shared" si="392"/>
        <v>2130.1011600000002</v>
      </c>
      <c r="AG567" s="244">
        <f t="shared" si="392"/>
        <v>2130.1011600000002</v>
      </c>
      <c r="AH567" s="244">
        <f t="shared" si="392"/>
        <v>1065.0505800000001</v>
      </c>
      <c r="AI567" s="244">
        <f t="shared" si="392"/>
        <v>2130.1011600000002</v>
      </c>
      <c r="AJ567" s="244">
        <f t="shared" si="392"/>
        <v>2130.1011600000002</v>
      </c>
      <c r="AK567" s="244">
        <f t="shared" si="392"/>
        <v>7455.3540600000024</v>
      </c>
      <c r="AL567" s="245">
        <f t="shared" si="392"/>
        <v>32776.9315995</v>
      </c>
      <c r="AM567" s="158"/>
      <c r="AN567" s="183"/>
      <c r="AO567" s="160">
        <f>SUM(AO556:AO566)</f>
        <v>870895026.72642493</v>
      </c>
      <c r="AP567" s="160">
        <f>SUM(AP556:AP566)</f>
        <v>241915.30455500749</v>
      </c>
      <c r="AQ567" s="160">
        <f>SUM(AQ556:AQ566)</f>
        <v>48383.060911001507</v>
      </c>
      <c r="AR567" s="186">
        <f>SUM(AR556:AR566)</f>
        <v>6.9039755866155108</v>
      </c>
      <c r="AS567" s="435">
        <f>SUM(AS556:AS566)</f>
        <v>6.9039755866155108</v>
      </c>
      <c r="AT567" s="187"/>
      <c r="AU567" s="246">
        <f>SUM(AU556:AU566)</f>
        <v>0</v>
      </c>
      <c r="AV567" s="246"/>
      <c r="AW567" s="185">
        <f>SUM(AW556:AW566)</f>
        <v>0</v>
      </c>
      <c r="AX567" s="189"/>
    </row>
    <row r="568" spans="1:50" s="139" customFormat="1" ht="11.25" x14ac:dyDescent="0.25">
      <c r="A568" s="247"/>
      <c r="B568" s="152"/>
      <c r="C568" s="247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248"/>
      <c r="P568" s="249"/>
      <c r="Q568" s="250"/>
      <c r="R568" s="250"/>
      <c r="S568" s="251"/>
      <c r="T568" s="199"/>
      <c r="U568" s="179"/>
      <c r="V568" s="249"/>
      <c r="W568" s="249"/>
      <c r="X568" s="152"/>
      <c r="Y568" s="153"/>
      <c r="Z568" s="153"/>
      <c r="AA568" s="154"/>
      <c r="AB568" s="247"/>
      <c r="AC568" s="252"/>
      <c r="AD568" s="252"/>
      <c r="AE568" s="252"/>
      <c r="AF568" s="252"/>
      <c r="AG568" s="252"/>
      <c r="AH568" s="252"/>
      <c r="AI568" s="252"/>
      <c r="AJ568" s="252"/>
      <c r="AK568" s="252"/>
      <c r="AL568" s="214"/>
      <c r="AM568" s="203"/>
      <c r="AN568" s="204"/>
      <c r="AO568" s="203"/>
      <c r="AP568" s="205"/>
      <c r="AQ568" s="206"/>
      <c r="AR568" s="253"/>
      <c r="AS568" s="254"/>
      <c r="AT568" s="255"/>
      <c r="AU568" s="256"/>
      <c r="AV568" s="257"/>
      <c r="AW568" s="214"/>
      <c r="AX568" s="212"/>
    </row>
    <row r="569" spans="1:50" s="139" customFormat="1" ht="11.25" x14ac:dyDescent="0.25">
      <c r="A569" s="126"/>
      <c r="B569" s="352" t="s">
        <v>580</v>
      </c>
      <c r="C569" s="122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213"/>
      <c r="P569" s="76"/>
      <c r="Q569" s="108"/>
      <c r="R569" s="108"/>
      <c r="S569" s="94"/>
      <c r="T569" s="199"/>
      <c r="U569" s="179"/>
      <c r="V569" s="180"/>
      <c r="W569" s="180"/>
      <c r="X569" s="214"/>
      <c r="Y569" s="181"/>
      <c r="Z569" s="181"/>
      <c r="AA569" s="182"/>
      <c r="AB569" s="62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125"/>
      <c r="AM569" s="75"/>
      <c r="AN569" s="216"/>
      <c r="AO569" s="75"/>
      <c r="AP569" s="51"/>
      <c r="AQ569" s="259"/>
      <c r="AR569" s="583"/>
      <c r="AS569" s="584"/>
      <c r="AT569" s="587"/>
      <c r="AU569" s="135"/>
      <c r="AV569" s="136"/>
      <c r="AW569" s="137"/>
      <c r="AX569" s="138"/>
    </row>
    <row r="570" spans="1:50" ht="11.25" x14ac:dyDescent="0.25">
      <c r="A570" s="140">
        <v>7</v>
      </c>
      <c r="B570" s="170" t="s">
        <v>581</v>
      </c>
      <c r="C570" s="235"/>
      <c r="D570" s="236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>
        <v>52697</v>
      </c>
      <c r="O570" s="237">
        <v>53968</v>
      </c>
      <c r="P570" s="223">
        <f t="shared" ref="P570:P578" si="393">MAX(C570:O570)</f>
        <v>53968</v>
      </c>
      <c r="Q570" s="147">
        <f t="shared" ref="Q570:Q578" si="394">P570*$Q$8</f>
        <v>5936.4800000000005</v>
      </c>
      <c r="R570" s="147">
        <f t="shared" ref="R570:R578" si="395">Q570/$R$3</f>
        <v>16.264328767123288</v>
      </c>
      <c r="S570" s="148">
        <f t="shared" ref="S570:S578" si="396">R570*$S$3*$S$8</f>
        <v>3561.8880000000004</v>
      </c>
      <c r="T570" s="199"/>
      <c r="U570" s="150"/>
      <c r="V570" s="249"/>
      <c r="W570" s="249"/>
      <c r="X570" s="152"/>
      <c r="Y570" s="153"/>
      <c r="Z570" s="153"/>
      <c r="AA570" s="154"/>
      <c r="AB570" s="155">
        <f>S570*$AB$3</f>
        <v>2065.8950399999999</v>
      </c>
      <c r="AC570" s="156">
        <f>S570*$AC$3</f>
        <v>463.04544000000004</v>
      </c>
      <c r="AD570" s="156">
        <f>S570*$AD$3</f>
        <v>312.55567200000002</v>
      </c>
      <c r="AE570" s="156">
        <f>S570*$AE$3</f>
        <v>142.47552000000002</v>
      </c>
      <c r="AF570" s="156">
        <f>S570*$AF$3</f>
        <v>71.237760000000009</v>
      </c>
      <c r="AG570" s="156">
        <f>S570*$AG$3</f>
        <v>71.237760000000009</v>
      </c>
      <c r="AH570" s="156">
        <f>S570*$AH$3</f>
        <v>35.618880000000004</v>
      </c>
      <c r="AI570" s="156">
        <f>S570*$AI$3</f>
        <v>71.237760000000009</v>
      </c>
      <c r="AJ570" s="156">
        <f>S570*$AJ$3</f>
        <v>71.237760000000009</v>
      </c>
      <c r="AK570" s="156">
        <f>S570*$AK$3</f>
        <v>249.33216000000004</v>
      </c>
      <c r="AL570" s="157">
        <f t="shared" ref="AL570:AL578" si="397">SUM(AC570:AH570)</f>
        <v>1096.171032</v>
      </c>
      <c r="AM570" s="158">
        <f t="shared" ref="AM570:AM578" si="398">$AM$3</f>
        <v>2200</v>
      </c>
      <c r="AN570" s="159">
        <v>0.2</v>
      </c>
      <c r="AO570" s="160">
        <f t="shared" ref="AO570:AO578" si="399">(AB570+AL570)*AM570*$AO$3</f>
        <v>29125664.106549118</v>
      </c>
      <c r="AP570" s="161">
        <f t="shared" ref="AP570:AP578" si="400">AO570*$AP$3</f>
        <v>8090.4628990561796</v>
      </c>
      <c r="AQ570" s="162">
        <f t="shared" ref="AQ570:AQ578" si="401">AP570*$AQ$3</f>
        <v>1618.092579811236</v>
      </c>
      <c r="AR570" s="580">
        <f t="shared" ref="AR570:AR578" si="402">AQ570/$AR$3</f>
        <v>0.2308922060232928</v>
      </c>
      <c r="AS570" s="582">
        <f t="shared" ref="AS570:AS578" si="403">AR570</f>
        <v>0.2308922060232928</v>
      </c>
      <c r="AT570" s="588"/>
      <c r="AU570" s="166"/>
      <c r="AV570" s="167"/>
      <c r="AW570" s="146"/>
      <c r="AX570" s="168"/>
    </row>
    <row r="571" spans="1:50" ht="11.25" x14ac:dyDescent="0.25">
      <c r="A571" s="140">
        <v>1</v>
      </c>
      <c r="B571" s="170" t="s">
        <v>582</v>
      </c>
      <c r="C571" s="235"/>
      <c r="D571" s="236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>
        <v>100424</v>
      </c>
      <c r="O571" s="237">
        <v>102845</v>
      </c>
      <c r="P571" s="223">
        <f t="shared" si="393"/>
        <v>102845</v>
      </c>
      <c r="Q571" s="147">
        <f t="shared" si="394"/>
        <v>11312.95</v>
      </c>
      <c r="R571" s="147">
        <f t="shared" si="395"/>
        <v>30.994383561643836</v>
      </c>
      <c r="S571" s="148">
        <f t="shared" si="396"/>
        <v>6787.77</v>
      </c>
      <c r="T571" s="199"/>
      <c r="U571" s="150"/>
      <c r="V571" s="249"/>
      <c r="W571" s="249"/>
      <c r="X571" s="152"/>
      <c r="Y571" s="153"/>
      <c r="Z571" s="153"/>
      <c r="AA571" s="154"/>
      <c r="AB571" s="155">
        <f>S571*$AB$3</f>
        <v>3936.9065999999998</v>
      </c>
      <c r="AC571" s="156">
        <f>S571*$AC$3</f>
        <v>882.41010000000006</v>
      </c>
      <c r="AD571" s="156">
        <f>S571*$AD$3</f>
        <v>595.62681750000002</v>
      </c>
      <c r="AE571" s="156">
        <f>S571*$AE$3</f>
        <v>271.51080000000002</v>
      </c>
      <c r="AF571" s="156">
        <f>S571*$AF$3</f>
        <v>135.75540000000001</v>
      </c>
      <c r="AG571" s="156">
        <f>S571*$AG$3</f>
        <v>135.75540000000001</v>
      </c>
      <c r="AH571" s="156">
        <f>S571*$AH$3</f>
        <v>67.877700000000004</v>
      </c>
      <c r="AI571" s="156">
        <f>S571*$AI$3</f>
        <v>135.75540000000001</v>
      </c>
      <c r="AJ571" s="156">
        <f>S571*$AJ$3</f>
        <v>135.75540000000001</v>
      </c>
      <c r="AK571" s="156">
        <f>S571*$AK$3</f>
        <v>475.14390000000009</v>
      </c>
      <c r="AL571" s="157">
        <f t="shared" si="397"/>
        <v>2088.9362175000001</v>
      </c>
      <c r="AM571" s="158">
        <f t="shared" si="398"/>
        <v>2200</v>
      </c>
      <c r="AN571" s="159">
        <v>0.2</v>
      </c>
      <c r="AO571" s="160">
        <f t="shared" si="399"/>
        <v>55503797.158279799</v>
      </c>
      <c r="AP571" s="161">
        <f t="shared" si="400"/>
        <v>15417.722666273214</v>
      </c>
      <c r="AQ571" s="162">
        <f t="shared" si="401"/>
        <v>3083.5445332546428</v>
      </c>
      <c r="AR571" s="580">
        <f t="shared" si="402"/>
        <v>0.44000350074980632</v>
      </c>
      <c r="AS571" s="582">
        <f t="shared" si="403"/>
        <v>0.44000350074980632</v>
      </c>
      <c r="AT571" s="588"/>
      <c r="AU571" s="166"/>
      <c r="AV571" s="167"/>
      <c r="AW571" s="146"/>
      <c r="AX571" s="168"/>
    </row>
    <row r="572" spans="1:50" ht="11.25" x14ac:dyDescent="0.25">
      <c r="A572" s="140">
        <v>3</v>
      </c>
      <c r="B572" s="170" t="s">
        <v>583</v>
      </c>
      <c r="C572" s="235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>
        <v>161847</v>
      </c>
      <c r="O572" s="237">
        <v>165749</v>
      </c>
      <c r="P572" s="223">
        <f t="shared" si="393"/>
        <v>165749</v>
      </c>
      <c r="Q572" s="147">
        <f t="shared" si="394"/>
        <v>18232.39</v>
      </c>
      <c r="R572" s="147">
        <f t="shared" si="395"/>
        <v>49.951753424657532</v>
      </c>
      <c r="S572" s="148">
        <f t="shared" si="396"/>
        <v>10939.433999999999</v>
      </c>
      <c r="T572" s="199"/>
      <c r="U572" s="150"/>
      <c r="V572" s="249"/>
      <c r="W572" s="249"/>
      <c r="X572" s="152"/>
      <c r="Y572" s="153"/>
      <c r="Z572" s="153"/>
      <c r="AA572" s="154"/>
      <c r="AB572" s="155">
        <f>S572*$AB$3</f>
        <v>6344.8717199999992</v>
      </c>
      <c r="AC572" s="156">
        <f>S572*$AC$3</f>
        <v>1422.1264200000001</v>
      </c>
      <c r="AD572" s="156">
        <f>S572*$AD$3</f>
        <v>959.93533349999984</v>
      </c>
      <c r="AE572" s="156">
        <f>S572*$AE$3</f>
        <v>437.57736</v>
      </c>
      <c r="AF572" s="156">
        <f>S572*$AF$3</f>
        <v>218.78868</v>
      </c>
      <c r="AG572" s="156">
        <f>S572*$AG$3</f>
        <v>218.78868</v>
      </c>
      <c r="AH572" s="156">
        <f>S572*$AH$3</f>
        <v>109.39434</v>
      </c>
      <c r="AI572" s="156">
        <f>S572*$AI$3</f>
        <v>218.78868</v>
      </c>
      <c r="AJ572" s="156">
        <f>S572*$AJ$3</f>
        <v>218.78868</v>
      </c>
      <c r="AK572" s="156">
        <f>S572*$AK$3</f>
        <v>765.76038000000005</v>
      </c>
      <c r="AL572" s="157">
        <f t="shared" si="397"/>
        <v>3366.6108135000004</v>
      </c>
      <c r="AM572" s="158">
        <f t="shared" si="398"/>
        <v>2200</v>
      </c>
      <c r="AN572" s="159">
        <v>0.2</v>
      </c>
      <c r="AO572" s="160">
        <f t="shared" si="399"/>
        <v>89452077.156767145</v>
      </c>
      <c r="AP572" s="161">
        <f t="shared" si="400"/>
        <v>24847.801198037032</v>
      </c>
      <c r="AQ572" s="162">
        <f t="shared" si="401"/>
        <v>4969.5602396074064</v>
      </c>
      <c r="AR572" s="580">
        <f t="shared" si="402"/>
        <v>0.70912674651932173</v>
      </c>
      <c r="AS572" s="582">
        <f t="shared" si="403"/>
        <v>0.70912674651932173</v>
      </c>
      <c r="AT572" s="588"/>
      <c r="AU572" s="166"/>
      <c r="AV572" s="167"/>
      <c r="AW572" s="146"/>
      <c r="AX572" s="168"/>
    </row>
    <row r="573" spans="1:50" ht="11.25" x14ac:dyDescent="0.25">
      <c r="A573" s="140">
        <v>6</v>
      </c>
      <c r="B573" s="170" t="s">
        <v>584</v>
      </c>
      <c r="C573" s="235"/>
      <c r="D573" s="236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>
        <v>73109</v>
      </c>
      <c r="O573" s="237">
        <v>74872</v>
      </c>
      <c r="P573" s="223">
        <f t="shared" si="393"/>
        <v>74872</v>
      </c>
      <c r="Q573" s="147">
        <f t="shared" si="394"/>
        <v>8235.92</v>
      </c>
      <c r="R573" s="147">
        <f t="shared" si="395"/>
        <v>22.564164383561643</v>
      </c>
      <c r="S573" s="148">
        <f t="shared" si="396"/>
        <v>4941.5519999999997</v>
      </c>
      <c r="T573" s="199"/>
      <c r="U573" s="150"/>
      <c r="V573" s="249"/>
      <c r="W573" s="249"/>
      <c r="X573" s="152"/>
      <c r="Y573" s="153"/>
      <c r="Z573" s="153"/>
      <c r="AA573" s="154"/>
      <c r="AB573" s="155">
        <f>S573*$AB$3</f>
        <v>2866.1001599999995</v>
      </c>
      <c r="AC573" s="156">
        <f>S573*$AC$3</f>
        <v>642.40175999999997</v>
      </c>
      <c r="AD573" s="156">
        <f>S573*$AD$3</f>
        <v>433.62118799999996</v>
      </c>
      <c r="AE573" s="156">
        <f>S573*$AE$3</f>
        <v>197.66208</v>
      </c>
      <c r="AF573" s="156">
        <f>S573*$AF$3</f>
        <v>98.831040000000002</v>
      </c>
      <c r="AG573" s="156">
        <f>S573*$AG$3</f>
        <v>98.831040000000002</v>
      </c>
      <c r="AH573" s="156">
        <f>S573*$AH$3</f>
        <v>49.415520000000001</v>
      </c>
      <c r="AI573" s="156">
        <f>S573*$AI$3</f>
        <v>98.831040000000002</v>
      </c>
      <c r="AJ573" s="156">
        <f>S573*$AJ$3</f>
        <v>98.831040000000002</v>
      </c>
      <c r="AK573" s="156">
        <f>S573*$AK$3</f>
        <v>345.90863999999999</v>
      </c>
      <c r="AL573" s="157">
        <f t="shared" si="397"/>
        <v>1520.7626279999999</v>
      </c>
      <c r="AM573" s="158">
        <f t="shared" si="398"/>
        <v>2200</v>
      </c>
      <c r="AN573" s="159">
        <v>0.2</v>
      </c>
      <c r="AO573" s="160">
        <f t="shared" si="399"/>
        <v>40407217.665756471</v>
      </c>
      <c r="AP573" s="161">
        <f t="shared" si="400"/>
        <v>11224.228027314968</v>
      </c>
      <c r="AQ573" s="162">
        <f t="shared" si="401"/>
        <v>2244.8456054629937</v>
      </c>
      <c r="AR573" s="580">
        <f t="shared" si="402"/>
        <v>0.3203261423320482</v>
      </c>
      <c r="AS573" s="582">
        <f t="shared" si="403"/>
        <v>0.3203261423320482</v>
      </c>
      <c r="AT573" s="588"/>
      <c r="AU573" s="166"/>
      <c r="AV573" s="167"/>
      <c r="AW573" s="146"/>
      <c r="AX573" s="168"/>
    </row>
    <row r="574" spans="1:50" ht="11.25" x14ac:dyDescent="0.25">
      <c r="A574" s="140">
        <v>2</v>
      </c>
      <c r="B574" s="170" t="s">
        <v>585</v>
      </c>
      <c r="C574" s="235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>
        <v>42815</v>
      </c>
      <c r="O574" s="237">
        <v>43847</v>
      </c>
      <c r="P574" s="223">
        <f t="shared" si="393"/>
        <v>43847</v>
      </c>
      <c r="Q574" s="147">
        <f t="shared" si="394"/>
        <v>4823.17</v>
      </c>
      <c r="R574" s="147">
        <f t="shared" si="395"/>
        <v>13.214164383561645</v>
      </c>
      <c r="S574" s="148">
        <f t="shared" si="396"/>
        <v>2893.902</v>
      </c>
      <c r="T574" s="199"/>
      <c r="U574" s="150"/>
      <c r="V574" s="249"/>
      <c r="W574" s="249"/>
      <c r="X574" s="152"/>
      <c r="Y574" s="153"/>
      <c r="Z574" s="153"/>
      <c r="AA574" s="154"/>
      <c r="AB574" s="155">
        <f>S574*$AB$3</f>
        <v>1678.46316</v>
      </c>
      <c r="AC574" s="156">
        <f>S574*$AC$3</f>
        <v>376.20726000000002</v>
      </c>
      <c r="AD574" s="156">
        <f>S574*$AD$3</f>
        <v>253.93990049999999</v>
      </c>
      <c r="AE574" s="156">
        <f>S574*$AE$3</f>
        <v>115.75608</v>
      </c>
      <c r="AF574" s="156">
        <f>S574*$AF$3</f>
        <v>57.878039999999999</v>
      </c>
      <c r="AG574" s="156">
        <f>S574*$AG$3</f>
        <v>57.878039999999999</v>
      </c>
      <c r="AH574" s="156">
        <f>S574*$AH$3</f>
        <v>28.939019999999999</v>
      </c>
      <c r="AI574" s="156">
        <f>S574*$AI$3</f>
        <v>57.878039999999999</v>
      </c>
      <c r="AJ574" s="156">
        <f>S574*$AJ$3</f>
        <v>57.878039999999999</v>
      </c>
      <c r="AK574" s="156">
        <f>S574*$AK$3</f>
        <v>202.57314000000002</v>
      </c>
      <c r="AL574" s="157">
        <f t="shared" si="397"/>
        <v>890.59834050000018</v>
      </c>
      <c r="AM574" s="158">
        <f t="shared" si="398"/>
        <v>2200</v>
      </c>
      <c r="AN574" s="159">
        <v>0.2</v>
      </c>
      <c r="AO574" s="160">
        <f t="shared" si="399"/>
        <v>23663522.71864548</v>
      </c>
      <c r="AP574" s="161">
        <f t="shared" si="400"/>
        <v>6573.2012810353599</v>
      </c>
      <c r="AQ574" s="162">
        <f t="shared" si="401"/>
        <v>1314.6402562070721</v>
      </c>
      <c r="AR574" s="580">
        <f t="shared" si="402"/>
        <v>0.18759136076014157</v>
      </c>
      <c r="AS574" s="582">
        <f t="shared" si="403"/>
        <v>0.18759136076014157</v>
      </c>
      <c r="AT574" s="588"/>
      <c r="AU574" s="166"/>
      <c r="AV574" s="167"/>
      <c r="AW574" s="146"/>
      <c r="AX574" s="168"/>
    </row>
    <row r="575" spans="1:50" ht="11.25" x14ac:dyDescent="0.25">
      <c r="A575" s="140">
        <v>4</v>
      </c>
      <c r="B575" s="170" t="s">
        <v>586</v>
      </c>
      <c r="C575" s="235"/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>
        <v>198911</v>
      </c>
      <c r="O575" s="237">
        <v>203707</v>
      </c>
      <c r="P575" s="223">
        <f t="shared" si="393"/>
        <v>203707</v>
      </c>
      <c r="Q575" s="147">
        <f t="shared" si="394"/>
        <v>22407.77</v>
      </c>
      <c r="R575" s="147">
        <f t="shared" si="395"/>
        <v>61.39115068493151</v>
      </c>
      <c r="S575" s="148">
        <f t="shared" si="396"/>
        <v>13444.662</v>
      </c>
      <c r="T575" s="199"/>
      <c r="U575" s="150"/>
      <c r="V575" s="249"/>
      <c r="W575" s="249"/>
      <c r="X575" s="152"/>
      <c r="Y575" s="153"/>
      <c r="Z575" s="153"/>
      <c r="AA575" s="154"/>
      <c r="AB575" s="155">
        <f>S575*$AB$3</f>
        <v>7797.9039599999996</v>
      </c>
      <c r="AC575" s="156">
        <f>S575*$AC$3</f>
        <v>1747.8060600000001</v>
      </c>
      <c r="AD575" s="156">
        <f>S575*$AD$3</f>
        <v>1179.7690904999999</v>
      </c>
      <c r="AE575" s="156">
        <f>S575*$AE$3</f>
        <v>537.78647999999998</v>
      </c>
      <c r="AF575" s="156">
        <f>S575*$AF$3</f>
        <v>268.89323999999999</v>
      </c>
      <c r="AG575" s="156">
        <f>S575*$AG$3</f>
        <v>268.89323999999999</v>
      </c>
      <c r="AH575" s="156">
        <f>S575*$AH$3</f>
        <v>134.44662</v>
      </c>
      <c r="AI575" s="156">
        <f>S575*$AI$3</f>
        <v>268.89323999999999</v>
      </c>
      <c r="AJ575" s="156">
        <f>S575*$AJ$3</f>
        <v>268.89323999999999</v>
      </c>
      <c r="AK575" s="156">
        <f>S575*$AK$3</f>
        <v>941.12634000000014</v>
      </c>
      <c r="AL575" s="157">
        <f t="shared" si="397"/>
        <v>4137.5947304999991</v>
      </c>
      <c r="AM575" s="158">
        <f t="shared" si="398"/>
        <v>2200</v>
      </c>
      <c r="AN575" s="159">
        <v>0.2</v>
      </c>
      <c r="AO575" s="160">
        <f t="shared" si="399"/>
        <v>109937401.01824786</v>
      </c>
      <c r="AP575" s="161">
        <f t="shared" si="400"/>
        <v>30538.169392566648</v>
      </c>
      <c r="AQ575" s="162">
        <f t="shared" si="401"/>
        <v>6107.6338785133303</v>
      </c>
      <c r="AR575" s="580">
        <f t="shared" si="402"/>
        <v>0.87152309910292958</v>
      </c>
      <c r="AS575" s="582">
        <f t="shared" si="403"/>
        <v>0.87152309910292958</v>
      </c>
      <c r="AT575" s="588"/>
      <c r="AU575" s="166"/>
      <c r="AV575" s="167"/>
      <c r="AW575" s="146"/>
      <c r="AX575" s="168"/>
    </row>
    <row r="576" spans="1:50" ht="11.25" x14ac:dyDescent="0.25">
      <c r="A576" s="140">
        <v>9</v>
      </c>
      <c r="B576" s="170" t="s">
        <v>587</v>
      </c>
      <c r="C576" s="235"/>
      <c r="D576" s="236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>
        <v>90055</v>
      </c>
      <c r="O576" s="237">
        <v>92226</v>
      </c>
      <c r="P576" s="223">
        <f t="shared" si="393"/>
        <v>92226</v>
      </c>
      <c r="Q576" s="147">
        <f t="shared" si="394"/>
        <v>10144.86</v>
      </c>
      <c r="R576" s="147">
        <f t="shared" si="395"/>
        <v>27.794136986301371</v>
      </c>
      <c r="S576" s="148">
        <f t="shared" si="396"/>
        <v>6086.9160000000002</v>
      </c>
      <c r="T576" s="199"/>
      <c r="U576" s="150"/>
      <c r="V576" s="249"/>
      <c r="W576" s="249"/>
      <c r="X576" s="152"/>
      <c r="Y576" s="153"/>
      <c r="Z576" s="153"/>
      <c r="AA576" s="154"/>
      <c r="AB576" s="155">
        <f>S576*$AB$3</f>
        <v>3530.4112799999998</v>
      </c>
      <c r="AC576" s="156">
        <f>S576*$AC$3</f>
        <v>791.29908</v>
      </c>
      <c r="AD576" s="156">
        <f>S576*$AD$3</f>
        <v>534.12687900000003</v>
      </c>
      <c r="AE576" s="156">
        <f>S576*$AE$3</f>
        <v>243.47664</v>
      </c>
      <c r="AF576" s="156">
        <f>S576*$AF$3</f>
        <v>121.73832</v>
      </c>
      <c r="AG576" s="156">
        <f>S576*$AG$3</f>
        <v>121.73832</v>
      </c>
      <c r="AH576" s="156">
        <f>S576*$AH$3</f>
        <v>60.869160000000001</v>
      </c>
      <c r="AI576" s="156">
        <f>S576*$AI$3</f>
        <v>121.73832</v>
      </c>
      <c r="AJ576" s="156">
        <f>S576*$AJ$3</f>
        <v>121.73832</v>
      </c>
      <c r="AK576" s="156">
        <f>S576*$AK$3</f>
        <v>426.08412000000004</v>
      </c>
      <c r="AL576" s="157">
        <f t="shared" si="397"/>
        <v>1873.2483990000001</v>
      </c>
      <c r="AM576" s="158">
        <f t="shared" si="398"/>
        <v>2200</v>
      </c>
      <c r="AN576" s="159">
        <v>0.2</v>
      </c>
      <c r="AO576" s="160">
        <f t="shared" si="399"/>
        <v>49772893.156881839</v>
      </c>
      <c r="AP576" s="161">
        <f t="shared" si="400"/>
        <v>13825.804760753692</v>
      </c>
      <c r="AQ576" s="162">
        <f t="shared" si="401"/>
        <v>2765.1609521507385</v>
      </c>
      <c r="AR576" s="580">
        <f t="shared" si="402"/>
        <v>0.39457205367447751</v>
      </c>
      <c r="AS576" s="582">
        <f t="shared" si="403"/>
        <v>0.39457205367447751</v>
      </c>
      <c r="AT576" s="588"/>
      <c r="AU576" s="166"/>
      <c r="AV576" s="167"/>
      <c r="AW576" s="146"/>
      <c r="AX576" s="168"/>
    </row>
    <row r="577" spans="1:50" ht="11.25" x14ac:dyDescent="0.25">
      <c r="A577" s="140">
        <v>8</v>
      </c>
      <c r="B577" s="170" t="s">
        <v>588</v>
      </c>
      <c r="C577" s="235"/>
      <c r="D577" s="236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>
        <v>185705</v>
      </c>
      <c r="O577" s="237">
        <v>190184</v>
      </c>
      <c r="P577" s="223">
        <f t="shared" si="393"/>
        <v>190184</v>
      </c>
      <c r="Q577" s="147">
        <f t="shared" si="394"/>
        <v>20920.240000000002</v>
      </c>
      <c r="R577" s="147">
        <f t="shared" si="395"/>
        <v>57.315726027397268</v>
      </c>
      <c r="S577" s="148">
        <f t="shared" si="396"/>
        <v>12552.144</v>
      </c>
      <c r="T577" s="199"/>
      <c r="U577" s="150"/>
      <c r="V577" s="249"/>
      <c r="W577" s="249"/>
      <c r="X577" s="152"/>
      <c r="Y577" s="153"/>
      <c r="Z577" s="153"/>
      <c r="AA577" s="154"/>
      <c r="AB577" s="155">
        <f>S577*$AB$3</f>
        <v>7280.24352</v>
      </c>
      <c r="AC577" s="156">
        <f>S577*$AC$3</f>
        <v>1631.77872</v>
      </c>
      <c r="AD577" s="156">
        <f>S577*$AD$3</f>
        <v>1101.450636</v>
      </c>
      <c r="AE577" s="156">
        <f>S577*$AE$3</f>
        <v>502.08575999999999</v>
      </c>
      <c r="AF577" s="156">
        <f>S577*$AF$3</f>
        <v>251.04288</v>
      </c>
      <c r="AG577" s="156">
        <f>S577*$AG$3</f>
        <v>251.04288</v>
      </c>
      <c r="AH577" s="156">
        <f>S577*$AH$3</f>
        <v>125.52144</v>
      </c>
      <c r="AI577" s="156">
        <f>S577*$AI$3</f>
        <v>251.04288</v>
      </c>
      <c r="AJ577" s="156">
        <f>S577*$AJ$3</f>
        <v>251.04288</v>
      </c>
      <c r="AK577" s="156">
        <f>S577*$AK$3</f>
        <v>878.65008000000012</v>
      </c>
      <c r="AL577" s="157">
        <f t="shared" si="397"/>
        <v>3862.9223159999997</v>
      </c>
      <c r="AM577" s="158">
        <f t="shared" si="398"/>
        <v>2200</v>
      </c>
      <c r="AN577" s="159">
        <v>0.2</v>
      </c>
      <c r="AO577" s="160">
        <f t="shared" si="399"/>
        <v>102639254.78876255</v>
      </c>
      <c r="AP577" s="161">
        <f t="shared" si="400"/>
        <v>28510.906388861928</v>
      </c>
      <c r="AQ577" s="162">
        <f t="shared" si="401"/>
        <v>5702.1812777723862</v>
      </c>
      <c r="AR577" s="580">
        <f t="shared" si="402"/>
        <v>0.81366741977345691</v>
      </c>
      <c r="AS577" s="582">
        <f t="shared" si="403"/>
        <v>0.81366741977345691</v>
      </c>
      <c r="AT577" s="588"/>
      <c r="AU577" s="166"/>
      <c r="AV577" s="167"/>
      <c r="AW577" s="146"/>
      <c r="AX577" s="168"/>
    </row>
    <row r="578" spans="1:50" ht="11.25" x14ac:dyDescent="0.25">
      <c r="A578" s="140">
        <v>5</v>
      </c>
      <c r="B578" s="170" t="s">
        <v>589</v>
      </c>
      <c r="C578" s="235"/>
      <c r="D578" s="236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>
        <v>132524</v>
      </c>
      <c r="O578" s="237">
        <v>135719</v>
      </c>
      <c r="P578" s="223">
        <f t="shared" si="393"/>
        <v>135719</v>
      </c>
      <c r="Q578" s="147">
        <f t="shared" si="394"/>
        <v>14929.09</v>
      </c>
      <c r="R578" s="147">
        <f t="shared" si="395"/>
        <v>40.901616438356164</v>
      </c>
      <c r="S578" s="148">
        <f t="shared" si="396"/>
        <v>8957.4539999999997</v>
      </c>
      <c r="T578" s="199"/>
      <c r="U578" s="150"/>
      <c r="V578" s="249"/>
      <c r="W578" s="249"/>
      <c r="X578" s="152"/>
      <c r="Y578" s="153"/>
      <c r="Z578" s="153"/>
      <c r="AA578" s="154"/>
      <c r="AB578" s="155">
        <f>S578*$AB$3</f>
        <v>5195.3233199999995</v>
      </c>
      <c r="AC578" s="156">
        <f>S578*$AC$3</f>
        <v>1164.46902</v>
      </c>
      <c r="AD578" s="156">
        <f>S578*$AD$3</f>
        <v>786.0165884999999</v>
      </c>
      <c r="AE578" s="156">
        <f>S578*$AE$3</f>
        <v>358.29816</v>
      </c>
      <c r="AF578" s="156">
        <f>S578*$AF$3</f>
        <v>179.14908</v>
      </c>
      <c r="AG578" s="156">
        <f>S578*$AG$3</f>
        <v>179.14908</v>
      </c>
      <c r="AH578" s="156">
        <f>S578*$AH$3</f>
        <v>89.574539999999999</v>
      </c>
      <c r="AI578" s="156">
        <f>S578*$AI$3</f>
        <v>179.14908</v>
      </c>
      <c r="AJ578" s="156">
        <f>S578*$AJ$3</f>
        <v>179.14908</v>
      </c>
      <c r="AK578" s="156">
        <f>S578*$AK$3</f>
        <v>627.02178000000004</v>
      </c>
      <c r="AL578" s="157">
        <f t="shared" si="397"/>
        <v>2756.6564685000003</v>
      </c>
      <c r="AM578" s="158">
        <f t="shared" si="398"/>
        <v>2200</v>
      </c>
      <c r="AN578" s="159">
        <v>0.2</v>
      </c>
      <c r="AO578" s="160">
        <f t="shared" si="399"/>
        <v>73245367.752681956</v>
      </c>
      <c r="AP578" s="161">
        <f t="shared" si="400"/>
        <v>20345.937114530938</v>
      </c>
      <c r="AQ578" s="162">
        <f t="shared" si="401"/>
        <v>4069.1874229061877</v>
      </c>
      <c r="AR578" s="580">
        <f t="shared" si="402"/>
        <v>0.58064889025487842</v>
      </c>
      <c r="AS578" s="582">
        <f t="shared" si="403"/>
        <v>0.58064889025487842</v>
      </c>
      <c r="AT578" s="588"/>
      <c r="AU578" s="166"/>
      <c r="AV578" s="167"/>
      <c r="AW578" s="146"/>
      <c r="AX578" s="168"/>
    </row>
    <row r="579" spans="1:50" s="263" customFormat="1" ht="11.25" x14ac:dyDescent="0.25">
      <c r="A579" s="225"/>
      <c r="B579" s="352" t="s">
        <v>590</v>
      </c>
      <c r="C579" s="240">
        <f>SUM(C570:C578)</f>
        <v>0</v>
      </c>
      <c r="D579" s="240">
        <f t="shared" ref="D579:S579" si="404">SUM(D570:D578)</f>
        <v>0</v>
      </c>
      <c r="E579" s="240">
        <f t="shared" si="404"/>
        <v>0</v>
      </c>
      <c r="F579" s="240">
        <f t="shared" si="404"/>
        <v>0</v>
      </c>
      <c r="G579" s="240">
        <f t="shared" si="404"/>
        <v>0</v>
      </c>
      <c r="H579" s="240">
        <f t="shared" si="404"/>
        <v>0</v>
      </c>
      <c r="I579" s="240">
        <f t="shared" si="404"/>
        <v>0</v>
      </c>
      <c r="J579" s="240">
        <f t="shared" si="404"/>
        <v>0</v>
      </c>
      <c r="K579" s="240">
        <f t="shared" si="404"/>
        <v>0</v>
      </c>
      <c r="L579" s="240">
        <f t="shared" si="404"/>
        <v>0</v>
      </c>
      <c r="M579" s="240">
        <f t="shared" si="404"/>
        <v>0</v>
      </c>
      <c r="N579" s="240">
        <f t="shared" si="404"/>
        <v>1038087</v>
      </c>
      <c r="O579" s="240">
        <f t="shared" si="404"/>
        <v>1063117</v>
      </c>
      <c r="P579" s="240">
        <f t="shared" si="404"/>
        <v>1063117</v>
      </c>
      <c r="Q579" s="240">
        <f t="shared" si="404"/>
        <v>116942.87</v>
      </c>
      <c r="R579" s="240">
        <f t="shared" si="404"/>
        <v>320.39142465753423</v>
      </c>
      <c r="S579" s="240">
        <f t="shared" si="404"/>
        <v>70165.721999999994</v>
      </c>
      <c r="T579" s="199"/>
      <c r="U579" s="179"/>
      <c r="V579" s="180"/>
      <c r="W579" s="180"/>
      <c r="X579" s="227"/>
      <c r="Y579" s="181"/>
      <c r="Z579" s="181"/>
      <c r="AA579" s="182"/>
      <c r="AB579" s="240">
        <f t="shared" ref="AB579:AL579" si="405">SUM(AB570:AB578)</f>
        <v>40696.118759999998</v>
      </c>
      <c r="AC579" s="240">
        <f t="shared" si="405"/>
        <v>9121.5438599999998</v>
      </c>
      <c r="AD579" s="240">
        <f t="shared" si="405"/>
        <v>6157.0421054999997</v>
      </c>
      <c r="AE579" s="240">
        <f t="shared" si="405"/>
        <v>2806.6288799999998</v>
      </c>
      <c r="AF579" s="240">
        <f t="shared" si="405"/>
        <v>1403.3144399999999</v>
      </c>
      <c r="AG579" s="240">
        <f t="shared" si="405"/>
        <v>1403.3144399999999</v>
      </c>
      <c r="AH579" s="240">
        <f t="shared" si="405"/>
        <v>701.65721999999994</v>
      </c>
      <c r="AI579" s="240">
        <f t="shared" si="405"/>
        <v>1403.3144399999999</v>
      </c>
      <c r="AJ579" s="240">
        <f t="shared" si="405"/>
        <v>1403.3144399999999</v>
      </c>
      <c r="AK579" s="240">
        <f t="shared" si="405"/>
        <v>4911.6005400000004</v>
      </c>
      <c r="AL579" s="240">
        <f t="shared" si="405"/>
        <v>21593.5009455</v>
      </c>
      <c r="AM579" s="261"/>
      <c r="AN579" s="262"/>
      <c r="AO579" s="240">
        <f t="shared" ref="AO579:AW579" si="406">SUM(AO570:AO578)</f>
        <v>573747195.52257228</v>
      </c>
      <c r="AP579" s="240">
        <f t="shared" si="406"/>
        <v>159374.23372842994</v>
      </c>
      <c r="AQ579" s="240">
        <f t="shared" si="406"/>
        <v>31874.846745685994</v>
      </c>
      <c r="AR579" s="593">
        <f t="shared" si="406"/>
        <v>4.5483514191903529</v>
      </c>
      <c r="AS579" s="244">
        <f t="shared" si="406"/>
        <v>4.5483514191903529</v>
      </c>
      <c r="AT579" s="594">
        <f t="shared" si="406"/>
        <v>0</v>
      </c>
      <c r="AU579" s="240">
        <f t="shared" si="406"/>
        <v>0</v>
      </c>
      <c r="AV579" s="240">
        <f t="shared" si="406"/>
        <v>0</v>
      </c>
      <c r="AW579" s="240">
        <f t="shared" si="406"/>
        <v>0</v>
      </c>
      <c r="AX579" s="189"/>
    </row>
    <row r="580" spans="1:50" s="139" customFormat="1" ht="11.25" x14ac:dyDescent="0.25">
      <c r="A580" s="247"/>
      <c r="B580" s="152"/>
      <c r="C580" s="247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248"/>
      <c r="P580" s="249"/>
      <c r="Q580" s="250"/>
      <c r="R580" s="250"/>
      <c r="S580" s="251"/>
      <c r="T580" s="199"/>
      <c r="U580" s="179"/>
      <c r="V580" s="249"/>
      <c r="W580" s="249"/>
      <c r="X580" s="152"/>
      <c r="Y580" s="153"/>
      <c r="Z580" s="153"/>
      <c r="AA580" s="154"/>
      <c r="AB580" s="247"/>
      <c r="AC580" s="252"/>
      <c r="AD580" s="252"/>
      <c r="AE580" s="252"/>
      <c r="AF580" s="252"/>
      <c r="AG580" s="252"/>
      <c r="AH580" s="252"/>
      <c r="AI580" s="252"/>
      <c r="AJ580" s="252"/>
      <c r="AK580" s="252"/>
      <c r="AL580" s="214"/>
      <c r="AM580" s="203"/>
      <c r="AN580" s="204"/>
      <c r="AO580" s="203"/>
      <c r="AP580" s="205"/>
      <c r="AQ580" s="206"/>
      <c r="AR580" s="253"/>
      <c r="AS580" s="254"/>
      <c r="AT580" s="255"/>
      <c r="AU580" s="256"/>
      <c r="AV580" s="257"/>
      <c r="AW580" s="214"/>
      <c r="AX580" s="212"/>
    </row>
    <row r="581" spans="1:50" s="289" customFormat="1" ht="15.75" x14ac:dyDescent="0.25">
      <c r="A581" s="272"/>
      <c r="B581" s="356" t="s">
        <v>579</v>
      </c>
      <c r="C581" s="272">
        <f t="shared" ref="C581:S581" si="407">C567+C579</f>
        <v>0</v>
      </c>
      <c r="D581" s="272">
        <f t="shared" si="407"/>
        <v>0</v>
      </c>
      <c r="E581" s="272">
        <f t="shared" si="407"/>
        <v>0</v>
      </c>
      <c r="F581" s="272">
        <f t="shared" si="407"/>
        <v>0</v>
      </c>
      <c r="G581" s="272">
        <f t="shared" si="407"/>
        <v>0</v>
      </c>
      <c r="H581" s="272">
        <f t="shared" si="407"/>
        <v>0</v>
      </c>
      <c r="I581" s="272">
        <f t="shared" si="407"/>
        <v>0</v>
      </c>
      <c r="J581" s="272">
        <f t="shared" si="407"/>
        <v>0</v>
      </c>
      <c r="K581" s="272">
        <f t="shared" si="407"/>
        <v>0</v>
      </c>
      <c r="L581" s="272">
        <f t="shared" si="407"/>
        <v>1457070</v>
      </c>
      <c r="M581" s="272">
        <f t="shared" si="407"/>
        <v>1533506</v>
      </c>
      <c r="N581" s="272">
        <f t="shared" si="407"/>
        <v>2619366</v>
      </c>
      <c r="O581" s="272">
        <f t="shared" si="407"/>
        <v>2671903</v>
      </c>
      <c r="P581" s="272">
        <f t="shared" si="407"/>
        <v>2676830</v>
      </c>
      <c r="Q581" s="272">
        <f t="shared" si="407"/>
        <v>294451.3</v>
      </c>
      <c r="R581" s="272">
        <f t="shared" si="407"/>
        <v>806.71589041095899</v>
      </c>
      <c r="S581" s="272">
        <f t="shared" si="407"/>
        <v>176670.78</v>
      </c>
      <c r="T581" s="276"/>
      <c r="U581" s="277"/>
      <c r="V581" s="278"/>
      <c r="W581" s="278"/>
      <c r="X581" s="279"/>
      <c r="Y581" s="280"/>
      <c r="Z581" s="280"/>
      <c r="AA581" s="281"/>
      <c r="AB581" s="272">
        <f t="shared" ref="AB581:AL581" si="408">AB567+AB579</f>
        <v>102469.05239999999</v>
      </c>
      <c r="AC581" s="272">
        <f t="shared" si="408"/>
        <v>22967.201399999998</v>
      </c>
      <c r="AD581" s="272">
        <f t="shared" si="408"/>
        <v>15502.860945</v>
      </c>
      <c r="AE581" s="272">
        <f t="shared" si="408"/>
        <v>7066.8312000000005</v>
      </c>
      <c r="AF581" s="272">
        <f t="shared" si="408"/>
        <v>3533.4156000000003</v>
      </c>
      <c r="AG581" s="272">
        <f t="shared" si="408"/>
        <v>3533.4156000000003</v>
      </c>
      <c r="AH581" s="272">
        <f t="shared" si="408"/>
        <v>1766.7078000000001</v>
      </c>
      <c r="AI581" s="272">
        <f t="shared" si="408"/>
        <v>3533.4156000000003</v>
      </c>
      <c r="AJ581" s="272">
        <f t="shared" si="408"/>
        <v>3533.4156000000003</v>
      </c>
      <c r="AK581" s="272">
        <f t="shared" si="408"/>
        <v>12366.954600000003</v>
      </c>
      <c r="AL581" s="272">
        <f t="shared" si="408"/>
        <v>54370.432545000003</v>
      </c>
      <c r="AM581" s="284"/>
      <c r="AN581" s="285"/>
      <c r="AO581" s="272">
        <f t="shared" ref="AO581:AU581" si="409">AO567+AO579</f>
        <v>1444642222.2489972</v>
      </c>
      <c r="AP581" s="272">
        <f t="shared" si="409"/>
        <v>401289.53828343743</v>
      </c>
      <c r="AQ581" s="272">
        <f t="shared" si="409"/>
        <v>80257.907656687501</v>
      </c>
      <c r="AR581" s="272">
        <f t="shared" si="409"/>
        <v>11.452327005805863</v>
      </c>
      <c r="AS581" s="272">
        <f t="shared" si="409"/>
        <v>11.452327005805863</v>
      </c>
      <c r="AT581" s="272">
        <f t="shared" si="409"/>
        <v>0</v>
      </c>
      <c r="AU581" s="272">
        <f t="shared" si="409"/>
        <v>0</v>
      </c>
      <c r="AV581" s="272"/>
      <c r="AW581" s="272">
        <f>AW567+AW579</f>
        <v>0</v>
      </c>
      <c r="AX581" s="288"/>
    </row>
    <row r="582" spans="1:50" s="139" customFormat="1" ht="11.25" x14ac:dyDescent="0.25">
      <c r="P582" s="310"/>
      <c r="Q582" s="310"/>
      <c r="R582" s="310"/>
      <c r="S582" s="310"/>
      <c r="T582" s="311"/>
      <c r="U582" s="312"/>
      <c r="V582" s="310"/>
      <c r="W582" s="310"/>
      <c r="Y582" s="86"/>
      <c r="Z582" s="86"/>
      <c r="AA582" s="313"/>
      <c r="AC582" s="314"/>
      <c r="AD582" s="314"/>
      <c r="AE582" s="314"/>
      <c r="AF582" s="314"/>
      <c r="AG582" s="314"/>
      <c r="AH582" s="314"/>
      <c r="AI582" s="314"/>
      <c r="AJ582" s="314"/>
      <c r="AK582" s="314"/>
      <c r="AL582" s="315"/>
      <c r="AM582" s="310"/>
      <c r="AN582" s="316"/>
      <c r="AO582" s="310"/>
      <c r="AP582" s="317"/>
      <c r="AQ582" s="317"/>
      <c r="AR582" s="318"/>
      <c r="AS582" s="318"/>
      <c r="AT582" s="319"/>
      <c r="AU582" s="310"/>
      <c r="AV582" s="310"/>
      <c r="AW582" s="310"/>
      <c r="AX582" s="310"/>
    </row>
    <row r="583" spans="1:50" s="139" customFormat="1" ht="11.25" x14ac:dyDescent="0.25">
      <c r="P583" s="310"/>
      <c r="Q583" s="310"/>
      <c r="R583" s="310"/>
      <c r="S583" s="310"/>
      <c r="T583" s="311"/>
      <c r="U583" s="312"/>
      <c r="V583" s="310"/>
      <c r="W583" s="310"/>
      <c r="Y583" s="86"/>
      <c r="Z583" s="86"/>
      <c r="AA583" s="313"/>
      <c r="AC583" s="314"/>
      <c r="AD583" s="314"/>
      <c r="AE583" s="314"/>
      <c r="AF583" s="314"/>
      <c r="AG583" s="314"/>
      <c r="AH583" s="314"/>
      <c r="AI583" s="314"/>
      <c r="AJ583" s="314"/>
      <c r="AK583" s="314"/>
      <c r="AL583" s="315"/>
      <c r="AM583" s="310"/>
      <c r="AN583" s="316"/>
      <c r="AO583" s="310"/>
      <c r="AP583" s="317"/>
      <c r="AQ583" s="317"/>
      <c r="AR583" s="318"/>
      <c r="AS583" s="318"/>
      <c r="AT583" s="319"/>
      <c r="AU583" s="310"/>
      <c r="AV583" s="310"/>
      <c r="AW583" s="310"/>
      <c r="AX583" s="310"/>
    </row>
    <row r="584" spans="1:50" s="290" customFormat="1" ht="18.75" x14ac:dyDescent="0.25">
      <c r="A584" s="291" t="s">
        <v>591</v>
      </c>
      <c r="B584" s="292"/>
      <c r="C584" s="293"/>
      <c r="D584" s="292"/>
      <c r="E584" s="292"/>
      <c r="F584" s="292"/>
      <c r="G584" s="292"/>
      <c r="H584" s="292"/>
      <c r="I584" s="292"/>
      <c r="J584" s="292"/>
      <c r="K584" s="292"/>
      <c r="L584" s="292"/>
      <c r="M584" s="292"/>
      <c r="N584" s="292"/>
      <c r="O584" s="292"/>
      <c r="P584" s="292"/>
      <c r="Q584" s="292"/>
      <c r="R584" s="294"/>
      <c r="S584" s="292"/>
      <c r="T584" s="292"/>
      <c r="U584" s="292"/>
      <c r="V584" s="292"/>
      <c r="W584" s="292"/>
      <c r="X584" s="292"/>
      <c r="Y584" s="295"/>
      <c r="Z584" s="296"/>
      <c r="AA584" s="116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297"/>
      <c r="AN584" s="292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</row>
    <row r="585" spans="1:50" s="139" customFormat="1" ht="11.25" x14ac:dyDescent="0.25">
      <c r="A585" s="126"/>
      <c r="B585" s="352" t="s">
        <v>592</v>
      </c>
      <c r="C585" s="122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213"/>
      <c r="P585" s="76"/>
      <c r="Q585" s="108"/>
      <c r="R585" s="108"/>
      <c r="S585" s="94"/>
      <c r="T585" s="199"/>
      <c r="U585" s="179"/>
      <c r="V585" s="180"/>
      <c r="W585" s="180"/>
      <c r="X585" s="214"/>
      <c r="Y585" s="181"/>
      <c r="Z585" s="181"/>
      <c r="AA585" s="182"/>
      <c r="AB585" s="62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125"/>
      <c r="AM585" s="75"/>
      <c r="AN585" s="216"/>
      <c r="AO585" s="75"/>
      <c r="AP585" s="51"/>
      <c r="AQ585" s="259"/>
      <c r="AR585" s="583"/>
      <c r="AS585" s="584"/>
      <c r="AT585" s="220"/>
      <c r="AU585" s="135"/>
      <c r="AV585" s="136"/>
      <c r="AW585" s="137"/>
      <c r="AX585" s="138"/>
    </row>
    <row r="586" spans="1:50" ht="11.25" x14ac:dyDescent="0.2">
      <c r="A586" s="357">
        <v>1</v>
      </c>
      <c r="B586" s="361" t="s">
        <v>593</v>
      </c>
      <c r="C586" s="300"/>
      <c r="D586" s="236"/>
      <c r="E586" s="236"/>
      <c r="F586" s="236"/>
      <c r="G586" s="236"/>
      <c r="H586" s="236"/>
      <c r="I586" s="236"/>
      <c r="J586" s="236"/>
      <c r="K586" s="236"/>
      <c r="L586" s="236"/>
      <c r="M586" s="236"/>
      <c r="N586" s="301">
        <v>68503</v>
      </c>
      <c r="O586" s="237"/>
      <c r="P586" s="223">
        <f t="shared" ref="P586:P598" si="410">MAX(C586:O586)</f>
        <v>68503</v>
      </c>
      <c r="Q586" s="147">
        <f t="shared" ref="Q586:Q598" si="411">P586*$Q$8</f>
        <v>7535.33</v>
      </c>
      <c r="R586" s="147">
        <f t="shared" ref="R586:R598" si="412">Q586/$R$3</f>
        <v>20.644739726027396</v>
      </c>
      <c r="S586" s="148">
        <f t="shared" ref="S586:S598" si="413">R586*$S$3*$S$8</f>
        <v>4521.1979999999994</v>
      </c>
      <c r="T586" s="199"/>
      <c r="U586" s="150"/>
      <c r="V586" s="249"/>
      <c r="W586" s="249"/>
      <c r="X586" s="152"/>
      <c r="Y586" s="153"/>
      <c r="Z586" s="153"/>
      <c r="AA586" s="154"/>
      <c r="AB586" s="155">
        <f>S586*$AB$3</f>
        <v>2622.2948399999996</v>
      </c>
      <c r="AC586" s="156">
        <f>S586*$AC$3</f>
        <v>587.75573999999995</v>
      </c>
      <c r="AD586" s="156">
        <f>S586*$AD$3</f>
        <v>396.73512449999993</v>
      </c>
      <c r="AE586" s="156">
        <f>S586*$AE$3</f>
        <v>180.84791999999999</v>
      </c>
      <c r="AF586" s="156">
        <f>S586*$AF$3</f>
        <v>90.423959999999994</v>
      </c>
      <c r="AG586" s="156">
        <f>S586*$AG$3</f>
        <v>90.423959999999994</v>
      </c>
      <c r="AH586" s="156">
        <f>S586*$AH$3</f>
        <v>45.211979999999997</v>
      </c>
      <c r="AI586" s="156">
        <f>S586*$AI$3</f>
        <v>90.423959999999994</v>
      </c>
      <c r="AJ586" s="156">
        <f>S586*$AJ$3</f>
        <v>90.423959999999994</v>
      </c>
      <c r="AK586" s="156">
        <f>S586*$AK$3</f>
        <v>316.48385999999999</v>
      </c>
      <c r="AL586" s="157">
        <f t="shared" ref="AL586:AL598" si="414">SUM(AC586:AH586)</f>
        <v>1391.3986844999999</v>
      </c>
      <c r="AM586" s="158">
        <f>$AM$3</f>
        <v>2200</v>
      </c>
      <c r="AN586" s="159">
        <v>0.2</v>
      </c>
      <c r="AO586" s="160">
        <f t="shared" ref="AO586:AO598" si="415">(AB586+AL586)*AM586*$AO$3</f>
        <v>36969970.506428517</v>
      </c>
      <c r="AP586" s="161">
        <f>AO586*$AP$3</f>
        <v>10269.437073340599</v>
      </c>
      <c r="AQ586" s="162">
        <f>AP586*$AQ$3</f>
        <v>2053.8874146681201</v>
      </c>
      <c r="AR586" s="580">
        <f>AQ586/$AR$3</f>
        <v>0.29307754204739156</v>
      </c>
      <c r="AS586" s="582">
        <f>AR586</f>
        <v>0.29307754204739156</v>
      </c>
      <c r="AT586" s="165"/>
      <c r="AU586" s="166"/>
      <c r="AV586" s="167"/>
      <c r="AW586" s="146"/>
      <c r="AX586" s="168"/>
    </row>
    <row r="587" spans="1:50" ht="11.25" x14ac:dyDescent="0.2">
      <c r="A587" s="357">
        <v>2</v>
      </c>
      <c r="B587" s="361" t="s">
        <v>594</v>
      </c>
      <c r="C587" s="300"/>
      <c r="D587" s="236"/>
      <c r="E587" s="236"/>
      <c r="F587" s="236"/>
      <c r="G587" s="236"/>
      <c r="H587" s="236"/>
      <c r="I587" s="236"/>
      <c r="J587" s="236"/>
      <c r="K587" s="236"/>
      <c r="L587" s="236"/>
      <c r="M587" s="236"/>
      <c r="N587" s="301">
        <v>48251</v>
      </c>
      <c r="O587" s="237"/>
      <c r="P587" s="223">
        <f t="shared" si="410"/>
        <v>48251</v>
      </c>
      <c r="Q587" s="147">
        <f t="shared" si="411"/>
        <v>5307.61</v>
      </c>
      <c r="R587" s="147">
        <f t="shared" si="412"/>
        <v>14.541397260273971</v>
      </c>
      <c r="S587" s="148">
        <f t="shared" si="413"/>
        <v>3184.5659999999998</v>
      </c>
      <c r="T587" s="199"/>
      <c r="U587" s="150"/>
      <c r="V587" s="249"/>
      <c r="W587" s="249"/>
      <c r="X587" s="152"/>
      <c r="Y587" s="153"/>
      <c r="Z587" s="153"/>
      <c r="AA587" s="154"/>
      <c r="AB587" s="155">
        <f>S587*$AB$3</f>
        <v>1847.0482799999997</v>
      </c>
      <c r="AC587" s="156">
        <f>S587*$AC$3</f>
        <v>413.99358000000001</v>
      </c>
      <c r="AD587" s="156">
        <f>S587*$AD$3</f>
        <v>279.44566649999996</v>
      </c>
      <c r="AE587" s="156">
        <f>S587*$AE$3</f>
        <v>127.38263999999999</v>
      </c>
      <c r="AF587" s="156">
        <f>S587*$AF$3</f>
        <v>63.691319999999997</v>
      </c>
      <c r="AG587" s="156">
        <f>S587*$AG$3</f>
        <v>63.691319999999997</v>
      </c>
      <c r="AH587" s="156">
        <f>S587*$AH$3</f>
        <v>31.845659999999999</v>
      </c>
      <c r="AI587" s="156">
        <f>S587*$AI$3</f>
        <v>63.691319999999997</v>
      </c>
      <c r="AJ587" s="156">
        <f>S587*$AJ$3</f>
        <v>63.691319999999997</v>
      </c>
      <c r="AK587" s="156">
        <f>S587*$AK$3</f>
        <v>222.91962000000001</v>
      </c>
      <c r="AL587" s="157">
        <f t="shared" si="414"/>
        <v>980.0501865</v>
      </c>
      <c r="AM587" s="158">
        <f>$AM$3</f>
        <v>2200</v>
      </c>
      <c r="AN587" s="159">
        <v>0.2</v>
      </c>
      <c r="AO587" s="160">
        <f t="shared" si="415"/>
        <v>26040290.890992839</v>
      </c>
      <c r="AP587" s="161">
        <f>AO587*$AP$3</f>
        <v>7233.4147150600302</v>
      </c>
      <c r="AQ587" s="162">
        <f>AP587*$AQ$3</f>
        <v>1446.682943012006</v>
      </c>
      <c r="AR587" s="580">
        <f>AQ587/$AR$3</f>
        <v>0.20643306835216982</v>
      </c>
      <c r="AS587" s="582">
        <f>AR587</f>
        <v>0.20643306835216982</v>
      </c>
      <c r="AT587" s="165"/>
      <c r="AU587" s="166"/>
      <c r="AV587" s="167"/>
      <c r="AW587" s="146"/>
      <c r="AX587" s="168"/>
    </row>
    <row r="588" spans="1:50" ht="11.25" x14ac:dyDescent="0.2">
      <c r="A588" s="357">
        <v>3</v>
      </c>
      <c r="B588" s="361" t="s">
        <v>595</v>
      </c>
      <c r="C588" s="300"/>
      <c r="D588" s="236"/>
      <c r="E588" s="236"/>
      <c r="F588" s="236"/>
      <c r="G588" s="236"/>
      <c r="H588" s="236"/>
      <c r="I588" s="236"/>
      <c r="J588" s="236"/>
      <c r="K588" s="236"/>
      <c r="L588" s="236"/>
      <c r="M588" s="236"/>
      <c r="N588" s="301">
        <v>27233</v>
      </c>
      <c r="O588" s="237"/>
      <c r="P588" s="223">
        <f t="shared" si="410"/>
        <v>27233</v>
      </c>
      <c r="Q588" s="147">
        <f t="shared" si="411"/>
        <v>2995.63</v>
      </c>
      <c r="R588" s="147">
        <f t="shared" si="412"/>
        <v>8.207205479452055</v>
      </c>
      <c r="S588" s="148">
        <f t="shared" si="413"/>
        <v>1797.3779999999999</v>
      </c>
      <c r="T588" s="199"/>
      <c r="U588" s="150"/>
      <c r="V588" s="249"/>
      <c r="W588" s="249"/>
      <c r="X588" s="152"/>
      <c r="Y588" s="153"/>
      <c r="Z588" s="153"/>
      <c r="AA588" s="154"/>
      <c r="AB588" s="155">
        <f>S588*$AB$3</f>
        <v>1042.4792399999999</v>
      </c>
      <c r="AC588" s="156">
        <f>S588*$AC$3</f>
        <v>233.65914000000001</v>
      </c>
      <c r="AD588" s="156">
        <f>S588*$AD$3</f>
        <v>157.71991949999997</v>
      </c>
      <c r="AE588" s="156">
        <f>S588*$AE$3</f>
        <v>71.895120000000006</v>
      </c>
      <c r="AF588" s="156">
        <f>S588*$AF$3</f>
        <v>35.947560000000003</v>
      </c>
      <c r="AG588" s="156">
        <f>S588*$AG$3</f>
        <v>35.947560000000003</v>
      </c>
      <c r="AH588" s="156">
        <f>S588*$AH$3</f>
        <v>17.973780000000001</v>
      </c>
      <c r="AI588" s="156">
        <f>S588*$AI$3</f>
        <v>35.947560000000003</v>
      </c>
      <c r="AJ588" s="156">
        <f>S588*$AJ$3</f>
        <v>35.947560000000003</v>
      </c>
      <c r="AK588" s="156">
        <f>S588*$AK$3</f>
        <v>125.81646000000001</v>
      </c>
      <c r="AL588" s="157">
        <f t="shared" si="414"/>
        <v>553.1430795</v>
      </c>
      <c r="AM588" s="158">
        <f>$AM$3</f>
        <v>2200</v>
      </c>
      <c r="AN588" s="159">
        <v>0.2</v>
      </c>
      <c r="AO588" s="160">
        <f t="shared" si="415"/>
        <v>14697213.360021716</v>
      </c>
      <c r="AP588" s="161">
        <f>AO588*$AP$3</f>
        <v>4082.5595932774399</v>
      </c>
      <c r="AQ588" s="162">
        <f>AP588*$AQ$3</f>
        <v>816.51191865548799</v>
      </c>
      <c r="AR588" s="580">
        <f>AQ588/$AR$3</f>
        <v>0.11651140391773517</v>
      </c>
      <c r="AS588" s="582">
        <f>AR588</f>
        <v>0.11651140391773517</v>
      </c>
      <c r="AT588" s="165"/>
      <c r="AU588" s="166"/>
      <c r="AV588" s="167"/>
      <c r="AW588" s="146"/>
      <c r="AX588" s="168"/>
    </row>
    <row r="589" spans="1:50" ht="11.25" x14ac:dyDescent="0.2">
      <c r="A589" s="357">
        <v>4</v>
      </c>
      <c r="B589" s="361" t="s">
        <v>596</v>
      </c>
      <c r="C589" s="300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301">
        <v>54194</v>
      </c>
      <c r="O589" s="237"/>
      <c r="P589" s="223">
        <f t="shared" si="410"/>
        <v>54194</v>
      </c>
      <c r="Q589" s="147">
        <f t="shared" si="411"/>
        <v>5961.34</v>
      </c>
      <c r="R589" s="147">
        <f t="shared" si="412"/>
        <v>16.332438356164385</v>
      </c>
      <c r="S589" s="148">
        <f t="shared" si="413"/>
        <v>3576.8040000000001</v>
      </c>
      <c r="T589" s="199"/>
      <c r="U589" s="150"/>
      <c r="V589" s="249"/>
      <c r="W589" s="249"/>
      <c r="X589" s="152"/>
      <c r="Y589" s="153"/>
      <c r="Z589" s="153"/>
      <c r="AA589" s="154"/>
      <c r="AB589" s="155">
        <f>S589*$AB$3</f>
        <v>2074.5463199999999</v>
      </c>
      <c r="AC589" s="156">
        <f>S589*$AC$3</f>
        <v>464.98452000000003</v>
      </c>
      <c r="AD589" s="156">
        <f>S589*$AD$3</f>
        <v>313.86455100000001</v>
      </c>
      <c r="AE589" s="156">
        <f>S589*$AE$3</f>
        <v>143.07216</v>
      </c>
      <c r="AF589" s="156">
        <f>S589*$AF$3</f>
        <v>71.536079999999998</v>
      </c>
      <c r="AG589" s="156">
        <f>S589*$AG$3</f>
        <v>71.536079999999998</v>
      </c>
      <c r="AH589" s="156">
        <f>S589*$AH$3</f>
        <v>35.768039999999999</v>
      </c>
      <c r="AI589" s="156">
        <f>S589*$AI$3</f>
        <v>71.536079999999998</v>
      </c>
      <c r="AJ589" s="156">
        <f>S589*$AJ$3</f>
        <v>71.536079999999998</v>
      </c>
      <c r="AK589" s="156">
        <f>S589*$AK$3</f>
        <v>250.37628000000004</v>
      </c>
      <c r="AL589" s="157">
        <f t="shared" si="414"/>
        <v>1100.7614309999999</v>
      </c>
      <c r="AM589" s="158">
        <f>$AM$3</f>
        <v>2200</v>
      </c>
      <c r="AN589" s="159">
        <v>0.2</v>
      </c>
      <c r="AO589" s="160">
        <f t="shared" si="415"/>
        <v>29247632.68215096</v>
      </c>
      <c r="AP589" s="161">
        <f>AO589*$AP$3</f>
        <v>8124.3430616559926</v>
      </c>
      <c r="AQ589" s="162">
        <f>AP589*$AQ$3</f>
        <v>1624.8686123311986</v>
      </c>
      <c r="AR589" s="580">
        <f>AQ589/$AR$3</f>
        <v>0.2318591056408674</v>
      </c>
      <c r="AS589" s="582">
        <f>AR589</f>
        <v>0.2318591056408674</v>
      </c>
      <c r="AT589" s="165"/>
      <c r="AU589" s="166"/>
      <c r="AV589" s="167"/>
      <c r="AW589" s="146"/>
      <c r="AX589" s="168"/>
    </row>
    <row r="590" spans="1:50" ht="11.25" x14ac:dyDescent="0.2">
      <c r="A590" s="357">
        <v>5</v>
      </c>
      <c r="B590" s="361" t="s">
        <v>597</v>
      </c>
      <c r="C590" s="300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301">
        <v>194948</v>
      </c>
      <c r="O590" s="237"/>
      <c r="P590" s="223">
        <f t="shared" si="410"/>
        <v>194948</v>
      </c>
      <c r="Q590" s="147">
        <f t="shared" si="411"/>
        <v>21444.28</v>
      </c>
      <c r="R590" s="147">
        <f t="shared" si="412"/>
        <v>58.75145205479452</v>
      </c>
      <c r="S590" s="148">
        <f t="shared" si="413"/>
        <v>12866.567999999999</v>
      </c>
      <c r="T590" s="199"/>
      <c r="U590" s="150"/>
      <c r="V590" s="249"/>
      <c r="W590" s="249"/>
      <c r="X590" s="152"/>
      <c r="Y590" s="153"/>
      <c r="Z590" s="153"/>
      <c r="AA590" s="154"/>
      <c r="AB590" s="155">
        <f>S590*$AB$3</f>
        <v>7462.6094399999993</v>
      </c>
      <c r="AC590" s="156">
        <f>S590*$AC$3</f>
        <v>1672.6538399999999</v>
      </c>
      <c r="AD590" s="156">
        <f>S590*$AD$3</f>
        <v>1129.0413419999998</v>
      </c>
      <c r="AE590" s="156">
        <f>S590*$AE$3</f>
        <v>514.66272000000004</v>
      </c>
      <c r="AF590" s="156">
        <f>S590*$AF$3</f>
        <v>257.33136000000002</v>
      </c>
      <c r="AG590" s="156">
        <f>S590*$AG$3</f>
        <v>257.33136000000002</v>
      </c>
      <c r="AH590" s="156">
        <f>S590*$AH$3</f>
        <v>128.66568000000001</v>
      </c>
      <c r="AI590" s="156">
        <f>S590*$AI$3</f>
        <v>257.33136000000002</v>
      </c>
      <c r="AJ590" s="156">
        <f>S590*$AJ$3</f>
        <v>257.33136000000002</v>
      </c>
      <c r="AK590" s="156">
        <f>S590*$AK$3</f>
        <v>900.65976000000001</v>
      </c>
      <c r="AL590" s="157">
        <f t="shared" si="414"/>
        <v>3959.6863020000001</v>
      </c>
      <c r="AM590" s="158"/>
      <c r="AN590" s="159"/>
      <c r="AO590" s="160">
        <f t="shared" si="415"/>
        <v>0</v>
      </c>
      <c r="AP590" s="161"/>
      <c r="AQ590" s="162"/>
      <c r="AR590" s="580"/>
      <c r="AS590" s="582"/>
      <c r="AT590" s="165"/>
      <c r="AU590" s="166"/>
      <c r="AV590" s="167"/>
      <c r="AW590" s="146"/>
      <c r="AX590" s="168"/>
    </row>
    <row r="591" spans="1:50" ht="11.25" x14ac:dyDescent="0.2">
      <c r="A591" s="357">
        <v>6</v>
      </c>
      <c r="B591" s="361" t="s">
        <v>598</v>
      </c>
      <c r="C591" s="300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301">
        <v>39297</v>
      </c>
      <c r="O591" s="237"/>
      <c r="P591" s="223">
        <f t="shared" si="410"/>
        <v>39297</v>
      </c>
      <c r="Q591" s="147">
        <f t="shared" si="411"/>
        <v>4322.67</v>
      </c>
      <c r="R591" s="147">
        <f t="shared" si="412"/>
        <v>11.842931506849315</v>
      </c>
      <c r="S591" s="148">
        <f t="shared" si="413"/>
        <v>2593.6019999999999</v>
      </c>
      <c r="T591" s="199"/>
      <c r="U591" s="150"/>
      <c r="V591" s="249"/>
      <c r="W591" s="249"/>
      <c r="X591" s="152"/>
      <c r="Y591" s="153"/>
      <c r="Z591" s="153"/>
      <c r="AA591" s="154"/>
      <c r="AB591" s="155">
        <f>S591*$AB$3</f>
        <v>1504.2891599999998</v>
      </c>
      <c r="AC591" s="156">
        <f>S591*$AC$3</f>
        <v>337.16825999999998</v>
      </c>
      <c r="AD591" s="156">
        <f>S591*$AD$3</f>
        <v>227.58857549999996</v>
      </c>
      <c r="AE591" s="156">
        <f>S591*$AE$3</f>
        <v>103.74408</v>
      </c>
      <c r="AF591" s="156">
        <f>S591*$AF$3</f>
        <v>51.872039999999998</v>
      </c>
      <c r="AG591" s="156">
        <f>S591*$AG$3</f>
        <v>51.872039999999998</v>
      </c>
      <c r="AH591" s="156">
        <f>S591*$AH$3</f>
        <v>25.936019999999999</v>
      </c>
      <c r="AI591" s="156">
        <f>S591*$AI$3</f>
        <v>51.872039999999998</v>
      </c>
      <c r="AJ591" s="156">
        <f>S591*$AJ$3</f>
        <v>51.872039999999998</v>
      </c>
      <c r="AK591" s="156">
        <f>S591*$AK$3</f>
        <v>181.55214000000001</v>
      </c>
      <c r="AL591" s="157">
        <f t="shared" si="414"/>
        <v>798.18101549999994</v>
      </c>
      <c r="AM591" s="158"/>
      <c r="AN591" s="159"/>
      <c r="AO591" s="160">
        <f t="shared" si="415"/>
        <v>0</v>
      </c>
      <c r="AP591" s="161"/>
      <c r="AQ591" s="162"/>
      <c r="AR591" s="580"/>
      <c r="AS591" s="582"/>
      <c r="AT591" s="165"/>
      <c r="AU591" s="166"/>
      <c r="AV591" s="167"/>
      <c r="AW591" s="146"/>
      <c r="AX591" s="168"/>
    </row>
    <row r="592" spans="1:50" ht="11.25" x14ac:dyDescent="0.2">
      <c r="A592" s="357">
        <v>7</v>
      </c>
      <c r="B592" s="361" t="s">
        <v>599</v>
      </c>
      <c r="C592" s="300"/>
      <c r="D592" s="236"/>
      <c r="E592" s="236"/>
      <c r="F592" s="236"/>
      <c r="G592" s="236"/>
      <c r="H592" s="236"/>
      <c r="I592" s="236"/>
      <c r="J592" s="236"/>
      <c r="K592" s="236"/>
      <c r="L592" s="236"/>
      <c r="M592" s="236"/>
      <c r="N592" s="301">
        <v>73088</v>
      </c>
      <c r="O592" s="237"/>
      <c r="P592" s="223">
        <f t="shared" si="410"/>
        <v>73088</v>
      </c>
      <c r="Q592" s="147">
        <f t="shared" si="411"/>
        <v>8039.68</v>
      </c>
      <c r="R592" s="147">
        <f t="shared" si="412"/>
        <v>22.026520547945207</v>
      </c>
      <c r="S592" s="148">
        <f t="shared" si="413"/>
        <v>4823.808</v>
      </c>
      <c r="T592" s="199"/>
      <c r="U592" s="150"/>
      <c r="V592" s="249"/>
      <c r="W592" s="249"/>
      <c r="X592" s="152"/>
      <c r="Y592" s="153"/>
      <c r="Z592" s="153"/>
      <c r="AA592" s="154"/>
      <c r="AB592" s="155">
        <f>S592*$AB$3</f>
        <v>2797.8086399999997</v>
      </c>
      <c r="AC592" s="156">
        <f>S592*$AC$3</f>
        <v>627.09504000000004</v>
      </c>
      <c r="AD592" s="156">
        <f>S592*$AD$3</f>
        <v>423.289152</v>
      </c>
      <c r="AE592" s="156">
        <f>S592*$AE$3</f>
        <v>192.95232000000001</v>
      </c>
      <c r="AF592" s="156">
        <f>S592*$AF$3</f>
        <v>96.476160000000007</v>
      </c>
      <c r="AG592" s="156">
        <f>S592*$AG$3</f>
        <v>96.476160000000007</v>
      </c>
      <c r="AH592" s="156">
        <f>S592*$AH$3</f>
        <v>48.238080000000004</v>
      </c>
      <c r="AI592" s="156">
        <f>S592*$AI$3</f>
        <v>96.476160000000007</v>
      </c>
      <c r="AJ592" s="156">
        <f>S592*$AJ$3</f>
        <v>96.476160000000007</v>
      </c>
      <c r="AK592" s="156">
        <f>S592*$AK$3</f>
        <v>337.66656</v>
      </c>
      <c r="AL592" s="157">
        <f t="shared" si="414"/>
        <v>1484.526912</v>
      </c>
      <c r="AM592" s="158"/>
      <c r="AN592" s="159"/>
      <c r="AO592" s="160">
        <f t="shared" si="415"/>
        <v>0</v>
      </c>
      <c r="AP592" s="161"/>
      <c r="AQ592" s="162"/>
      <c r="AR592" s="580"/>
      <c r="AS592" s="582"/>
      <c r="AT592" s="165"/>
      <c r="AU592" s="166"/>
      <c r="AV592" s="167"/>
      <c r="AW592" s="146"/>
      <c r="AX592" s="168"/>
    </row>
    <row r="593" spans="1:50" ht="11.25" x14ac:dyDescent="0.2">
      <c r="A593" s="357">
        <v>8</v>
      </c>
      <c r="B593" s="361" t="s">
        <v>600</v>
      </c>
      <c r="C593" s="300"/>
      <c r="D593" s="236"/>
      <c r="E593" s="236"/>
      <c r="F593" s="236"/>
      <c r="G593" s="236"/>
      <c r="H593" s="236"/>
      <c r="I593" s="236"/>
      <c r="J593" s="236"/>
      <c r="K593" s="236"/>
      <c r="L593" s="236"/>
      <c r="M593" s="236"/>
      <c r="N593" s="301">
        <v>43435</v>
      </c>
      <c r="O593" s="237"/>
      <c r="P593" s="223">
        <f t="shared" si="410"/>
        <v>43435</v>
      </c>
      <c r="Q593" s="147">
        <f t="shared" si="411"/>
        <v>4777.8500000000004</v>
      </c>
      <c r="R593" s="147">
        <f t="shared" si="412"/>
        <v>13.090000000000002</v>
      </c>
      <c r="S593" s="148">
        <f t="shared" si="413"/>
        <v>2866.71</v>
      </c>
      <c r="T593" s="199"/>
      <c r="U593" s="150"/>
      <c r="V593" s="249"/>
      <c r="W593" s="249"/>
      <c r="X593" s="152"/>
      <c r="Y593" s="153"/>
      <c r="Z593" s="153"/>
      <c r="AA593" s="154"/>
      <c r="AB593" s="155">
        <f>S593*$AB$3</f>
        <v>1662.6917999999998</v>
      </c>
      <c r="AC593" s="156">
        <f>S593*$AC$3</f>
        <v>372.67230000000001</v>
      </c>
      <c r="AD593" s="156">
        <f>S593*$AD$3</f>
        <v>251.55380249999999</v>
      </c>
      <c r="AE593" s="156">
        <f>S593*$AE$3</f>
        <v>114.66840000000001</v>
      </c>
      <c r="AF593" s="156">
        <f>S593*$AF$3</f>
        <v>57.334200000000003</v>
      </c>
      <c r="AG593" s="156">
        <f>S593*$AG$3</f>
        <v>57.334200000000003</v>
      </c>
      <c r="AH593" s="156">
        <f>S593*$AH$3</f>
        <v>28.667100000000001</v>
      </c>
      <c r="AI593" s="156">
        <f>S593*$AI$3</f>
        <v>57.334200000000003</v>
      </c>
      <c r="AJ593" s="156">
        <f>S593*$AJ$3</f>
        <v>57.334200000000003</v>
      </c>
      <c r="AK593" s="156">
        <f>S593*$AK$3</f>
        <v>200.66970000000003</v>
      </c>
      <c r="AL593" s="157">
        <f t="shared" si="414"/>
        <v>882.23000250000007</v>
      </c>
      <c r="AM593" s="158">
        <f t="shared" ref="AM593:AM598" si="416">$AM$3</f>
        <v>2200</v>
      </c>
      <c r="AN593" s="159">
        <v>0.2</v>
      </c>
      <c r="AO593" s="160">
        <f t="shared" si="415"/>
        <v>23441172.9259554</v>
      </c>
      <c r="AP593" s="161">
        <f t="shared" ref="AP593:AP598" si="417">AO593*$AP$3</f>
        <v>6511.4374447914533</v>
      </c>
      <c r="AQ593" s="162">
        <f t="shared" ref="AQ593:AQ598" si="418">AP593*$AQ$3</f>
        <v>1302.2874889582909</v>
      </c>
      <c r="AR593" s="580">
        <f t="shared" ref="AR593:AR598" si="419">AQ593/$AR$3</f>
        <v>0.18582869420066936</v>
      </c>
      <c r="AS593" s="582">
        <f t="shared" ref="AS593:AS598" si="420">AR593</f>
        <v>0.18582869420066936</v>
      </c>
      <c r="AT593" s="165"/>
      <c r="AU593" s="166"/>
      <c r="AV593" s="167"/>
      <c r="AW593" s="146"/>
      <c r="AX593" s="168"/>
    </row>
    <row r="594" spans="1:50" ht="11.25" x14ac:dyDescent="0.2">
      <c r="A594" s="357">
        <v>9</v>
      </c>
      <c r="B594" s="361" t="s">
        <v>601</v>
      </c>
      <c r="C594" s="300"/>
      <c r="D594" s="236"/>
      <c r="E594" s="236"/>
      <c r="F594" s="236"/>
      <c r="G594" s="236"/>
      <c r="H594" s="236"/>
      <c r="I594" s="236"/>
      <c r="J594" s="236"/>
      <c r="K594" s="236"/>
      <c r="L594" s="236"/>
      <c r="M594" s="236"/>
      <c r="N594" s="301">
        <v>199630</v>
      </c>
      <c r="O594" s="237"/>
      <c r="P594" s="223">
        <f t="shared" si="410"/>
        <v>199630</v>
      </c>
      <c r="Q594" s="147">
        <f t="shared" si="411"/>
        <v>21959.3</v>
      </c>
      <c r="R594" s="147">
        <f t="shared" si="412"/>
        <v>60.162465753424655</v>
      </c>
      <c r="S594" s="148">
        <f t="shared" si="413"/>
        <v>13175.58</v>
      </c>
      <c r="T594" s="199"/>
      <c r="U594" s="150"/>
      <c r="V594" s="249"/>
      <c r="W594" s="249"/>
      <c r="X594" s="152"/>
      <c r="Y594" s="153"/>
      <c r="Z594" s="153"/>
      <c r="AA594" s="154"/>
      <c r="AB594" s="155">
        <f>S594*$AB$3</f>
        <v>7641.8363999999992</v>
      </c>
      <c r="AC594" s="156">
        <f>S594*$AC$3</f>
        <v>1712.8253999999999</v>
      </c>
      <c r="AD594" s="156">
        <f>S594*$AD$3</f>
        <v>1156.1571449999999</v>
      </c>
      <c r="AE594" s="156">
        <f>S594*$AE$3</f>
        <v>527.02319999999997</v>
      </c>
      <c r="AF594" s="156">
        <f>S594*$AF$3</f>
        <v>263.51159999999999</v>
      </c>
      <c r="AG594" s="156">
        <f>S594*$AG$3</f>
        <v>263.51159999999999</v>
      </c>
      <c r="AH594" s="156">
        <f>S594*$AH$3</f>
        <v>131.75579999999999</v>
      </c>
      <c r="AI594" s="156">
        <f>S594*$AI$3</f>
        <v>263.51159999999999</v>
      </c>
      <c r="AJ594" s="156">
        <f>S594*$AJ$3</f>
        <v>263.51159999999999</v>
      </c>
      <c r="AK594" s="156">
        <f>S594*$AK$3</f>
        <v>922.29060000000004</v>
      </c>
      <c r="AL594" s="157">
        <f t="shared" si="414"/>
        <v>4054.7847449999995</v>
      </c>
      <c r="AM594" s="158">
        <f t="shared" si="416"/>
        <v>2200</v>
      </c>
      <c r="AN594" s="159">
        <v>0.2</v>
      </c>
      <c r="AO594" s="160">
        <f t="shared" si="415"/>
        <v>107737109.50174919</v>
      </c>
      <c r="AP594" s="161">
        <f t="shared" si="417"/>
        <v>29926.977255754984</v>
      </c>
      <c r="AQ594" s="162">
        <f t="shared" si="418"/>
        <v>5985.3954511509974</v>
      </c>
      <c r="AR594" s="580">
        <f t="shared" si="419"/>
        <v>0.85408040113456007</v>
      </c>
      <c r="AS594" s="582">
        <f t="shared" si="420"/>
        <v>0.85408040113456007</v>
      </c>
      <c r="AT594" s="165"/>
      <c r="AU594" s="166"/>
      <c r="AV594" s="167"/>
      <c r="AW594" s="146"/>
      <c r="AX594" s="168"/>
    </row>
    <row r="595" spans="1:50" ht="11.25" x14ac:dyDescent="0.2">
      <c r="A595" s="357">
        <v>10</v>
      </c>
      <c r="B595" s="363" t="s">
        <v>602</v>
      </c>
      <c r="C595" s="300"/>
      <c r="D595" s="236"/>
      <c r="E595" s="236"/>
      <c r="F595" s="236"/>
      <c r="G595" s="236"/>
      <c r="H595" s="236"/>
      <c r="I595" s="236"/>
      <c r="J595" s="236"/>
      <c r="K595" s="236"/>
      <c r="L595" s="236"/>
      <c r="M595" s="236"/>
      <c r="N595" s="301"/>
      <c r="O595" s="237"/>
      <c r="P595" s="223">
        <f t="shared" si="410"/>
        <v>0</v>
      </c>
      <c r="Q595" s="147">
        <f t="shared" si="411"/>
        <v>0</v>
      </c>
      <c r="R595" s="147">
        <f t="shared" si="412"/>
        <v>0</v>
      </c>
      <c r="S595" s="148">
        <f t="shared" si="413"/>
        <v>0</v>
      </c>
      <c r="T595" s="199"/>
      <c r="U595" s="150"/>
      <c r="V595" s="249"/>
      <c r="W595" s="249"/>
      <c r="X595" s="152"/>
      <c r="Y595" s="153"/>
      <c r="Z595" s="153"/>
      <c r="AA595" s="154"/>
      <c r="AB595" s="155">
        <f>S595*$AB$3</f>
        <v>0</v>
      </c>
      <c r="AC595" s="156">
        <f>S595*$AC$3</f>
        <v>0</v>
      </c>
      <c r="AD595" s="156">
        <f>S595*$AD$3</f>
        <v>0</v>
      </c>
      <c r="AE595" s="156">
        <f>S595*$AE$3</f>
        <v>0</v>
      </c>
      <c r="AF595" s="156">
        <f>S595*$AF$3</f>
        <v>0</v>
      </c>
      <c r="AG595" s="156">
        <f>S595*$AG$3</f>
        <v>0</v>
      </c>
      <c r="AH595" s="156">
        <f>S595*$AH$3</f>
        <v>0</v>
      </c>
      <c r="AI595" s="156">
        <f>S595*$AI$3</f>
        <v>0</v>
      </c>
      <c r="AJ595" s="156">
        <f>S595*$AJ$3</f>
        <v>0</v>
      </c>
      <c r="AK595" s="156">
        <f>S595*$AK$3</f>
        <v>0</v>
      </c>
      <c r="AL595" s="157">
        <f t="shared" si="414"/>
        <v>0</v>
      </c>
      <c r="AM595" s="158">
        <f t="shared" si="416"/>
        <v>2200</v>
      </c>
      <c r="AN595" s="159">
        <v>0.2</v>
      </c>
      <c r="AO595" s="160">
        <f t="shared" si="415"/>
        <v>0</v>
      </c>
      <c r="AP595" s="161">
        <f t="shared" si="417"/>
        <v>0</v>
      </c>
      <c r="AQ595" s="162">
        <f t="shared" si="418"/>
        <v>0</v>
      </c>
      <c r="AR595" s="580">
        <f t="shared" si="419"/>
        <v>0</v>
      </c>
      <c r="AS595" s="582">
        <f t="shared" si="420"/>
        <v>0</v>
      </c>
      <c r="AT595" s="165"/>
      <c r="AU595" s="166"/>
      <c r="AV595" s="167"/>
      <c r="AW595" s="146"/>
      <c r="AX595" s="168"/>
    </row>
    <row r="596" spans="1:50" ht="11.25" x14ac:dyDescent="0.2">
      <c r="A596" s="357">
        <v>11</v>
      </c>
      <c r="B596" s="330" t="s">
        <v>603</v>
      </c>
      <c r="C596" s="300"/>
      <c r="D596" s="236"/>
      <c r="E596" s="236"/>
      <c r="F596" s="236"/>
      <c r="G596" s="236"/>
      <c r="H596" s="236"/>
      <c r="I596" s="236"/>
      <c r="J596" s="236"/>
      <c r="K596" s="236"/>
      <c r="L596" s="236"/>
      <c r="M596" s="236"/>
      <c r="N596" s="301">
        <v>34287</v>
      </c>
      <c r="O596" s="237"/>
      <c r="P596" s="223">
        <f t="shared" si="410"/>
        <v>34287</v>
      </c>
      <c r="Q596" s="147">
        <f t="shared" si="411"/>
        <v>3771.57</v>
      </c>
      <c r="R596" s="147">
        <f t="shared" si="412"/>
        <v>10.333068493150686</v>
      </c>
      <c r="S596" s="148">
        <f t="shared" si="413"/>
        <v>2262.942</v>
      </c>
      <c r="T596" s="199"/>
      <c r="U596" s="150"/>
      <c r="V596" s="249"/>
      <c r="W596" s="249"/>
      <c r="X596" s="152"/>
      <c r="Y596" s="153"/>
      <c r="Z596" s="153"/>
      <c r="AA596" s="154"/>
      <c r="AB596" s="155">
        <f>S596*$AB$3</f>
        <v>1312.5063599999999</v>
      </c>
      <c r="AC596" s="156">
        <f>S596*$AC$3</f>
        <v>294.18245999999999</v>
      </c>
      <c r="AD596" s="156">
        <f>S596*$AD$3</f>
        <v>198.5731605</v>
      </c>
      <c r="AE596" s="156">
        <f>S596*$AE$3</f>
        <v>90.517679999999999</v>
      </c>
      <c r="AF596" s="156">
        <f>S596*$AF$3</f>
        <v>45.258839999999999</v>
      </c>
      <c r="AG596" s="156">
        <f>S596*$AG$3</f>
        <v>45.258839999999999</v>
      </c>
      <c r="AH596" s="156">
        <f>S596*$AH$3</f>
        <v>22.62942</v>
      </c>
      <c r="AI596" s="156">
        <f>S596*$AI$3</f>
        <v>45.258839999999999</v>
      </c>
      <c r="AJ596" s="156">
        <f>S596*$AJ$3</f>
        <v>45.258839999999999</v>
      </c>
      <c r="AK596" s="156">
        <f>S596*$AK$3</f>
        <v>158.40594000000002</v>
      </c>
      <c r="AL596" s="157">
        <f t="shared" si="414"/>
        <v>696.42040049999991</v>
      </c>
      <c r="AM596" s="158">
        <f t="shared" si="416"/>
        <v>2200</v>
      </c>
      <c r="AN596" s="159">
        <v>0.2</v>
      </c>
      <c r="AO596" s="160">
        <f t="shared" si="415"/>
        <v>18504144.033895079</v>
      </c>
      <c r="AP596" s="161">
        <f t="shared" si="417"/>
        <v>5140.0404206185003</v>
      </c>
      <c r="AQ596" s="162">
        <f t="shared" si="418"/>
        <v>1028.0080841237002</v>
      </c>
      <c r="AR596" s="580">
        <f t="shared" si="419"/>
        <v>0.14669065127335904</v>
      </c>
      <c r="AS596" s="582">
        <f t="shared" si="420"/>
        <v>0.14669065127335904</v>
      </c>
      <c r="AT596" s="165"/>
      <c r="AU596" s="166"/>
      <c r="AV596" s="167"/>
      <c r="AW596" s="146"/>
      <c r="AX596" s="168"/>
    </row>
    <row r="597" spans="1:50" ht="11.25" x14ac:dyDescent="0.2">
      <c r="A597" s="357">
        <v>12</v>
      </c>
      <c r="B597" s="364" t="s">
        <v>604</v>
      </c>
      <c r="C597" s="300"/>
      <c r="D597" s="236"/>
      <c r="E597" s="236"/>
      <c r="F597" s="236"/>
      <c r="G597" s="236"/>
      <c r="H597" s="236"/>
      <c r="I597" s="236"/>
      <c r="J597" s="236"/>
      <c r="K597" s="236"/>
      <c r="L597" s="236"/>
      <c r="M597" s="236"/>
      <c r="N597" s="301"/>
      <c r="O597" s="237"/>
      <c r="P597" s="223">
        <f t="shared" si="410"/>
        <v>0</v>
      </c>
      <c r="Q597" s="147">
        <f t="shared" si="411"/>
        <v>0</v>
      </c>
      <c r="R597" s="147">
        <f t="shared" si="412"/>
        <v>0</v>
      </c>
      <c r="S597" s="148">
        <f t="shared" si="413"/>
        <v>0</v>
      </c>
      <c r="T597" s="199"/>
      <c r="U597" s="150"/>
      <c r="V597" s="249"/>
      <c r="W597" s="249"/>
      <c r="X597" s="152"/>
      <c r="Y597" s="153"/>
      <c r="Z597" s="153"/>
      <c r="AA597" s="154"/>
      <c r="AB597" s="155">
        <f>S597*$AB$3</f>
        <v>0</v>
      </c>
      <c r="AC597" s="156">
        <f>S597*$AC$3</f>
        <v>0</v>
      </c>
      <c r="AD597" s="156">
        <f>S597*$AD$3</f>
        <v>0</v>
      </c>
      <c r="AE597" s="156">
        <f>S597*$AE$3</f>
        <v>0</v>
      </c>
      <c r="AF597" s="156">
        <f>S597*$AF$3</f>
        <v>0</v>
      </c>
      <c r="AG597" s="156">
        <f>S597*$AG$3</f>
        <v>0</v>
      </c>
      <c r="AH597" s="156">
        <f>S597*$AH$3</f>
        <v>0</v>
      </c>
      <c r="AI597" s="156">
        <f>S597*$AI$3</f>
        <v>0</v>
      </c>
      <c r="AJ597" s="156">
        <f>S597*$AJ$3</f>
        <v>0</v>
      </c>
      <c r="AK597" s="156">
        <f>S597*$AK$3</f>
        <v>0</v>
      </c>
      <c r="AL597" s="157">
        <f t="shared" si="414"/>
        <v>0</v>
      </c>
      <c r="AM597" s="158">
        <f t="shared" si="416"/>
        <v>2200</v>
      </c>
      <c r="AN597" s="159">
        <v>0.2</v>
      </c>
      <c r="AO597" s="160">
        <f t="shared" si="415"/>
        <v>0</v>
      </c>
      <c r="AP597" s="161">
        <f t="shared" si="417"/>
        <v>0</v>
      </c>
      <c r="AQ597" s="162">
        <f t="shared" si="418"/>
        <v>0</v>
      </c>
      <c r="AR597" s="580">
        <f t="shared" si="419"/>
        <v>0</v>
      </c>
      <c r="AS597" s="582">
        <f t="shared" si="420"/>
        <v>0</v>
      </c>
      <c r="AT597" s="165"/>
      <c r="AU597" s="166"/>
      <c r="AV597" s="167"/>
      <c r="AW597" s="146"/>
      <c r="AX597" s="168"/>
    </row>
    <row r="598" spans="1:50" ht="11.25" x14ac:dyDescent="0.2">
      <c r="A598" s="357">
        <v>13</v>
      </c>
      <c r="B598" s="330" t="s">
        <v>605</v>
      </c>
      <c r="C598" s="300"/>
      <c r="D598" s="236"/>
      <c r="E598" s="236"/>
      <c r="F598" s="236"/>
      <c r="G598" s="236"/>
      <c r="H598" s="236"/>
      <c r="I598" s="236"/>
      <c r="J598" s="236"/>
      <c r="K598" s="236"/>
      <c r="L598" s="236"/>
      <c r="M598" s="236"/>
      <c r="N598" s="301">
        <v>6147</v>
      </c>
      <c r="O598" s="237"/>
      <c r="P598" s="223">
        <f t="shared" si="410"/>
        <v>6147</v>
      </c>
      <c r="Q598" s="147">
        <f t="shared" si="411"/>
        <v>676.17</v>
      </c>
      <c r="R598" s="147">
        <f t="shared" si="412"/>
        <v>1.8525205479452054</v>
      </c>
      <c r="S598" s="148">
        <f t="shared" si="413"/>
        <v>405.70199999999994</v>
      </c>
      <c r="T598" s="199"/>
      <c r="U598" s="150"/>
      <c r="V598" s="249"/>
      <c r="W598" s="249"/>
      <c r="X598" s="152"/>
      <c r="Y598" s="153"/>
      <c r="Z598" s="153"/>
      <c r="AA598" s="154"/>
      <c r="AB598" s="155">
        <f>S598*$AB$3</f>
        <v>235.30715999999995</v>
      </c>
      <c r="AC598" s="156">
        <f>S598*$AC$3</f>
        <v>52.741259999999997</v>
      </c>
      <c r="AD598" s="156">
        <f>S598*$AD$3</f>
        <v>35.60035049999999</v>
      </c>
      <c r="AE598" s="156">
        <f>S598*$AE$3</f>
        <v>16.228079999999999</v>
      </c>
      <c r="AF598" s="156">
        <f>S598*$AF$3</f>
        <v>8.1140399999999993</v>
      </c>
      <c r="AG598" s="156">
        <f>S598*$AG$3</f>
        <v>8.1140399999999993</v>
      </c>
      <c r="AH598" s="156">
        <f>S598*$AH$3</f>
        <v>4.0570199999999996</v>
      </c>
      <c r="AI598" s="156">
        <f>S598*$AI$3</f>
        <v>8.1140399999999993</v>
      </c>
      <c r="AJ598" s="156">
        <f>S598*$AJ$3</f>
        <v>8.1140399999999993</v>
      </c>
      <c r="AK598" s="156">
        <f>S598*$AK$3</f>
        <v>28.399139999999999</v>
      </c>
      <c r="AL598" s="157">
        <f t="shared" si="414"/>
        <v>124.85479049999998</v>
      </c>
      <c r="AM598" s="158">
        <f t="shared" si="416"/>
        <v>2200</v>
      </c>
      <c r="AN598" s="159">
        <v>0.2</v>
      </c>
      <c r="AO598" s="160">
        <f t="shared" si="415"/>
        <v>3317437.3195774793</v>
      </c>
      <c r="AP598" s="161">
        <f t="shared" si="417"/>
        <v>921.51044027012915</v>
      </c>
      <c r="AQ598" s="162">
        <f t="shared" si="418"/>
        <v>184.30208805402583</v>
      </c>
      <c r="AR598" s="580">
        <f t="shared" si="419"/>
        <v>2.6298813934649806E-2</v>
      </c>
      <c r="AS598" s="582">
        <f t="shared" si="420"/>
        <v>2.6298813934649806E-2</v>
      </c>
      <c r="AT598" s="165"/>
      <c r="AU598" s="166"/>
      <c r="AV598" s="167"/>
      <c r="AW598" s="146"/>
      <c r="AX598" s="168"/>
    </row>
    <row r="599" spans="1:50" s="263" customFormat="1" ht="11.25" x14ac:dyDescent="0.25">
      <c r="A599" s="225"/>
      <c r="B599" s="352" t="s">
        <v>606</v>
      </c>
      <c r="C599" s="240">
        <f t="shared" ref="C599:T599" si="421">SUM(C586:C598)</f>
        <v>0</v>
      </c>
      <c r="D599" s="240">
        <f t="shared" si="421"/>
        <v>0</v>
      </c>
      <c r="E599" s="240">
        <f t="shared" si="421"/>
        <v>0</v>
      </c>
      <c r="F599" s="240">
        <f t="shared" si="421"/>
        <v>0</v>
      </c>
      <c r="G599" s="240">
        <f t="shared" si="421"/>
        <v>0</v>
      </c>
      <c r="H599" s="240">
        <f t="shared" si="421"/>
        <v>0</v>
      </c>
      <c r="I599" s="240">
        <f t="shared" si="421"/>
        <v>0</v>
      </c>
      <c r="J599" s="240">
        <f t="shared" si="421"/>
        <v>0</v>
      </c>
      <c r="K599" s="240">
        <v>729962</v>
      </c>
      <c r="L599" s="240">
        <v>743860</v>
      </c>
      <c r="M599" s="240">
        <v>760422</v>
      </c>
      <c r="N599" s="240">
        <f t="shared" si="421"/>
        <v>789013</v>
      </c>
      <c r="O599" s="240">
        <f t="shared" si="421"/>
        <v>0</v>
      </c>
      <c r="P599" s="240">
        <f t="shared" si="421"/>
        <v>789013</v>
      </c>
      <c r="Q599" s="240">
        <f t="shared" si="421"/>
        <v>86791.430000000008</v>
      </c>
      <c r="R599" s="240">
        <f t="shared" si="421"/>
        <v>237.78473972602737</v>
      </c>
      <c r="S599" s="240">
        <f t="shared" si="421"/>
        <v>52074.858</v>
      </c>
      <c r="T599" s="199">
        <f t="shared" si="421"/>
        <v>0</v>
      </c>
      <c r="U599" s="241"/>
      <c r="V599" s="242">
        <f>SUM(V586:V598)</f>
        <v>0</v>
      </c>
      <c r="W599" s="242">
        <f>SUM(W586:W598)</f>
        <v>0</v>
      </c>
      <c r="X599" s="242">
        <f>SUM(X586:X598)</f>
        <v>0</v>
      </c>
      <c r="Y599" s="199"/>
      <c r="Z599" s="199"/>
      <c r="AA599" s="243"/>
      <c r="AB599" s="240">
        <f t="shared" ref="AB599:AL599" si="422">SUM(AB586:AB598)</f>
        <v>30203.41764</v>
      </c>
      <c r="AC599" s="244">
        <f t="shared" si="422"/>
        <v>6769.7315399999989</v>
      </c>
      <c r="AD599" s="244">
        <f t="shared" si="422"/>
        <v>4569.5687894999992</v>
      </c>
      <c r="AE599" s="244">
        <f t="shared" si="422"/>
        <v>2082.9943199999998</v>
      </c>
      <c r="AF599" s="244">
        <f t="shared" si="422"/>
        <v>1041.4971599999999</v>
      </c>
      <c r="AG599" s="244">
        <f t="shared" si="422"/>
        <v>1041.4971599999999</v>
      </c>
      <c r="AH599" s="244">
        <f t="shared" si="422"/>
        <v>520.74857999999995</v>
      </c>
      <c r="AI599" s="244">
        <f t="shared" si="422"/>
        <v>1041.4971599999999</v>
      </c>
      <c r="AJ599" s="244">
        <f t="shared" si="422"/>
        <v>1041.4971599999999</v>
      </c>
      <c r="AK599" s="244">
        <f t="shared" si="422"/>
        <v>3645.2400600000001</v>
      </c>
      <c r="AL599" s="245">
        <f t="shared" si="422"/>
        <v>16026.037549499997</v>
      </c>
      <c r="AM599" s="158"/>
      <c r="AN599" s="183"/>
      <c r="AO599" s="160">
        <f>SUM(AO586:AO598)</f>
        <v>259954971.22077116</v>
      </c>
      <c r="AP599" s="160">
        <f>SUM(AP586:AP598)</f>
        <v>72209.720004769129</v>
      </c>
      <c r="AQ599" s="160">
        <f>SUM(AQ586:AQ598)</f>
        <v>14441.944000953825</v>
      </c>
      <c r="AR599" s="186">
        <f>SUM(AR586:AR598)</f>
        <v>2.060779680501402</v>
      </c>
      <c r="AS599" s="435">
        <f>SUM(AS586:AS598)</f>
        <v>2.060779680501402</v>
      </c>
      <c r="AT599" s="187"/>
      <c r="AU599" s="246">
        <f>SUM(AU586:AU598)</f>
        <v>0</v>
      </c>
      <c r="AV599" s="246"/>
      <c r="AW599" s="185">
        <f>SUM(AW586:AW598)</f>
        <v>0</v>
      </c>
      <c r="AX599" s="189"/>
    </row>
    <row r="600" spans="1:50" s="139" customFormat="1" ht="11.25" x14ac:dyDescent="0.25">
      <c r="A600" s="247"/>
      <c r="B600" s="152"/>
      <c r="C600" s="247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248"/>
      <c r="P600" s="249"/>
      <c r="Q600" s="250"/>
      <c r="R600" s="250"/>
      <c r="S600" s="251"/>
      <c r="T600" s="199"/>
      <c r="U600" s="179"/>
      <c r="V600" s="249"/>
      <c r="W600" s="249"/>
      <c r="X600" s="152"/>
      <c r="Y600" s="153"/>
      <c r="Z600" s="153"/>
      <c r="AA600" s="154"/>
      <c r="AB600" s="247"/>
      <c r="AC600" s="252"/>
      <c r="AD600" s="252"/>
      <c r="AE600" s="252"/>
      <c r="AF600" s="252"/>
      <c r="AG600" s="252"/>
      <c r="AH600" s="252"/>
      <c r="AI600" s="252"/>
      <c r="AJ600" s="252"/>
      <c r="AK600" s="252"/>
      <c r="AL600" s="214"/>
      <c r="AM600" s="203"/>
      <c r="AN600" s="204"/>
      <c r="AO600" s="203"/>
      <c r="AP600" s="205"/>
      <c r="AQ600" s="206"/>
      <c r="AR600" s="253"/>
      <c r="AS600" s="254"/>
      <c r="AT600" s="255"/>
      <c r="AU600" s="256"/>
      <c r="AV600" s="257"/>
      <c r="AW600" s="214"/>
      <c r="AX600" s="212"/>
    </row>
    <row r="601" spans="1:50" s="139" customFormat="1" ht="11.25" x14ac:dyDescent="0.25">
      <c r="A601" s="126"/>
      <c r="B601" s="352" t="s">
        <v>607</v>
      </c>
      <c r="C601" s="122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213"/>
      <c r="P601" s="76"/>
      <c r="Q601" s="108"/>
      <c r="R601" s="108"/>
      <c r="S601" s="94"/>
      <c r="T601" s="199"/>
      <c r="U601" s="179"/>
      <c r="V601" s="180"/>
      <c r="W601" s="180"/>
      <c r="X601" s="214"/>
      <c r="Y601" s="181"/>
      <c r="Z601" s="181"/>
      <c r="AA601" s="182"/>
      <c r="AB601" s="62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125"/>
      <c r="AM601" s="75"/>
      <c r="AN601" s="216"/>
      <c r="AO601" s="75"/>
      <c r="AP601" s="51"/>
      <c r="AQ601" s="259"/>
      <c r="AR601" s="583"/>
      <c r="AS601" s="584"/>
      <c r="AT601" s="220"/>
      <c r="AU601" s="135"/>
      <c r="AV601" s="136"/>
      <c r="AW601" s="137"/>
      <c r="AX601" s="138"/>
    </row>
    <row r="602" spans="1:50" ht="11.25" x14ac:dyDescent="0.25">
      <c r="A602" s="140">
        <v>1</v>
      </c>
      <c r="B602" s="345" t="s">
        <v>608</v>
      </c>
      <c r="C602" s="235"/>
      <c r="D602" s="236"/>
      <c r="E602" s="236"/>
      <c r="F602" s="236"/>
      <c r="G602" s="236"/>
      <c r="H602" s="236"/>
      <c r="I602" s="236"/>
      <c r="J602" s="236"/>
      <c r="K602" s="236"/>
      <c r="L602" s="236"/>
      <c r="M602" s="236">
        <v>75577</v>
      </c>
      <c r="N602" s="236"/>
      <c r="O602" s="237"/>
      <c r="P602" s="223">
        <f t="shared" ref="P602:P627" si="423">MAX(C602:O602)</f>
        <v>75577</v>
      </c>
      <c r="Q602" s="147">
        <f t="shared" ref="Q602:Q630" si="424">P602*$Q$8</f>
        <v>8313.4699999999993</v>
      </c>
      <c r="R602" s="147">
        <f t="shared" ref="R602:R630" si="425">Q602/$R$3</f>
        <v>22.776630136986299</v>
      </c>
      <c r="S602" s="148">
        <f t="shared" ref="S602:S630" si="426">R602*$S$3*$S$8</f>
        <v>4988.0819999999994</v>
      </c>
      <c r="T602" s="199"/>
      <c r="U602" s="150"/>
      <c r="V602" s="249"/>
      <c r="W602" s="249"/>
      <c r="X602" s="152"/>
      <c r="Y602" s="153"/>
      <c r="Z602" s="153"/>
      <c r="AA602" s="154"/>
      <c r="AB602" s="155">
        <f>S602*$AB$3</f>
        <v>2893.0875599999995</v>
      </c>
      <c r="AC602" s="156">
        <f>S602*$AC$3</f>
        <v>648.45065999999997</v>
      </c>
      <c r="AD602" s="156">
        <f>S602*$AD$3</f>
        <v>437.70419549999991</v>
      </c>
      <c r="AE602" s="156">
        <f>S602*$AE$3</f>
        <v>199.52327999999997</v>
      </c>
      <c r="AF602" s="156">
        <f>S602*$AF$3</f>
        <v>99.761639999999986</v>
      </c>
      <c r="AG602" s="156">
        <f>S602*$AG$3</f>
        <v>99.761639999999986</v>
      </c>
      <c r="AH602" s="156">
        <f>S602*$AH$3</f>
        <v>49.880819999999993</v>
      </c>
      <c r="AI602" s="156">
        <f>S602*$AI$3</f>
        <v>99.761639999999986</v>
      </c>
      <c r="AJ602" s="156">
        <f>S602*$AJ$3</f>
        <v>99.761639999999986</v>
      </c>
      <c r="AK602" s="156">
        <f>S602*$AK$3</f>
        <v>349.16573999999997</v>
      </c>
      <c r="AL602" s="157">
        <f t="shared" ref="AL602:AL630" si="427">SUM(AC602:AH602)</f>
        <v>1535.0822354999998</v>
      </c>
      <c r="AM602" s="158">
        <f t="shared" ref="AM602:AM630" si="428">$AM$3</f>
        <v>2200</v>
      </c>
      <c r="AN602" s="159">
        <v>0.2</v>
      </c>
      <c r="AO602" s="160">
        <f t="shared" ref="AO602:AO630" si="429">(AB602+AL602)*AM602*$AO$3</f>
        <v>40787694.859558672</v>
      </c>
      <c r="AP602" s="161">
        <f t="shared" ref="AP602:AP630" si="430">AO602*$AP$3</f>
        <v>11329.916145159517</v>
      </c>
      <c r="AQ602" s="162">
        <f t="shared" ref="AQ602:AQ630" si="431">AP602*$AQ$3</f>
        <v>2265.9832290319036</v>
      </c>
      <c r="AR602" s="580">
        <f t="shared" ref="AR602:AR630" si="432">AQ602/$AR$3</f>
        <v>0.32334235574085385</v>
      </c>
      <c r="AS602" s="582">
        <f>AR602</f>
        <v>0.32334235574085385</v>
      </c>
      <c r="AT602" s="165"/>
      <c r="AU602" s="166"/>
      <c r="AV602" s="167"/>
      <c r="AW602" s="146"/>
      <c r="AX602" s="168"/>
    </row>
    <row r="603" spans="1:50" ht="11.25" x14ac:dyDescent="0.25">
      <c r="A603" s="140">
        <v>2</v>
      </c>
      <c r="B603" s="345" t="s">
        <v>609</v>
      </c>
      <c r="C603" s="235"/>
      <c r="D603" s="236"/>
      <c r="E603" s="236"/>
      <c r="F603" s="236"/>
      <c r="G603" s="236"/>
      <c r="H603" s="236"/>
      <c r="I603" s="236"/>
      <c r="J603" s="236"/>
      <c r="K603" s="236"/>
      <c r="L603" s="236"/>
      <c r="M603" s="236">
        <v>126798</v>
      </c>
      <c r="N603" s="236"/>
      <c r="O603" s="237"/>
      <c r="P603" s="223">
        <f t="shared" si="423"/>
        <v>126798</v>
      </c>
      <c r="Q603" s="147">
        <f t="shared" si="424"/>
        <v>13947.78</v>
      </c>
      <c r="R603" s="147">
        <f t="shared" si="425"/>
        <v>38.213095890410962</v>
      </c>
      <c r="S603" s="148">
        <f t="shared" si="426"/>
        <v>8368.6679999999997</v>
      </c>
      <c r="T603" s="199"/>
      <c r="U603" s="150"/>
      <c r="V603" s="249"/>
      <c r="W603" s="249"/>
      <c r="X603" s="152"/>
      <c r="Y603" s="153"/>
      <c r="Z603" s="153"/>
      <c r="AA603" s="154"/>
      <c r="AB603" s="155">
        <f>S603*$AB$3</f>
        <v>4853.8274399999991</v>
      </c>
      <c r="AC603" s="156">
        <f>S603*$AC$3</f>
        <v>1087.9268400000001</v>
      </c>
      <c r="AD603" s="156">
        <f>S603*$AD$3</f>
        <v>734.35061699999994</v>
      </c>
      <c r="AE603" s="156">
        <f>S603*$AE$3</f>
        <v>334.74671999999998</v>
      </c>
      <c r="AF603" s="156">
        <f>S603*$AF$3</f>
        <v>167.37335999999999</v>
      </c>
      <c r="AG603" s="156">
        <f>S603*$AG$3</f>
        <v>167.37335999999999</v>
      </c>
      <c r="AH603" s="156">
        <f>S603*$AH$3</f>
        <v>83.686679999999996</v>
      </c>
      <c r="AI603" s="156">
        <f>S603*$AI$3</f>
        <v>167.37335999999999</v>
      </c>
      <c r="AJ603" s="156">
        <f>S603*$AJ$3</f>
        <v>167.37335999999999</v>
      </c>
      <c r="AK603" s="156">
        <f>S603*$AK$3</f>
        <v>585.80676000000005</v>
      </c>
      <c r="AL603" s="157">
        <f t="shared" si="427"/>
        <v>2575.4575770000001</v>
      </c>
      <c r="AM603" s="158">
        <f t="shared" si="428"/>
        <v>2200</v>
      </c>
      <c r="AN603" s="159">
        <v>0.2</v>
      </c>
      <c r="AO603" s="160">
        <f t="shared" si="429"/>
        <v>68430847.120186314</v>
      </c>
      <c r="AP603" s="161">
        <f t="shared" si="430"/>
        <v>19008.570165181689</v>
      </c>
      <c r="AQ603" s="162">
        <f t="shared" si="431"/>
        <v>3801.7140330363382</v>
      </c>
      <c r="AR603" s="580">
        <f t="shared" si="432"/>
        <v>0.5424820252620346</v>
      </c>
      <c r="AS603" s="582">
        <f>AR603</f>
        <v>0.5424820252620346</v>
      </c>
      <c r="AT603" s="165"/>
      <c r="AU603" s="166"/>
      <c r="AV603" s="167"/>
      <c r="AW603" s="146"/>
      <c r="AX603" s="168"/>
    </row>
    <row r="604" spans="1:50" ht="11.25" x14ac:dyDescent="0.25">
      <c r="A604" s="140">
        <v>3</v>
      </c>
      <c r="B604" s="345" t="s">
        <v>610</v>
      </c>
      <c r="C604" s="235"/>
      <c r="D604" s="236"/>
      <c r="E604" s="236"/>
      <c r="F604" s="236"/>
      <c r="G604" s="236"/>
      <c r="H604" s="236"/>
      <c r="I604" s="236"/>
      <c r="J604" s="236"/>
      <c r="K604" s="236"/>
      <c r="L604" s="236"/>
      <c r="M604" s="236">
        <v>55784</v>
      </c>
      <c r="N604" s="236"/>
      <c r="O604" s="237"/>
      <c r="P604" s="223">
        <f t="shared" si="423"/>
        <v>55784</v>
      </c>
      <c r="Q604" s="147">
        <f t="shared" si="424"/>
        <v>6136.24</v>
      </c>
      <c r="R604" s="147">
        <f t="shared" si="425"/>
        <v>16.811616438356165</v>
      </c>
      <c r="S604" s="148">
        <f t="shared" si="426"/>
        <v>3681.7439999999997</v>
      </c>
      <c r="T604" s="199"/>
      <c r="U604" s="150"/>
      <c r="V604" s="249"/>
      <c r="W604" s="249"/>
      <c r="X604" s="152"/>
      <c r="Y604" s="153"/>
      <c r="Z604" s="153"/>
      <c r="AA604" s="154"/>
      <c r="AB604" s="155">
        <f>S604*$AB$3</f>
        <v>2135.4115199999997</v>
      </c>
      <c r="AC604" s="156">
        <f>S604*$AC$3</f>
        <v>478.62671999999998</v>
      </c>
      <c r="AD604" s="156">
        <f>S604*$AD$3</f>
        <v>323.07303599999995</v>
      </c>
      <c r="AE604" s="156">
        <f>S604*$AE$3</f>
        <v>147.26975999999999</v>
      </c>
      <c r="AF604" s="156">
        <f>S604*$AF$3</f>
        <v>73.634879999999995</v>
      </c>
      <c r="AG604" s="156">
        <f>S604*$AG$3</f>
        <v>73.634879999999995</v>
      </c>
      <c r="AH604" s="156">
        <f>S604*$AH$3</f>
        <v>36.817439999999998</v>
      </c>
      <c r="AI604" s="156">
        <f>S604*$AI$3</f>
        <v>73.634879999999995</v>
      </c>
      <c r="AJ604" s="156">
        <f>S604*$AJ$3</f>
        <v>73.634879999999995</v>
      </c>
      <c r="AK604" s="156">
        <f>S604*$AK$3</f>
        <v>257.72208000000001</v>
      </c>
      <c r="AL604" s="157">
        <f t="shared" si="427"/>
        <v>1133.0567160000001</v>
      </c>
      <c r="AM604" s="158">
        <f t="shared" si="428"/>
        <v>2200</v>
      </c>
      <c r="AN604" s="159">
        <v>0.2</v>
      </c>
      <c r="AO604" s="160">
        <f t="shared" si="429"/>
        <v>30105730.183066558</v>
      </c>
      <c r="AP604" s="161">
        <f t="shared" si="430"/>
        <v>8362.7034976458253</v>
      </c>
      <c r="AQ604" s="162">
        <f t="shared" si="431"/>
        <v>1672.5406995291651</v>
      </c>
      <c r="AR604" s="580">
        <f t="shared" si="432"/>
        <v>0.2386616294990247</v>
      </c>
      <c r="AS604" s="582">
        <f>AR604</f>
        <v>0.2386616294990247</v>
      </c>
      <c r="AT604" s="165"/>
      <c r="AU604" s="166"/>
      <c r="AV604" s="167"/>
      <c r="AW604" s="146"/>
      <c r="AX604" s="168"/>
    </row>
    <row r="605" spans="1:50" ht="11.25" x14ac:dyDescent="0.25">
      <c r="A605" s="140">
        <v>4</v>
      </c>
      <c r="B605" s="345" t="s">
        <v>611</v>
      </c>
      <c r="C605" s="235"/>
      <c r="D605" s="236"/>
      <c r="E605" s="236"/>
      <c r="F605" s="236"/>
      <c r="G605" s="236"/>
      <c r="H605" s="236"/>
      <c r="I605" s="236"/>
      <c r="J605" s="236"/>
      <c r="K605" s="236"/>
      <c r="L605" s="236"/>
      <c r="M605" s="236">
        <v>62119</v>
      </c>
      <c r="N605" s="236"/>
      <c r="O605" s="237"/>
      <c r="P605" s="223">
        <f t="shared" si="423"/>
        <v>62119</v>
      </c>
      <c r="Q605" s="147">
        <f t="shared" si="424"/>
        <v>6833.09</v>
      </c>
      <c r="R605" s="147">
        <f t="shared" si="425"/>
        <v>18.720794520547944</v>
      </c>
      <c r="S605" s="148">
        <f t="shared" si="426"/>
        <v>4099.8539999999994</v>
      </c>
      <c r="T605" s="199"/>
      <c r="U605" s="150"/>
      <c r="V605" s="249"/>
      <c r="W605" s="249"/>
      <c r="X605" s="152"/>
      <c r="Y605" s="153"/>
      <c r="Z605" s="153"/>
      <c r="AA605" s="154"/>
      <c r="AB605" s="155">
        <f>S605*$AB$3</f>
        <v>2377.9153199999996</v>
      </c>
      <c r="AC605" s="156">
        <f>S605*$AC$3</f>
        <v>532.98101999999994</v>
      </c>
      <c r="AD605" s="156">
        <f>S605*$AD$3</f>
        <v>359.76218849999992</v>
      </c>
      <c r="AE605" s="156">
        <f>S605*$AE$3</f>
        <v>163.99415999999997</v>
      </c>
      <c r="AF605" s="156">
        <f>S605*$AF$3</f>
        <v>81.997079999999983</v>
      </c>
      <c r="AG605" s="156">
        <f>S605*$AG$3</f>
        <v>81.997079999999983</v>
      </c>
      <c r="AH605" s="156">
        <f>S605*$AH$3</f>
        <v>40.998539999999991</v>
      </c>
      <c r="AI605" s="156">
        <f>S605*$AI$3</f>
        <v>81.997079999999983</v>
      </c>
      <c r="AJ605" s="156">
        <f>S605*$AJ$3</f>
        <v>81.997079999999983</v>
      </c>
      <c r="AK605" s="156">
        <f>S605*$AK$3</f>
        <v>286.98978</v>
      </c>
      <c r="AL605" s="157">
        <f t="shared" si="427"/>
        <v>1261.7300685</v>
      </c>
      <c r="AM605" s="158">
        <f t="shared" si="428"/>
        <v>2200</v>
      </c>
      <c r="AN605" s="159">
        <v>0.2</v>
      </c>
      <c r="AO605" s="160">
        <f t="shared" si="429"/>
        <v>33524628.087657955</v>
      </c>
      <c r="AP605" s="161">
        <f t="shared" si="430"/>
        <v>9312.3974360078337</v>
      </c>
      <c r="AQ605" s="162">
        <f t="shared" si="431"/>
        <v>1862.4794872015668</v>
      </c>
      <c r="AR605" s="580">
        <f t="shared" si="432"/>
        <v>0.26576476700935597</v>
      </c>
      <c r="AS605" s="582">
        <f>AR605</f>
        <v>0.26576476700935597</v>
      </c>
      <c r="AT605" s="165"/>
      <c r="AU605" s="166"/>
      <c r="AV605" s="167"/>
      <c r="AW605" s="146"/>
      <c r="AX605" s="168"/>
    </row>
    <row r="606" spans="1:50" ht="11.25" x14ac:dyDescent="0.25">
      <c r="A606" s="140">
        <v>5</v>
      </c>
      <c r="B606" s="342" t="s">
        <v>612</v>
      </c>
      <c r="C606" s="235"/>
      <c r="D606" s="236"/>
      <c r="E606" s="236"/>
      <c r="F606" s="236"/>
      <c r="G606" s="236"/>
      <c r="H606" s="236"/>
      <c r="I606" s="236"/>
      <c r="J606" s="236"/>
      <c r="K606" s="236"/>
      <c r="L606" s="236"/>
      <c r="M606" s="236">
        <v>84230</v>
      </c>
      <c r="N606" s="236"/>
      <c r="O606" s="237"/>
      <c r="P606" s="223">
        <f t="shared" si="423"/>
        <v>84230</v>
      </c>
      <c r="Q606" s="147">
        <f t="shared" si="424"/>
        <v>9265.2999999999993</v>
      </c>
      <c r="R606" s="147">
        <f t="shared" si="425"/>
        <v>25.384383561643833</v>
      </c>
      <c r="S606" s="148">
        <f t="shared" si="426"/>
        <v>5559.1799999999994</v>
      </c>
      <c r="T606" s="199"/>
      <c r="U606" s="150"/>
      <c r="V606" s="249"/>
      <c r="W606" s="249"/>
      <c r="X606" s="152"/>
      <c r="Y606" s="153"/>
      <c r="Z606" s="153"/>
      <c r="AA606" s="154"/>
      <c r="AB606" s="155">
        <f>S606*$AB$3</f>
        <v>3224.3243999999995</v>
      </c>
      <c r="AC606" s="156">
        <f>S606*$AC$3</f>
        <v>722.6934</v>
      </c>
      <c r="AD606" s="156">
        <f>S606*$AD$3</f>
        <v>487.81804499999993</v>
      </c>
      <c r="AE606" s="156">
        <f>S606*$AE$3</f>
        <v>222.36719999999997</v>
      </c>
      <c r="AF606" s="156">
        <f>S606*$AF$3</f>
        <v>111.18359999999998</v>
      </c>
      <c r="AG606" s="156">
        <f>S606*$AG$3</f>
        <v>111.18359999999998</v>
      </c>
      <c r="AH606" s="156">
        <f>S606*$AH$3</f>
        <v>55.591799999999992</v>
      </c>
      <c r="AI606" s="156">
        <f>S606*$AI$3</f>
        <v>111.18359999999998</v>
      </c>
      <c r="AJ606" s="156">
        <f>S606*$AJ$3</f>
        <v>111.18359999999998</v>
      </c>
      <c r="AK606" s="156">
        <f>S606*$AK$3</f>
        <v>389.14260000000002</v>
      </c>
      <c r="AL606" s="157">
        <f t="shared" si="427"/>
        <v>1710.8376449999998</v>
      </c>
      <c r="AM606" s="158">
        <f t="shared" si="428"/>
        <v>2200</v>
      </c>
      <c r="AN606" s="159">
        <v>0.2</v>
      </c>
      <c r="AO606" s="160">
        <f t="shared" si="429"/>
        <v>45457580.190013193</v>
      </c>
      <c r="AP606" s="161">
        <f t="shared" si="430"/>
        <v>12627.106618505446</v>
      </c>
      <c r="AQ606" s="162">
        <f t="shared" si="431"/>
        <v>2525.4213237010895</v>
      </c>
      <c r="AR606" s="580">
        <f t="shared" si="432"/>
        <v>0.36036263180666234</v>
      </c>
      <c r="AS606" s="582">
        <f>AR606</f>
        <v>0.36036263180666234</v>
      </c>
      <c r="AT606" s="165"/>
      <c r="AU606" s="166"/>
      <c r="AV606" s="167"/>
      <c r="AW606" s="146"/>
      <c r="AX606" s="168"/>
    </row>
    <row r="607" spans="1:50" ht="11.25" x14ac:dyDescent="0.25">
      <c r="A607" s="140">
        <v>6</v>
      </c>
      <c r="B607" s="342" t="s">
        <v>613</v>
      </c>
      <c r="C607" s="235"/>
      <c r="D607" s="236"/>
      <c r="E607" s="236"/>
      <c r="F607" s="236"/>
      <c r="G607" s="236"/>
      <c r="H607" s="236"/>
      <c r="I607" s="236"/>
      <c r="J607" s="236"/>
      <c r="K607" s="236"/>
      <c r="L607" s="236"/>
      <c r="M607" s="236">
        <v>40490</v>
      </c>
      <c r="N607" s="236"/>
      <c r="O607" s="237"/>
      <c r="P607" s="223">
        <f t="shared" si="423"/>
        <v>40490</v>
      </c>
      <c r="Q607" s="147">
        <f t="shared" si="424"/>
        <v>4453.8999999999996</v>
      </c>
      <c r="R607" s="147">
        <f t="shared" si="425"/>
        <v>12.202465753424656</v>
      </c>
      <c r="S607" s="148">
        <f t="shared" si="426"/>
        <v>2672.3399999999997</v>
      </c>
      <c r="T607" s="199"/>
      <c r="U607" s="150"/>
      <c r="V607" s="249"/>
      <c r="W607" s="249"/>
      <c r="X607" s="152"/>
      <c r="Y607" s="153"/>
      <c r="Z607" s="153"/>
      <c r="AA607" s="154"/>
      <c r="AB607" s="155">
        <f>S607*$AB$3</f>
        <v>1549.9571999999996</v>
      </c>
      <c r="AC607" s="156">
        <f>S607*$AC$3</f>
        <v>347.40419999999995</v>
      </c>
      <c r="AD607" s="156">
        <f>S607*$AD$3</f>
        <v>234.49783499999995</v>
      </c>
      <c r="AE607" s="156">
        <f>S607*$AE$3</f>
        <v>106.89359999999999</v>
      </c>
      <c r="AF607" s="156">
        <f>S607*$AF$3</f>
        <v>53.446799999999996</v>
      </c>
      <c r="AG607" s="156">
        <f>S607*$AG$3</f>
        <v>53.446799999999996</v>
      </c>
      <c r="AH607" s="156">
        <f>S607*$AH$3</f>
        <v>26.723399999999998</v>
      </c>
      <c r="AI607" s="156">
        <f>S607*$AI$3</f>
        <v>53.446799999999996</v>
      </c>
      <c r="AJ607" s="156">
        <f>S607*$AJ$3</f>
        <v>53.446799999999996</v>
      </c>
      <c r="AK607" s="156">
        <f>S607*$AK$3</f>
        <v>187.06379999999999</v>
      </c>
      <c r="AL607" s="157">
        <f t="shared" si="427"/>
        <v>822.4126349999998</v>
      </c>
      <c r="AM607" s="158">
        <f t="shared" si="428"/>
        <v>2200</v>
      </c>
      <c r="AN607" s="159">
        <v>0.2</v>
      </c>
      <c r="AO607" s="160">
        <f t="shared" si="429"/>
        <v>21851803.655391596</v>
      </c>
      <c r="AP607" s="161">
        <f t="shared" si="430"/>
        <v>6069.9459454266353</v>
      </c>
      <c r="AQ607" s="162">
        <f t="shared" si="431"/>
        <v>1213.9891890853271</v>
      </c>
      <c r="AR607" s="580">
        <f t="shared" si="432"/>
        <v>0.17322905095395649</v>
      </c>
      <c r="AS607" s="582">
        <f t="shared" ref="AS607:AS630" si="433">AR607</f>
        <v>0.17322905095395649</v>
      </c>
      <c r="AT607" s="165"/>
      <c r="AU607" s="166"/>
      <c r="AV607" s="167"/>
      <c r="AW607" s="146"/>
      <c r="AX607" s="168"/>
    </row>
    <row r="608" spans="1:50" ht="11.25" x14ac:dyDescent="0.25">
      <c r="A608" s="140">
        <v>7</v>
      </c>
      <c r="B608" s="342" t="s">
        <v>614</v>
      </c>
      <c r="C608" s="235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>
        <v>111943</v>
      </c>
      <c r="N608" s="236"/>
      <c r="O608" s="237"/>
      <c r="P608" s="223">
        <f t="shared" si="423"/>
        <v>111943</v>
      </c>
      <c r="Q608" s="147">
        <f t="shared" si="424"/>
        <v>12313.73</v>
      </c>
      <c r="R608" s="147">
        <f t="shared" si="425"/>
        <v>33.736246575342463</v>
      </c>
      <c r="S608" s="148">
        <f t="shared" si="426"/>
        <v>7388.2379999999994</v>
      </c>
      <c r="T608" s="199"/>
      <c r="U608" s="150"/>
      <c r="V608" s="249"/>
      <c r="W608" s="249"/>
      <c r="X608" s="152"/>
      <c r="Y608" s="153"/>
      <c r="Z608" s="153"/>
      <c r="AA608" s="154"/>
      <c r="AB608" s="155">
        <f>S608*$AB$3</f>
        <v>4285.1780399999998</v>
      </c>
      <c r="AC608" s="156">
        <f>S608*$AC$3</f>
        <v>960.47093999999993</v>
      </c>
      <c r="AD608" s="156">
        <f>S608*$AD$3</f>
        <v>648.31788449999988</v>
      </c>
      <c r="AE608" s="156">
        <f>S608*$AE$3</f>
        <v>295.52951999999999</v>
      </c>
      <c r="AF608" s="156">
        <f>S608*$AF$3</f>
        <v>147.76476</v>
      </c>
      <c r="AG608" s="156">
        <f>S608*$AG$3</f>
        <v>147.76476</v>
      </c>
      <c r="AH608" s="156">
        <f>S608*$AH$3</f>
        <v>73.882379999999998</v>
      </c>
      <c r="AI608" s="156">
        <f>S608*$AI$3</f>
        <v>147.76476</v>
      </c>
      <c r="AJ608" s="156">
        <f>S608*$AJ$3</f>
        <v>147.76476</v>
      </c>
      <c r="AK608" s="156">
        <f>S608*$AK$3</f>
        <v>517.17665999999997</v>
      </c>
      <c r="AL608" s="157">
        <f t="shared" si="427"/>
        <v>2273.7302445</v>
      </c>
      <c r="AM608" s="158">
        <f t="shared" si="428"/>
        <v>2200</v>
      </c>
      <c r="AN608" s="159">
        <v>0.2</v>
      </c>
      <c r="AO608" s="160">
        <f t="shared" si="429"/>
        <v>60413841.852198109</v>
      </c>
      <c r="AP608" s="161">
        <f t="shared" si="430"/>
        <v>16781.624079251516</v>
      </c>
      <c r="AQ608" s="162">
        <f t="shared" si="431"/>
        <v>3356.3248158503034</v>
      </c>
      <c r="AR608" s="580">
        <f t="shared" si="432"/>
        <v>0.47892762783252046</v>
      </c>
      <c r="AS608" s="582">
        <f t="shared" si="433"/>
        <v>0.47892762783252046</v>
      </c>
      <c r="AT608" s="165"/>
      <c r="AU608" s="166"/>
      <c r="AV608" s="167"/>
      <c r="AW608" s="146"/>
      <c r="AX608" s="168"/>
    </row>
    <row r="609" spans="1:50" ht="11.25" x14ac:dyDescent="0.25">
      <c r="A609" s="140">
        <v>8</v>
      </c>
      <c r="B609" s="342" t="s">
        <v>615</v>
      </c>
      <c r="C609" s="235"/>
      <c r="D609" s="236"/>
      <c r="E609" s="236"/>
      <c r="F609" s="236"/>
      <c r="G609" s="236"/>
      <c r="H609" s="236"/>
      <c r="I609" s="236"/>
      <c r="J609" s="236"/>
      <c r="K609" s="236"/>
      <c r="L609" s="236"/>
      <c r="M609" s="236">
        <v>196085</v>
      </c>
      <c r="N609" s="236"/>
      <c r="O609" s="237"/>
      <c r="P609" s="223">
        <f t="shared" si="423"/>
        <v>196085</v>
      </c>
      <c r="Q609" s="147">
        <f t="shared" si="424"/>
        <v>21569.35</v>
      </c>
      <c r="R609" s="147">
        <f t="shared" si="425"/>
        <v>59.094109589041089</v>
      </c>
      <c r="S609" s="148">
        <f t="shared" si="426"/>
        <v>12941.609999999999</v>
      </c>
      <c r="T609" s="199"/>
      <c r="U609" s="150"/>
      <c r="V609" s="249"/>
      <c r="W609" s="249"/>
      <c r="X609" s="152"/>
      <c r="Y609" s="153"/>
      <c r="Z609" s="153"/>
      <c r="AA609" s="154"/>
      <c r="AB609" s="155">
        <f>S609*$AB$3</f>
        <v>7506.1337999999987</v>
      </c>
      <c r="AC609" s="156">
        <f>S609*$AC$3</f>
        <v>1682.4092999999998</v>
      </c>
      <c r="AD609" s="156">
        <f>S609*$AD$3</f>
        <v>1135.6262774999998</v>
      </c>
      <c r="AE609" s="156">
        <f>S609*$AE$3</f>
        <v>517.6644</v>
      </c>
      <c r="AF609" s="156">
        <f>S609*$AF$3</f>
        <v>258.8322</v>
      </c>
      <c r="AG609" s="156">
        <f>S609*$AG$3</f>
        <v>258.8322</v>
      </c>
      <c r="AH609" s="156">
        <f>S609*$AH$3</f>
        <v>129.4161</v>
      </c>
      <c r="AI609" s="156">
        <f>S609*$AI$3</f>
        <v>258.8322</v>
      </c>
      <c r="AJ609" s="156">
        <f>S609*$AJ$3</f>
        <v>258.8322</v>
      </c>
      <c r="AK609" s="156">
        <f>S609*$AK$3</f>
        <v>905.91269999999997</v>
      </c>
      <c r="AL609" s="157">
        <f t="shared" si="427"/>
        <v>3982.7804774999995</v>
      </c>
      <c r="AM609" s="158">
        <f t="shared" si="428"/>
        <v>2200</v>
      </c>
      <c r="AN609" s="159">
        <v>0.2</v>
      </c>
      <c r="AO609" s="160">
        <f t="shared" si="429"/>
        <v>105823929.85348138</v>
      </c>
      <c r="AP609" s="161">
        <f t="shared" si="430"/>
        <v>29395.538422054382</v>
      </c>
      <c r="AQ609" s="162">
        <f t="shared" si="431"/>
        <v>5879.1076844108766</v>
      </c>
      <c r="AR609" s="580">
        <f t="shared" si="432"/>
        <v>0.83891376775269355</v>
      </c>
      <c r="AS609" s="582">
        <f t="shared" si="433"/>
        <v>0.83891376775269355</v>
      </c>
      <c r="AT609" s="165"/>
      <c r="AU609" s="166"/>
      <c r="AV609" s="167"/>
      <c r="AW609" s="146"/>
      <c r="AX609" s="168"/>
    </row>
    <row r="610" spans="1:50" ht="11.25" x14ac:dyDescent="0.25">
      <c r="A610" s="140">
        <v>9</v>
      </c>
      <c r="B610" s="342" t="s">
        <v>616</v>
      </c>
      <c r="C610" s="235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>
        <v>48536</v>
      </c>
      <c r="N610" s="236"/>
      <c r="O610" s="237"/>
      <c r="P610" s="223">
        <f t="shared" si="423"/>
        <v>48536</v>
      </c>
      <c r="Q610" s="147">
        <f t="shared" si="424"/>
        <v>5338.96</v>
      </c>
      <c r="R610" s="147">
        <f t="shared" si="425"/>
        <v>14.627287671232876</v>
      </c>
      <c r="S610" s="148">
        <f t="shared" si="426"/>
        <v>3203.3759999999997</v>
      </c>
      <c r="T610" s="199"/>
      <c r="U610" s="150"/>
      <c r="V610" s="249"/>
      <c r="W610" s="249"/>
      <c r="X610" s="152"/>
      <c r="Y610" s="153"/>
      <c r="Z610" s="153"/>
      <c r="AA610" s="154"/>
      <c r="AB610" s="155">
        <f>S610*$AB$3</f>
        <v>1857.9580799999997</v>
      </c>
      <c r="AC610" s="156">
        <f>S610*$AC$3</f>
        <v>416.43887999999998</v>
      </c>
      <c r="AD610" s="156">
        <f>S610*$AD$3</f>
        <v>281.09624399999996</v>
      </c>
      <c r="AE610" s="156">
        <f>S610*$AE$3</f>
        <v>128.13504</v>
      </c>
      <c r="AF610" s="156">
        <f>S610*$AF$3</f>
        <v>64.067520000000002</v>
      </c>
      <c r="AG610" s="156">
        <f>S610*$AG$3</f>
        <v>64.067520000000002</v>
      </c>
      <c r="AH610" s="156">
        <f>S610*$AH$3</f>
        <v>32.033760000000001</v>
      </c>
      <c r="AI610" s="156">
        <f>S610*$AI$3</f>
        <v>64.067520000000002</v>
      </c>
      <c r="AJ610" s="156">
        <f>S610*$AJ$3</f>
        <v>64.067520000000002</v>
      </c>
      <c r="AK610" s="156">
        <f>S610*$AK$3</f>
        <v>224.23632000000001</v>
      </c>
      <c r="AL610" s="157">
        <f t="shared" si="427"/>
        <v>985.83896400000003</v>
      </c>
      <c r="AM610" s="158">
        <f t="shared" si="428"/>
        <v>2200</v>
      </c>
      <c r="AN610" s="159">
        <v>0.2</v>
      </c>
      <c r="AO610" s="160">
        <f t="shared" si="429"/>
        <v>26194100.820402239</v>
      </c>
      <c r="AP610" s="161">
        <f t="shared" si="430"/>
        <v>7276.1396988695287</v>
      </c>
      <c r="AQ610" s="162">
        <f t="shared" si="431"/>
        <v>1455.2279397739057</v>
      </c>
      <c r="AR610" s="580">
        <f t="shared" si="432"/>
        <v>0.20765238866636782</v>
      </c>
      <c r="AS610" s="582">
        <f t="shared" si="433"/>
        <v>0.20765238866636782</v>
      </c>
      <c r="AT610" s="165"/>
      <c r="AU610" s="166"/>
      <c r="AV610" s="167"/>
      <c r="AW610" s="146"/>
      <c r="AX610" s="168"/>
    </row>
    <row r="611" spans="1:50" ht="11.25" x14ac:dyDescent="0.25">
      <c r="A611" s="140">
        <v>10</v>
      </c>
      <c r="B611" s="342" t="s">
        <v>617</v>
      </c>
      <c r="C611" s="235"/>
      <c r="D611" s="236"/>
      <c r="E611" s="236"/>
      <c r="F611" s="236"/>
      <c r="G611" s="236"/>
      <c r="H611" s="236"/>
      <c r="I611" s="236"/>
      <c r="J611" s="236"/>
      <c r="K611" s="236"/>
      <c r="L611" s="236"/>
      <c r="M611" s="236">
        <v>82951</v>
      </c>
      <c r="N611" s="236"/>
      <c r="O611" s="237"/>
      <c r="P611" s="223">
        <f t="shared" si="423"/>
        <v>82951</v>
      </c>
      <c r="Q611" s="147">
        <f t="shared" si="424"/>
        <v>9124.61</v>
      </c>
      <c r="R611" s="147">
        <f t="shared" si="425"/>
        <v>24.998931506849317</v>
      </c>
      <c r="S611" s="148">
        <f t="shared" si="426"/>
        <v>5474.7660000000005</v>
      </c>
      <c r="T611" s="199"/>
      <c r="U611" s="150"/>
      <c r="V611" s="249"/>
      <c r="W611" s="249"/>
      <c r="X611" s="152"/>
      <c r="Y611" s="153"/>
      <c r="Z611" s="153"/>
      <c r="AA611" s="154"/>
      <c r="AB611" s="155">
        <f>S611*$AB$3</f>
        <v>3175.3642800000002</v>
      </c>
      <c r="AC611" s="156">
        <f>S611*$AC$3</f>
        <v>711.71958000000006</v>
      </c>
      <c r="AD611" s="156">
        <f>S611*$AD$3</f>
        <v>480.41071650000004</v>
      </c>
      <c r="AE611" s="156">
        <f>S611*$AE$3</f>
        <v>218.99064000000001</v>
      </c>
      <c r="AF611" s="156">
        <f>S611*$AF$3</f>
        <v>109.49532000000001</v>
      </c>
      <c r="AG611" s="156">
        <f>S611*$AG$3</f>
        <v>109.49532000000001</v>
      </c>
      <c r="AH611" s="156">
        <f>S611*$AH$3</f>
        <v>54.747660000000003</v>
      </c>
      <c r="AI611" s="156">
        <f>S611*$AI$3</f>
        <v>109.49532000000001</v>
      </c>
      <c r="AJ611" s="156">
        <f>S611*$AJ$3</f>
        <v>109.49532000000001</v>
      </c>
      <c r="AK611" s="156">
        <f>S611*$AK$3</f>
        <v>383.23362000000009</v>
      </c>
      <c r="AL611" s="157">
        <f t="shared" si="427"/>
        <v>1684.8592365</v>
      </c>
      <c r="AM611" s="158">
        <f t="shared" si="428"/>
        <v>2200</v>
      </c>
      <c r="AN611" s="159">
        <v>0.2</v>
      </c>
      <c r="AO611" s="160">
        <f t="shared" si="429"/>
        <v>44767324.401540846</v>
      </c>
      <c r="AP611" s="161">
        <f t="shared" si="430"/>
        <v>12435.368884146332</v>
      </c>
      <c r="AQ611" s="162">
        <f t="shared" si="431"/>
        <v>2487.0737768292665</v>
      </c>
      <c r="AR611" s="580">
        <f t="shared" si="432"/>
        <v>0.35489066450189305</v>
      </c>
      <c r="AS611" s="582">
        <f t="shared" si="433"/>
        <v>0.35489066450189305</v>
      </c>
      <c r="AT611" s="165"/>
      <c r="AU611" s="166"/>
      <c r="AV611" s="167"/>
      <c r="AW611" s="146"/>
      <c r="AX611" s="168"/>
    </row>
    <row r="612" spans="1:50" ht="11.25" x14ac:dyDescent="0.25">
      <c r="A612" s="140">
        <v>11</v>
      </c>
      <c r="B612" s="342" t="s">
        <v>618</v>
      </c>
      <c r="C612" s="235"/>
      <c r="D612" s="236"/>
      <c r="E612" s="236"/>
      <c r="F612" s="236"/>
      <c r="G612" s="236"/>
      <c r="H612" s="236"/>
      <c r="I612" s="236"/>
      <c r="J612" s="236"/>
      <c r="K612" s="236"/>
      <c r="L612" s="236"/>
      <c r="M612" s="236">
        <v>148522</v>
      </c>
      <c r="N612" s="236"/>
      <c r="O612" s="237"/>
      <c r="P612" s="223">
        <f t="shared" si="423"/>
        <v>148522</v>
      </c>
      <c r="Q612" s="147">
        <f t="shared" si="424"/>
        <v>16337.42</v>
      </c>
      <c r="R612" s="147">
        <f t="shared" si="425"/>
        <v>44.760054794520549</v>
      </c>
      <c r="S612" s="148">
        <f t="shared" si="426"/>
        <v>9802.4519999999993</v>
      </c>
      <c r="T612" s="199"/>
      <c r="U612" s="150"/>
      <c r="V612" s="249"/>
      <c r="W612" s="249"/>
      <c r="X612" s="152"/>
      <c r="Y612" s="153"/>
      <c r="Z612" s="153"/>
      <c r="AA612" s="154"/>
      <c r="AB612" s="155">
        <f>S612*$AB$3</f>
        <v>5685.4221599999992</v>
      </c>
      <c r="AC612" s="156">
        <f>S612*$AC$3</f>
        <v>1274.3187599999999</v>
      </c>
      <c r="AD612" s="156">
        <f>S612*$AD$3</f>
        <v>860.16516299999989</v>
      </c>
      <c r="AE612" s="156">
        <f>S612*$AE$3</f>
        <v>392.09807999999998</v>
      </c>
      <c r="AF612" s="156">
        <f>S612*$AF$3</f>
        <v>196.04903999999999</v>
      </c>
      <c r="AG612" s="156">
        <f>S612*$AG$3</f>
        <v>196.04903999999999</v>
      </c>
      <c r="AH612" s="156">
        <f>S612*$AH$3</f>
        <v>98.024519999999995</v>
      </c>
      <c r="AI612" s="156">
        <f>S612*$AI$3</f>
        <v>196.04903999999999</v>
      </c>
      <c r="AJ612" s="156">
        <f>S612*$AJ$3</f>
        <v>196.04903999999999</v>
      </c>
      <c r="AK612" s="156">
        <f>S612*$AK$3</f>
        <v>686.17164000000002</v>
      </c>
      <c r="AL612" s="157">
        <f t="shared" si="427"/>
        <v>3016.7046029999992</v>
      </c>
      <c r="AM612" s="158">
        <f t="shared" si="428"/>
        <v>2200</v>
      </c>
      <c r="AN612" s="159">
        <v>0.2</v>
      </c>
      <c r="AO612" s="160">
        <f t="shared" si="429"/>
        <v>80154941.528922468</v>
      </c>
      <c r="AP612" s="161">
        <f t="shared" si="430"/>
        <v>22265.263317032721</v>
      </c>
      <c r="AQ612" s="162">
        <f t="shared" si="431"/>
        <v>4453.0526634065445</v>
      </c>
      <c r="AR612" s="580">
        <f t="shared" si="432"/>
        <v>0.63542418142216672</v>
      </c>
      <c r="AS612" s="582">
        <f t="shared" si="433"/>
        <v>0.63542418142216672</v>
      </c>
      <c r="AT612" s="165"/>
      <c r="AU612" s="166"/>
      <c r="AV612" s="167"/>
      <c r="AW612" s="146"/>
      <c r="AX612" s="168"/>
    </row>
    <row r="613" spans="1:50" ht="11.25" x14ac:dyDescent="0.25">
      <c r="A613" s="140">
        <v>12</v>
      </c>
      <c r="B613" s="345" t="s">
        <v>619</v>
      </c>
      <c r="C613" s="235"/>
      <c r="D613" s="236"/>
      <c r="E613" s="236"/>
      <c r="F613" s="236"/>
      <c r="G613" s="236"/>
      <c r="H613" s="236"/>
      <c r="I613" s="236"/>
      <c r="J613" s="236"/>
      <c r="K613" s="236"/>
      <c r="L613" s="236"/>
      <c r="M613" s="236">
        <v>18365</v>
      </c>
      <c r="N613" s="236"/>
      <c r="O613" s="237"/>
      <c r="P613" s="223">
        <f t="shared" si="423"/>
        <v>18365</v>
      </c>
      <c r="Q613" s="147">
        <f t="shared" si="424"/>
        <v>2020.15</v>
      </c>
      <c r="R613" s="147">
        <f t="shared" si="425"/>
        <v>5.534657534246576</v>
      </c>
      <c r="S613" s="148">
        <f t="shared" si="426"/>
        <v>1212.0900000000001</v>
      </c>
      <c r="T613" s="199"/>
      <c r="U613" s="150"/>
      <c r="V613" s="249"/>
      <c r="W613" s="249"/>
      <c r="X613" s="152"/>
      <c r="Y613" s="153"/>
      <c r="Z613" s="153"/>
      <c r="AA613" s="154"/>
      <c r="AB613" s="155">
        <f>S613*$AB$3</f>
        <v>703.01220000000001</v>
      </c>
      <c r="AC613" s="156">
        <f>S613*$AC$3</f>
        <v>157.57170000000002</v>
      </c>
      <c r="AD613" s="156">
        <f>S613*$AD$3</f>
        <v>106.36089750000001</v>
      </c>
      <c r="AE613" s="156">
        <f>S613*$AE$3</f>
        <v>48.48360000000001</v>
      </c>
      <c r="AF613" s="156">
        <f>S613*$AF$3</f>
        <v>24.241800000000005</v>
      </c>
      <c r="AG613" s="156">
        <f>S613*$AG$3</f>
        <v>24.241800000000005</v>
      </c>
      <c r="AH613" s="156">
        <f>S613*$AH$3</f>
        <v>12.120900000000002</v>
      </c>
      <c r="AI613" s="156">
        <f>S613*$AI$3</f>
        <v>24.241800000000005</v>
      </c>
      <c r="AJ613" s="156">
        <f>S613*$AJ$3</f>
        <v>24.241800000000005</v>
      </c>
      <c r="AK613" s="156">
        <f>S613*$AK$3</f>
        <v>84.846300000000014</v>
      </c>
      <c r="AL613" s="157">
        <f t="shared" si="427"/>
        <v>373.0206975000001</v>
      </c>
      <c r="AM613" s="158">
        <f t="shared" si="428"/>
        <v>2200</v>
      </c>
      <c r="AN613" s="159">
        <v>0.2</v>
      </c>
      <c r="AO613" s="160">
        <f t="shared" si="429"/>
        <v>9911295.9775566012</v>
      </c>
      <c r="AP613" s="161">
        <f t="shared" si="430"/>
        <v>2753.1379917945219</v>
      </c>
      <c r="AQ613" s="162">
        <f t="shared" si="431"/>
        <v>550.62759835890438</v>
      </c>
      <c r="AR613" s="580">
        <f t="shared" si="432"/>
        <v>7.8571289720163293E-2</v>
      </c>
      <c r="AS613" s="582">
        <f t="shared" si="433"/>
        <v>7.8571289720163293E-2</v>
      </c>
      <c r="AT613" s="165"/>
      <c r="AU613" s="166"/>
      <c r="AV613" s="167"/>
      <c r="AW613" s="146"/>
      <c r="AX613" s="168"/>
    </row>
    <row r="614" spans="1:50" ht="11.25" x14ac:dyDescent="0.25">
      <c r="A614" s="140">
        <v>13</v>
      </c>
      <c r="B614" s="345" t="s">
        <v>620</v>
      </c>
      <c r="C614" s="235"/>
      <c r="D614" s="236"/>
      <c r="E614" s="236"/>
      <c r="F614" s="236"/>
      <c r="G614" s="236"/>
      <c r="H614" s="236"/>
      <c r="I614" s="236"/>
      <c r="J614" s="236"/>
      <c r="K614" s="236"/>
      <c r="L614" s="236"/>
      <c r="M614" s="236">
        <v>39537</v>
      </c>
      <c r="N614" s="236"/>
      <c r="O614" s="237"/>
      <c r="P614" s="223">
        <f t="shared" si="423"/>
        <v>39537</v>
      </c>
      <c r="Q614" s="147">
        <f t="shared" si="424"/>
        <v>4349.07</v>
      </c>
      <c r="R614" s="147">
        <f t="shared" si="425"/>
        <v>11.915260273972603</v>
      </c>
      <c r="S614" s="148">
        <f t="shared" si="426"/>
        <v>2609.4419999999996</v>
      </c>
      <c r="T614" s="199"/>
      <c r="U614" s="150"/>
      <c r="V614" s="249"/>
      <c r="W614" s="249"/>
      <c r="X614" s="152"/>
      <c r="Y614" s="153"/>
      <c r="Z614" s="153"/>
      <c r="AA614" s="154"/>
      <c r="AB614" s="155">
        <f>S614*$AB$3</f>
        <v>1513.4763599999997</v>
      </c>
      <c r="AC614" s="156">
        <f>S614*$AC$3</f>
        <v>339.22745999999995</v>
      </c>
      <c r="AD614" s="156">
        <f>S614*$AD$3</f>
        <v>228.97853549999994</v>
      </c>
      <c r="AE614" s="156">
        <f>S614*$AE$3</f>
        <v>104.37767999999998</v>
      </c>
      <c r="AF614" s="156">
        <f>S614*$AF$3</f>
        <v>52.188839999999992</v>
      </c>
      <c r="AG614" s="156">
        <f>S614*$AG$3</f>
        <v>52.188839999999992</v>
      </c>
      <c r="AH614" s="156">
        <f>S614*$AH$3</f>
        <v>26.094419999999996</v>
      </c>
      <c r="AI614" s="156">
        <f>S614*$AI$3</f>
        <v>52.188839999999992</v>
      </c>
      <c r="AJ614" s="156">
        <f>S614*$AJ$3</f>
        <v>52.188839999999992</v>
      </c>
      <c r="AK614" s="156">
        <f>S614*$AK$3</f>
        <v>182.66093999999998</v>
      </c>
      <c r="AL614" s="157">
        <f t="shared" si="427"/>
        <v>803.05577549999987</v>
      </c>
      <c r="AM614" s="158">
        <f t="shared" si="428"/>
        <v>2200</v>
      </c>
      <c r="AN614" s="159">
        <v>0.2</v>
      </c>
      <c r="AO614" s="160">
        <f t="shared" si="429"/>
        <v>21337484.838805076</v>
      </c>
      <c r="AP614" s="161">
        <f t="shared" si="430"/>
        <v>5927.0795960566284</v>
      </c>
      <c r="AQ614" s="162">
        <f t="shared" si="431"/>
        <v>1185.4159192113257</v>
      </c>
      <c r="AR614" s="580">
        <f t="shared" si="432"/>
        <v>0.16915181495595399</v>
      </c>
      <c r="AS614" s="582">
        <f t="shared" si="433"/>
        <v>0.16915181495595399</v>
      </c>
      <c r="AT614" s="165"/>
      <c r="AU614" s="166"/>
      <c r="AV614" s="167"/>
      <c r="AW614" s="146"/>
      <c r="AX614" s="168"/>
    </row>
    <row r="615" spans="1:50" ht="11.25" x14ac:dyDescent="0.25">
      <c r="A615" s="140">
        <v>14</v>
      </c>
      <c r="B615" s="345" t="s">
        <v>621</v>
      </c>
      <c r="C615" s="235"/>
      <c r="D615" s="236"/>
      <c r="E615" s="236"/>
      <c r="F615" s="236"/>
      <c r="G615" s="236"/>
      <c r="H615" s="236"/>
      <c r="I615" s="236"/>
      <c r="J615" s="236"/>
      <c r="K615" s="236"/>
      <c r="L615" s="236"/>
      <c r="M615" s="236">
        <v>81658</v>
      </c>
      <c r="N615" s="236"/>
      <c r="O615" s="237"/>
      <c r="P615" s="223">
        <f t="shared" si="423"/>
        <v>81658</v>
      </c>
      <c r="Q615" s="147">
        <f t="shared" si="424"/>
        <v>8982.3799999999992</v>
      </c>
      <c r="R615" s="147">
        <f t="shared" si="425"/>
        <v>24.609260273972602</v>
      </c>
      <c r="S615" s="148">
        <f t="shared" si="426"/>
        <v>5389.427999999999</v>
      </c>
      <c r="T615" s="199"/>
      <c r="U615" s="150"/>
      <c r="V615" s="249"/>
      <c r="W615" s="249"/>
      <c r="X615" s="152"/>
      <c r="Y615" s="153"/>
      <c r="Z615" s="153"/>
      <c r="AA615" s="154"/>
      <c r="AB615" s="155">
        <f>S615*$AB$3</f>
        <v>3125.8682399999993</v>
      </c>
      <c r="AC615" s="156">
        <f>S615*$AC$3</f>
        <v>700.62563999999986</v>
      </c>
      <c r="AD615" s="156">
        <f>S615*$AD$3</f>
        <v>472.92230699999988</v>
      </c>
      <c r="AE615" s="156">
        <f>S615*$AE$3</f>
        <v>215.57711999999995</v>
      </c>
      <c r="AF615" s="156">
        <f>S615*$AF$3</f>
        <v>107.78855999999998</v>
      </c>
      <c r="AG615" s="156">
        <f>S615*$AG$3</f>
        <v>107.78855999999998</v>
      </c>
      <c r="AH615" s="156">
        <f>S615*$AH$3</f>
        <v>53.894279999999988</v>
      </c>
      <c r="AI615" s="156">
        <f>S615*$AI$3</f>
        <v>107.78855999999998</v>
      </c>
      <c r="AJ615" s="156">
        <f>S615*$AJ$3</f>
        <v>107.78855999999998</v>
      </c>
      <c r="AK615" s="156">
        <f>S615*$AK$3</f>
        <v>377.25995999999998</v>
      </c>
      <c r="AL615" s="157">
        <f t="shared" si="427"/>
        <v>1658.5964669999996</v>
      </c>
      <c r="AM615" s="158">
        <f t="shared" si="428"/>
        <v>2200</v>
      </c>
      <c r="AN615" s="159">
        <v>0.2</v>
      </c>
      <c r="AO615" s="160">
        <f t="shared" si="429"/>
        <v>44069513.037588708</v>
      </c>
      <c r="AP615" s="161">
        <f t="shared" si="430"/>
        <v>12241.532378652708</v>
      </c>
      <c r="AQ615" s="162">
        <f t="shared" si="431"/>
        <v>2448.3064757305415</v>
      </c>
      <c r="AR615" s="580">
        <f t="shared" si="432"/>
        <v>0.34935880076063663</v>
      </c>
      <c r="AS615" s="582">
        <f t="shared" si="433"/>
        <v>0.34935880076063663</v>
      </c>
      <c r="AT615" s="165"/>
      <c r="AU615" s="166"/>
      <c r="AV615" s="167"/>
      <c r="AW615" s="146"/>
      <c r="AX615" s="168"/>
    </row>
    <row r="616" spans="1:50" ht="11.25" x14ac:dyDescent="0.25">
      <c r="A616" s="140">
        <v>15</v>
      </c>
      <c r="B616" s="342" t="s">
        <v>622</v>
      </c>
      <c r="C616" s="235"/>
      <c r="D616" s="236"/>
      <c r="E616" s="236"/>
      <c r="F616" s="236"/>
      <c r="G616" s="236"/>
      <c r="H616" s="236"/>
      <c r="I616" s="236"/>
      <c r="J616" s="236"/>
      <c r="K616" s="236"/>
      <c r="L616" s="236"/>
      <c r="M616" s="236">
        <v>195716</v>
      </c>
      <c r="N616" s="236"/>
      <c r="O616" s="237"/>
      <c r="P616" s="223">
        <f t="shared" si="423"/>
        <v>195716</v>
      </c>
      <c r="Q616" s="147">
        <f t="shared" si="424"/>
        <v>21528.76</v>
      </c>
      <c r="R616" s="147">
        <f t="shared" si="425"/>
        <v>58.982904109589036</v>
      </c>
      <c r="S616" s="148">
        <f t="shared" si="426"/>
        <v>12917.255999999999</v>
      </c>
      <c r="T616" s="199"/>
      <c r="U616" s="150"/>
      <c r="V616" s="249"/>
      <c r="W616" s="249"/>
      <c r="X616" s="152"/>
      <c r="Y616" s="153"/>
      <c r="Z616" s="153"/>
      <c r="AA616" s="154"/>
      <c r="AB616" s="155">
        <f>S616*$AB$3</f>
        <v>7492.0084799999995</v>
      </c>
      <c r="AC616" s="156">
        <f>S616*$AC$3</f>
        <v>1679.2432799999999</v>
      </c>
      <c r="AD616" s="156">
        <f>S616*$AD$3</f>
        <v>1133.4892139999999</v>
      </c>
      <c r="AE616" s="156">
        <f>S616*$AE$3</f>
        <v>516.69024000000002</v>
      </c>
      <c r="AF616" s="156">
        <f>S616*$AF$3</f>
        <v>258.34512000000001</v>
      </c>
      <c r="AG616" s="156">
        <f>S616*$AG$3</f>
        <v>258.34512000000001</v>
      </c>
      <c r="AH616" s="156">
        <f>S616*$AH$3</f>
        <v>129.17256</v>
      </c>
      <c r="AI616" s="156">
        <f>S616*$AI$3</f>
        <v>258.34512000000001</v>
      </c>
      <c r="AJ616" s="156">
        <f>S616*$AJ$3</f>
        <v>258.34512000000001</v>
      </c>
      <c r="AK616" s="156">
        <f>S616*$AK$3</f>
        <v>904.20792000000006</v>
      </c>
      <c r="AL616" s="157">
        <f t="shared" si="427"/>
        <v>3975.2855339999996</v>
      </c>
      <c r="AM616" s="158">
        <f t="shared" si="428"/>
        <v>2200</v>
      </c>
      <c r="AN616" s="159">
        <v>0.2</v>
      </c>
      <c r="AO616" s="160">
        <f t="shared" si="429"/>
        <v>105624786.47119342</v>
      </c>
      <c r="AP616" s="161">
        <f t="shared" si="430"/>
        <v>29340.22081143787</v>
      </c>
      <c r="AQ616" s="162">
        <f t="shared" si="431"/>
        <v>5868.0441622875742</v>
      </c>
      <c r="AR616" s="580">
        <f t="shared" si="432"/>
        <v>0.83733506881957398</v>
      </c>
      <c r="AS616" s="582">
        <f t="shared" si="433"/>
        <v>0.83733506881957398</v>
      </c>
      <c r="AT616" s="165"/>
      <c r="AU616" s="166"/>
      <c r="AV616" s="167"/>
      <c r="AW616" s="146"/>
      <c r="AX616" s="168"/>
    </row>
    <row r="617" spans="1:50" ht="11.25" x14ac:dyDescent="0.25">
      <c r="A617" s="140">
        <v>16</v>
      </c>
      <c r="B617" s="342" t="s">
        <v>623</v>
      </c>
      <c r="C617" s="235"/>
      <c r="D617" s="236"/>
      <c r="E617" s="236"/>
      <c r="F617" s="236"/>
      <c r="G617" s="236"/>
      <c r="H617" s="236"/>
      <c r="I617" s="236"/>
      <c r="J617" s="236"/>
      <c r="K617" s="236"/>
      <c r="L617" s="236"/>
      <c r="M617" s="236">
        <v>182001</v>
      </c>
      <c r="N617" s="236"/>
      <c r="O617" s="237"/>
      <c r="P617" s="223">
        <f t="shared" si="423"/>
        <v>182001</v>
      </c>
      <c r="Q617" s="147">
        <f t="shared" si="424"/>
        <v>20020.11</v>
      </c>
      <c r="R617" s="147">
        <f t="shared" si="425"/>
        <v>54.849616438356165</v>
      </c>
      <c r="S617" s="148">
        <f t="shared" si="426"/>
        <v>12012.066000000001</v>
      </c>
      <c r="T617" s="199"/>
      <c r="U617" s="150"/>
      <c r="V617" s="249"/>
      <c r="W617" s="249"/>
      <c r="X617" s="152"/>
      <c r="Y617" s="153"/>
      <c r="Z617" s="153"/>
      <c r="AA617" s="154"/>
      <c r="AB617" s="155">
        <f>S617*$AB$3</f>
        <v>6966.9982799999998</v>
      </c>
      <c r="AC617" s="156">
        <f>S617*$AC$3</f>
        <v>1561.5685800000001</v>
      </c>
      <c r="AD617" s="156">
        <f>S617*$AD$3</f>
        <v>1054.0587915000001</v>
      </c>
      <c r="AE617" s="156">
        <f>S617*$AE$3</f>
        <v>480.48264000000006</v>
      </c>
      <c r="AF617" s="156">
        <f>S617*$AF$3</f>
        <v>240.24132000000003</v>
      </c>
      <c r="AG617" s="156">
        <f>S617*$AG$3</f>
        <v>240.24132000000003</v>
      </c>
      <c r="AH617" s="156">
        <f>S617*$AH$3</f>
        <v>120.12066000000002</v>
      </c>
      <c r="AI617" s="156">
        <f>S617*$AI$3</f>
        <v>240.24132000000003</v>
      </c>
      <c r="AJ617" s="156">
        <f>S617*$AJ$3</f>
        <v>240.24132000000003</v>
      </c>
      <c r="AK617" s="156">
        <f>S617*$AK$3</f>
        <v>840.84462000000008</v>
      </c>
      <c r="AL617" s="157">
        <f t="shared" si="427"/>
        <v>3696.7133115000006</v>
      </c>
      <c r="AM617" s="158">
        <f t="shared" si="428"/>
        <v>2200</v>
      </c>
      <c r="AN617" s="159">
        <v>0.2</v>
      </c>
      <c r="AO617" s="160">
        <f t="shared" si="429"/>
        <v>98223020.920842841</v>
      </c>
      <c r="AP617" s="161">
        <f t="shared" si="430"/>
        <v>27284.174660745699</v>
      </c>
      <c r="AQ617" s="162">
        <f t="shared" si="431"/>
        <v>5456.8349321491405</v>
      </c>
      <c r="AR617" s="580">
        <f t="shared" si="432"/>
        <v>0.77865795264685222</v>
      </c>
      <c r="AS617" s="582">
        <f t="shared" si="433"/>
        <v>0.77865795264685222</v>
      </c>
      <c r="AT617" s="165"/>
      <c r="AU617" s="166"/>
      <c r="AV617" s="167"/>
      <c r="AW617" s="146"/>
      <c r="AX617" s="168"/>
    </row>
    <row r="618" spans="1:50" ht="11.25" x14ac:dyDescent="0.25">
      <c r="A618" s="140">
        <v>17</v>
      </c>
      <c r="B618" s="342" t="s">
        <v>624</v>
      </c>
      <c r="C618" s="235"/>
      <c r="D618" s="236"/>
      <c r="E618" s="236"/>
      <c r="F618" s="236"/>
      <c r="G618" s="236"/>
      <c r="H618" s="236"/>
      <c r="I618" s="236"/>
      <c r="J618" s="236"/>
      <c r="K618" s="236"/>
      <c r="L618" s="236"/>
      <c r="M618" s="236">
        <v>129893</v>
      </c>
      <c r="N618" s="236"/>
      <c r="O618" s="237"/>
      <c r="P618" s="223">
        <f t="shared" si="423"/>
        <v>129893</v>
      </c>
      <c r="Q618" s="147">
        <f t="shared" si="424"/>
        <v>14288.23</v>
      </c>
      <c r="R618" s="147">
        <f t="shared" si="425"/>
        <v>39.145835616438355</v>
      </c>
      <c r="S618" s="148">
        <f t="shared" si="426"/>
        <v>8572.9380000000001</v>
      </c>
      <c r="T618" s="199"/>
      <c r="U618" s="150"/>
      <c r="V618" s="249"/>
      <c r="W618" s="249"/>
      <c r="X618" s="152"/>
      <c r="Y618" s="153"/>
      <c r="Z618" s="153"/>
      <c r="AA618" s="154"/>
      <c r="AB618" s="155">
        <f>S618*$AB$3</f>
        <v>4972.30404</v>
      </c>
      <c r="AC618" s="156">
        <f>S618*$AC$3</f>
        <v>1114.4819400000001</v>
      </c>
      <c r="AD618" s="156">
        <f>S618*$AD$3</f>
        <v>752.27530949999993</v>
      </c>
      <c r="AE618" s="156">
        <f>S618*$AE$3</f>
        <v>342.91752000000002</v>
      </c>
      <c r="AF618" s="156">
        <f>S618*$AF$3</f>
        <v>171.45876000000001</v>
      </c>
      <c r="AG618" s="156">
        <f>S618*$AG$3</f>
        <v>171.45876000000001</v>
      </c>
      <c r="AH618" s="156">
        <f>S618*$AH$3</f>
        <v>85.729380000000006</v>
      </c>
      <c r="AI618" s="156">
        <f>S618*$AI$3</f>
        <v>171.45876000000001</v>
      </c>
      <c r="AJ618" s="156">
        <f>S618*$AJ$3</f>
        <v>171.45876000000001</v>
      </c>
      <c r="AK618" s="156">
        <f>S618*$AK$3</f>
        <v>600.10566000000006</v>
      </c>
      <c r="AL618" s="157">
        <f t="shared" si="427"/>
        <v>2638.3216695000001</v>
      </c>
      <c r="AM618" s="158">
        <f t="shared" si="428"/>
        <v>2200</v>
      </c>
      <c r="AN618" s="159">
        <v>0.2</v>
      </c>
      <c r="AO618" s="160">
        <f t="shared" si="429"/>
        <v>70101168.985176116</v>
      </c>
      <c r="AP618" s="161">
        <f t="shared" si="430"/>
        <v>19472.548498130454</v>
      </c>
      <c r="AQ618" s="162">
        <f t="shared" si="431"/>
        <v>3894.5096996260909</v>
      </c>
      <c r="AR618" s="580">
        <f t="shared" si="432"/>
        <v>0.55572341604253583</v>
      </c>
      <c r="AS618" s="582">
        <f t="shared" si="433"/>
        <v>0.55572341604253583</v>
      </c>
      <c r="AT618" s="165"/>
      <c r="AU618" s="166"/>
      <c r="AV618" s="167"/>
      <c r="AW618" s="146"/>
      <c r="AX618" s="168"/>
    </row>
    <row r="619" spans="1:50" ht="11.25" x14ac:dyDescent="0.25">
      <c r="A619" s="140">
        <v>18</v>
      </c>
      <c r="B619" s="342" t="s">
        <v>625</v>
      </c>
      <c r="C619" s="235"/>
      <c r="D619" s="236"/>
      <c r="E619" s="236"/>
      <c r="F619" s="236"/>
      <c r="G619" s="236"/>
      <c r="H619" s="236"/>
      <c r="I619" s="236"/>
      <c r="J619" s="236"/>
      <c r="K619" s="236"/>
      <c r="L619" s="236"/>
      <c r="M619" s="236">
        <v>79053</v>
      </c>
      <c r="N619" s="236"/>
      <c r="O619" s="237"/>
      <c r="P619" s="223">
        <f t="shared" si="423"/>
        <v>79053</v>
      </c>
      <c r="Q619" s="147">
        <f t="shared" si="424"/>
        <v>8695.83</v>
      </c>
      <c r="R619" s="147">
        <f t="shared" si="425"/>
        <v>23.824191780821916</v>
      </c>
      <c r="S619" s="148">
        <f t="shared" si="426"/>
        <v>5217.4979999999996</v>
      </c>
      <c r="T619" s="199"/>
      <c r="U619" s="150"/>
      <c r="V619" s="249"/>
      <c r="W619" s="249"/>
      <c r="X619" s="152"/>
      <c r="Y619" s="153"/>
      <c r="Z619" s="153"/>
      <c r="AA619" s="154"/>
      <c r="AB619" s="155">
        <f>S619*$AB$3</f>
        <v>3026.1488399999994</v>
      </c>
      <c r="AC619" s="156">
        <f>S619*$AC$3</f>
        <v>678.27473999999995</v>
      </c>
      <c r="AD619" s="156">
        <f>S619*$AD$3</f>
        <v>457.83544949999992</v>
      </c>
      <c r="AE619" s="156">
        <f>S619*$AE$3</f>
        <v>208.69991999999999</v>
      </c>
      <c r="AF619" s="156">
        <f>S619*$AF$3</f>
        <v>104.34996</v>
      </c>
      <c r="AG619" s="156">
        <f>S619*$AG$3</f>
        <v>104.34996</v>
      </c>
      <c r="AH619" s="156">
        <f>S619*$AH$3</f>
        <v>52.174979999999998</v>
      </c>
      <c r="AI619" s="156">
        <f>S619*$AI$3</f>
        <v>104.34996</v>
      </c>
      <c r="AJ619" s="156">
        <f>S619*$AJ$3</f>
        <v>104.34996</v>
      </c>
      <c r="AK619" s="156">
        <f>S619*$AK$3</f>
        <v>365.22485999999998</v>
      </c>
      <c r="AL619" s="157">
        <f t="shared" si="427"/>
        <v>1605.6850095</v>
      </c>
      <c r="AM619" s="158">
        <f t="shared" si="428"/>
        <v>2200</v>
      </c>
      <c r="AN619" s="159">
        <v>0.2</v>
      </c>
      <c r="AO619" s="160">
        <f t="shared" si="429"/>
        <v>42663636.314390503</v>
      </c>
      <c r="AP619" s="161">
        <f t="shared" si="430"/>
        <v>11851.011035411502</v>
      </c>
      <c r="AQ619" s="162">
        <f t="shared" si="431"/>
        <v>2370.2022070823004</v>
      </c>
      <c r="AR619" s="580">
        <f t="shared" si="432"/>
        <v>0.3382137852571776</v>
      </c>
      <c r="AS619" s="582">
        <f t="shared" si="433"/>
        <v>0.3382137852571776</v>
      </c>
      <c r="AT619" s="165"/>
      <c r="AU619" s="166"/>
      <c r="AV619" s="167"/>
      <c r="AW619" s="146"/>
      <c r="AX619" s="168"/>
    </row>
    <row r="620" spans="1:50" ht="11.25" x14ac:dyDescent="0.25">
      <c r="A620" s="140">
        <v>19</v>
      </c>
      <c r="B620" s="342" t="s">
        <v>626</v>
      </c>
      <c r="C620" s="235"/>
      <c r="D620" s="236"/>
      <c r="E620" s="236"/>
      <c r="F620" s="236"/>
      <c r="G620" s="236"/>
      <c r="H620" s="236"/>
      <c r="I620" s="236"/>
      <c r="J620" s="236"/>
      <c r="K620" s="236"/>
      <c r="L620" s="236"/>
      <c r="M620" s="236">
        <v>153432</v>
      </c>
      <c r="N620" s="236"/>
      <c r="O620" s="237"/>
      <c r="P620" s="223">
        <f t="shared" si="423"/>
        <v>153432</v>
      </c>
      <c r="Q620" s="147">
        <f t="shared" si="424"/>
        <v>16877.52</v>
      </c>
      <c r="R620" s="147">
        <f t="shared" si="425"/>
        <v>46.239780821917812</v>
      </c>
      <c r="S620" s="148">
        <f t="shared" si="426"/>
        <v>10126.512000000001</v>
      </c>
      <c r="T620" s="199"/>
      <c r="U620" s="150"/>
      <c r="V620" s="249"/>
      <c r="W620" s="249"/>
      <c r="X620" s="152"/>
      <c r="Y620" s="153"/>
      <c r="Z620" s="153"/>
      <c r="AA620" s="154"/>
      <c r="AB620" s="155">
        <f>S620*$AB$3</f>
        <v>5873.3769599999996</v>
      </c>
      <c r="AC620" s="156">
        <f>S620*$AC$3</f>
        <v>1316.4465600000001</v>
      </c>
      <c r="AD620" s="156">
        <f>S620*$AD$3</f>
        <v>888.60142800000006</v>
      </c>
      <c r="AE620" s="156">
        <f>S620*$AE$3</f>
        <v>405.06048000000004</v>
      </c>
      <c r="AF620" s="156">
        <f>S620*$AF$3</f>
        <v>202.53024000000002</v>
      </c>
      <c r="AG620" s="156">
        <f>S620*$AG$3</f>
        <v>202.53024000000002</v>
      </c>
      <c r="AH620" s="156">
        <f>S620*$AH$3</f>
        <v>101.26512000000001</v>
      </c>
      <c r="AI620" s="156">
        <f>S620*$AI$3</f>
        <v>202.53024000000002</v>
      </c>
      <c r="AJ620" s="156">
        <f>S620*$AJ$3</f>
        <v>202.53024000000002</v>
      </c>
      <c r="AK620" s="156">
        <f>S620*$AK$3</f>
        <v>708.85584000000006</v>
      </c>
      <c r="AL620" s="157">
        <f t="shared" si="427"/>
        <v>3116.4340680000005</v>
      </c>
      <c r="AM620" s="158">
        <f t="shared" si="428"/>
        <v>2200</v>
      </c>
      <c r="AN620" s="159">
        <v>0.2</v>
      </c>
      <c r="AO620" s="160">
        <f t="shared" si="429"/>
        <v>82804789.786466867</v>
      </c>
      <c r="AP620" s="161">
        <f t="shared" si="430"/>
        <v>23001.332336347237</v>
      </c>
      <c r="AQ620" s="162">
        <f t="shared" si="431"/>
        <v>4600.2664672694473</v>
      </c>
      <c r="AR620" s="580">
        <f t="shared" si="432"/>
        <v>0.65643071736150793</v>
      </c>
      <c r="AS620" s="582">
        <f t="shared" si="433"/>
        <v>0.65643071736150793</v>
      </c>
      <c r="AT620" s="165"/>
      <c r="AU620" s="166"/>
      <c r="AV620" s="167"/>
      <c r="AW620" s="146"/>
      <c r="AX620" s="168"/>
    </row>
    <row r="621" spans="1:50" ht="11.25" x14ac:dyDescent="0.25">
      <c r="A621" s="140">
        <v>20</v>
      </c>
      <c r="B621" s="342" t="s">
        <v>627</v>
      </c>
      <c r="C621" s="235"/>
      <c r="D621" s="236"/>
      <c r="E621" s="236"/>
      <c r="F621" s="236"/>
      <c r="G621" s="236"/>
      <c r="H621" s="236"/>
      <c r="I621" s="236"/>
      <c r="J621" s="236"/>
      <c r="K621" s="236"/>
      <c r="L621" s="236"/>
      <c r="M621" s="236">
        <v>65434</v>
      </c>
      <c r="N621" s="236"/>
      <c r="O621" s="237"/>
      <c r="P621" s="223">
        <f t="shared" si="423"/>
        <v>65434</v>
      </c>
      <c r="Q621" s="147">
        <f t="shared" si="424"/>
        <v>7197.74</v>
      </c>
      <c r="R621" s="147">
        <f t="shared" si="425"/>
        <v>19.719835616438356</v>
      </c>
      <c r="S621" s="148">
        <f t="shared" si="426"/>
        <v>4318.6439999999993</v>
      </c>
      <c r="T621" s="199"/>
      <c r="U621" s="150"/>
      <c r="V621" s="249"/>
      <c r="W621" s="249"/>
      <c r="X621" s="152"/>
      <c r="Y621" s="153"/>
      <c r="Z621" s="153"/>
      <c r="AA621" s="154"/>
      <c r="AB621" s="155">
        <f>S621*$AB$3</f>
        <v>2504.8135199999992</v>
      </c>
      <c r="AC621" s="156">
        <f>S621*$AC$3</f>
        <v>561.42371999999989</v>
      </c>
      <c r="AD621" s="156">
        <f>S621*$AD$3</f>
        <v>378.96101099999993</v>
      </c>
      <c r="AE621" s="156">
        <f>S621*$AE$3</f>
        <v>172.74575999999999</v>
      </c>
      <c r="AF621" s="156">
        <f>S621*$AF$3</f>
        <v>86.372879999999995</v>
      </c>
      <c r="AG621" s="156">
        <f>S621*$AG$3</f>
        <v>86.372879999999995</v>
      </c>
      <c r="AH621" s="156">
        <f>S621*$AH$3</f>
        <v>43.186439999999997</v>
      </c>
      <c r="AI621" s="156">
        <f>S621*$AI$3</f>
        <v>86.372879999999995</v>
      </c>
      <c r="AJ621" s="156">
        <f>S621*$AJ$3</f>
        <v>86.372879999999995</v>
      </c>
      <c r="AK621" s="156">
        <f>S621*$AK$3</f>
        <v>302.30507999999998</v>
      </c>
      <c r="AL621" s="157">
        <f t="shared" si="427"/>
        <v>1329.0626909999996</v>
      </c>
      <c r="AM621" s="158">
        <f t="shared" si="428"/>
        <v>2200</v>
      </c>
      <c r="AN621" s="159">
        <v>0.2</v>
      </c>
      <c r="AO621" s="160">
        <f t="shared" si="429"/>
        <v>35313680.424472548</v>
      </c>
      <c r="AP621" s="161">
        <f t="shared" si="430"/>
        <v>9809.3564582130512</v>
      </c>
      <c r="AQ621" s="162">
        <f t="shared" si="431"/>
        <v>1961.8712916426102</v>
      </c>
      <c r="AR621" s="580">
        <f t="shared" si="432"/>
        <v>0.27994738750608023</v>
      </c>
      <c r="AS621" s="582">
        <f t="shared" si="433"/>
        <v>0.27994738750608023</v>
      </c>
      <c r="AT621" s="165"/>
      <c r="AU621" s="166"/>
      <c r="AV621" s="167"/>
      <c r="AW621" s="146"/>
      <c r="AX621" s="168"/>
    </row>
    <row r="622" spans="1:50" ht="11.25" x14ac:dyDescent="0.25">
      <c r="A622" s="140">
        <v>21</v>
      </c>
      <c r="B622" s="342" t="s">
        <v>628</v>
      </c>
      <c r="C622" s="235"/>
      <c r="D622" s="236"/>
      <c r="E622" s="236"/>
      <c r="F622" s="236"/>
      <c r="G622" s="236"/>
      <c r="H622" s="236"/>
      <c r="I622" s="236"/>
      <c r="J622" s="236"/>
      <c r="K622" s="236"/>
      <c r="L622" s="236"/>
      <c r="M622" s="236">
        <v>93218</v>
      </c>
      <c r="N622" s="236"/>
      <c r="O622" s="237"/>
      <c r="P622" s="223">
        <f t="shared" si="423"/>
        <v>93218</v>
      </c>
      <c r="Q622" s="147">
        <f t="shared" si="424"/>
        <v>10253.98</v>
      </c>
      <c r="R622" s="147">
        <f t="shared" si="425"/>
        <v>28.093095890410957</v>
      </c>
      <c r="S622" s="148">
        <f t="shared" si="426"/>
        <v>6152.3879999999999</v>
      </c>
      <c r="T622" s="199"/>
      <c r="U622" s="150"/>
      <c r="V622" s="249"/>
      <c r="W622" s="249"/>
      <c r="X622" s="152"/>
      <c r="Y622" s="153"/>
      <c r="Z622" s="153"/>
      <c r="AA622" s="154"/>
      <c r="AB622" s="155">
        <f>S622*$AB$3</f>
        <v>3568.3850399999997</v>
      </c>
      <c r="AC622" s="156">
        <f>S622*$AC$3</f>
        <v>799.81043999999997</v>
      </c>
      <c r="AD622" s="156">
        <f>S622*$AD$3</f>
        <v>539.87204699999995</v>
      </c>
      <c r="AE622" s="156">
        <f>S622*$AE$3</f>
        <v>246.09551999999999</v>
      </c>
      <c r="AF622" s="156">
        <f>S622*$AF$3</f>
        <v>123.04776</v>
      </c>
      <c r="AG622" s="156">
        <f>S622*$AG$3</f>
        <v>123.04776</v>
      </c>
      <c r="AH622" s="156">
        <f>S622*$AH$3</f>
        <v>61.523879999999998</v>
      </c>
      <c r="AI622" s="156">
        <f>S622*$AI$3</f>
        <v>123.04776</v>
      </c>
      <c r="AJ622" s="156">
        <f>S622*$AJ$3</f>
        <v>123.04776</v>
      </c>
      <c r="AK622" s="156">
        <f>S622*$AK$3</f>
        <v>430.66716000000002</v>
      </c>
      <c r="AL622" s="157">
        <f t="shared" si="427"/>
        <v>1893.3974069999999</v>
      </c>
      <c r="AM622" s="158">
        <f t="shared" si="428"/>
        <v>2200</v>
      </c>
      <c r="AN622" s="159">
        <v>0.2</v>
      </c>
      <c r="AO622" s="160">
        <f t="shared" si="429"/>
        <v>50308259.648019113</v>
      </c>
      <c r="AP622" s="161">
        <f t="shared" si="430"/>
        <v>13974.517686855523</v>
      </c>
      <c r="AQ622" s="162">
        <f t="shared" si="431"/>
        <v>2794.9035373711049</v>
      </c>
      <c r="AR622" s="580">
        <f t="shared" si="432"/>
        <v>0.39881614403126497</v>
      </c>
      <c r="AS622" s="582">
        <f t="shared" si="433"/>
        <v>0.39881614403126497</v>
      </c>
      <c r="AT622" s="165"/>
      <c r="AU622" s="166"/>
      <c r="AV622" s="167"/>
      <c r="AW622" s="146"/>
      <c r="AX622" s="168"/>
    </row>
    <row r="623" spans="1:50" ht="11.25" x14ac:dyDescent="0.25">
      <c r="A623" s="140">
        <v>22</v>
      </c>
      <c r="B623" s="342" t="s">
        <v>629</v>
      </c>
      <c r="C623" s="235"/>
      <c r="D623" s="236"/>
      <c r="E623" s="236"/>
      <c r="F623" s="236"/>
      <c r="G623" s="236"/>
      <c r="H623" s="236"/>
      <c r="I623" s="236"/>
      <c r="J623" s="236"/>
      <c r="K623" s="236"/>
      <c r="L623" s="236"/>
      <c r="M623" s="236">
        <v>101148</v>
      </c>
      <c r="N623" s="236"/>
      <c r="O623" s="237"/>
      <c r="P623" s="223">
        <f t="shared" si="423"/>
        <v>101148</v>
      </c>
      <c r="Q623" s="147">
        <f t="shared" si="424"/>
        <v>11126.28</v>
      </c>
      <c r="R623" s="147">
        <f t="shared" si="425"/>
        <v>30.482958904109591</v>
      </c>
      <c r="S623" s="148">
        <f t="shared" si="426"/>
        <v>6675.768</v>
      </c>
      <c r="T623" s="199"/>
      <c r="U623" s="150"/>
      <c r="V623" s="249"/>
      <c r="W623" s="249"/>
      <c r="X623" s="152"/>
      <c r="Y623" s="153"/>
      <c r="Z623" s="153"/>
      <c r="AA623" s="154"/>
      <c r="AB623" s="155">
        <f>S623*$AB$3</f>
        <v>3871.94544</v>
      </c>
      <c r="AC623" s="156">
        <f>S623*$AC$3</f>
        <v>867.84984000000009</v>
      </c>
      <c r="AD623" s="156">
        <f>S623*$AD$3</f>
        <v>585.79864199999997</v>
      </c>
      <c r="AE623" s="156">
        <f>S623*$AE$3</f>
        <v>267.03072000000003</v>
      </c>
      <c r="AF623" s="156">
        <f>S623*$AF$3</f>
        <v>133.51536000000002</v>
      </c>
      <c r="AG623" s="156">
        <f>S623*$AG$3</f>
        <v>133.51536000000002</v>
      </c>
      <c r="AH623" s="156">
        <f>S623*$AH$3</f>
        <v>66.757680000000008</v>
      </c>
      <c r="AI623" s="156">
        <f>S623*$AI$3</f>
        <v>133.51536000000002</v>
      </c>
      <c r="AJ623" s="156">
        <f>S623*$AJ$3</f>
        <v>133.51536000000002</v>
      </c>
      <c r="AK623" s="156">
        <f>S623*$AK$3</f>
        <v>467.30376000000007</v>
      </c>
      <c r="AL623" s="157">
        <f t="shared" si="427"/>
        <v>2054.4676020000002</v>
      </c>
      <c r="AM623" s="158">
        <f t="shared" si="428"/>
        <v>2200</v>
      </c>
      <c r="AN623" s="159">
        <v>0.2</v>
      </c>
      <c r="AO623" s="160">
        <f t="shared" si="429"/>
        <v>54587953.473340325</v>
      </c>
      <c r="AP623" s="161">
        <f t="shared" si="430"/>
        <v>15163.321622326834</v>
      </c>
      <c r="AQ623" s="162">
        <f t="shared" si="431"/>
        <v>3032.6643244653669</v>
      </c>
      <c r="AR623" s="580">
        <f t="shared" si="432"/>
        <v>0.43274319698421332</v>
      </c>
      <c r="AS623" s="582">
        <f t="shared" si="433"/>
        <v>0.43274319698421332</v>
      </c>
      <c r="AT623" s="165"/>
      <c r="AU623" s="166"/>
      <c r="AV623" s="167"/>
      <c r="AW623" s="146"/>
      <c r="AX623" s="168"/>
    </row>
    <row r="624" spans="1:50" ht="10.9" customHeight="1" x14ac:dyDescent="0.25">
      <c r="A624" s="140">
        <v>23</v>
      </c>
      <c r="B624" s="342" t="s">
        <v>630</v>
      </c>
      <c r="C624" s="235"/>
      <c r="D624" s="236"/>
      <c r="E624" s="236"/>
      <c r="F624" s="236"/>
      <c r="G624" s="236"/>
      <c r="H624" s="236"/>
      <c r="I624" s="236"/>
      <c r="J624" s="236"/>
      <c r="K624" s="236"/>
      <c r="L624" s="236"/>
      <c r="M624" s="236">
        <v>32971</v>
      </c>
      <c r="N624" s="236"/>
      <c r="O624" s="237"/>
      <c r="P624" s="223">
        <f t="shared" si="423"/>
        <v>32971</v>
      </c>
      <c r="Q624" s="147">
        <f t="shared" si="424"/>
        <v>3626.81</v>
      </c>
      <c r="R624" s="147">
        <f t="shared" si="425"/>
        <v>9.9364657534246579</v>
      </c>
      <c r="S624" s="148">
        <f t="shared" si="426"/>
        <v>2176.0859999999998</v>
      </c>
      <c r="T624" s="199"/>
      <c r="U624" s="150"/>
      <c r="V624" s="249"/>
      <c r="W624" s="249"/>
      <c r="X624" s="152"/>
      <c r="Y624" s="153"/>
      <c r="Z624" s="153"/>
      <c r="AA624" s="154"/>
      <c r="AB624" s="155">
        <f>S624*$AB$3</f>
        <v>1262.1298799999997</v>
      </c>
      <c r="AC624" s="156">
        <f>S624*$AC$3</f>
        <v>282.89117999999996</v>
      </c>
      <c r="AD624" s="156">
        <f>S624*$AD$3</f>
        <v>190.95154649999998</v>
      </c>
      <c r="AE624" s="156">
        <f>S624*$AE$3</f>
        <v>87.04343999999999</v>
      </c>
      <c r="AF624" s="156">
        <f>S624*$AF$3</f>
        <v>43.521719999999995</v>
      </c>
      <c r="AG624" s="156">
        <f>S624*$AG$3</f>
        <v>43.521719999999995</v>
      </c>
      <c r="AH624" s="156">
        <f>S624*$AH$3</f>
        <v>21.760859999999997</v>
      </c>
      <c r="AI624" s="156">
        <f>S624*$AI$3</f>
        <v>43.521719999999995</v>
      </c>
      <c r="AJ624" s="156">
        <f>S624*$AJ$3</f>
        <v>43.521719999999995</v>
      </c>
      <c r="AK624" s="156">
        <f>S624*$AK$3</f>
        <v>152.32602</v>
      </c>
      <c r="AL624" s="157">
        <f t="shared" si="427"/>
        <v>669.69046649999984</v>
      </c>
      <c r="AM624" s="158">
        <f t="shared" si="428"/>
        <v>2200</v>
      </c>
      <c r="AN624" s="159">
        <v>0.2</v>
      </c>
      <c r="AO624" s="160">
        <f t="shared" si="429"/>
        <v>17793919.938797638</v>
      </c>
      <c r="AP624" s="161">
        <f t="shared" si="430"/>
        <v>4942.7559339753425</v>
      </c>
      <c r="AQ624" s="162">
        <f t="shared" si="431"/>
        <v>988.55118679506859</v>
      </c>
      <c r="AR624" s="580">
        <f t="shared" si="432"/>
        <v>0.14106038624358855</v>
      </c>
      <c r="AS624" s="582">
        <f t="shared" si="433"/>
        <v>0.14106038624358855</v>
      </c>
      <c r="AT624" s="165"/>
      <c r="AU624" s="166"/>
      <c r="AV624" s="167"/>
      <c r="AW624" s="146"/>
      <c r="AX624" s="168"/>
    </row>
    <row r="625" spans="1:51" ht="10.9" customHeight="1" x14ac:dyDescent="0.25">
      <c r="A625" s="140">
        <v>24</v>
      </c>
      <c r="B625" s="342" t="s">
        <v>631</v>
      </c>
      <c r="C625" s="235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>
        <v>15874</v>
      </c>
      <c r="N625" s="236"/>
      <c r="O625" s="237"/>
      <c r="P625" s="223">
        <f t="shared" si="423"/>
        <v>15874</v>
      </c>
      <c r="Q625" s="147">
        <f t="shared" si="424"/>
        <v>1746.14</v>
      </c>
      <c r="R625" s="147">
        <f t="shared" si="425"/>
        <v>4.7839452054794522</v>
      </c>
      <c r="S625" s="148">
        <f t="shared" si="426"/>
        <v>1047.684</v>
      </c>
      <c r="T625" s="199"/>
      <c r="U625" s="150"/>
      <c r="V625" s="249"/>
      <c r="W625" s="249"/>
      <c r="X625" s="152"/>
      <c r="Y625" s="153"/>
      <c r="Z625" s="153"/>
      <c r="AA625" s="154"/>
      <c r="AB625" s="155">
        <f>S625*$AB$3</f>
        <v>607.65671999999995</v>
      </c>
      <c r="AC625" s="156">
        <f>S625*$AC$3</f>
        <v>136.19891999999999</v>
      </c>
      <c r="AD625" s="156">
        <f>S625*$AD$3</f>
        <v>91.934270999999995</v>
      </c>
      <c r="AE625" s="156">
        <f>S625*$AE$3</f>
        <v>41.907359999999997</v>
      </c>
      <c r="AF625" s="156">
        <f>S625*$AF$3</f>
        <v>20.953679999999999</v>
      </c>
      <c r="AG625" s="156">
        <f>S625*$AG$3</f>
        <v>20.953679999999999</v>
      </c>
      <c r="AH625" s="156">
        <f>S625*$AH$3</f>
        <v>10.476839999999999</v>
      </c>
      <c r="AI625" s="156">
        <f>S625*$AI$3</f>
        <v>20.953679999999999</v>
      </c>
      <c r="AJ625" s="156">
        <f>S625*$AJ$3</f>
        <v>20.953679999999999</v>
      </c>
      <c r="AK625" s="156">
        <f>S625*$AK$3</f>
        <v>73.337879999999998</v>
      </c>
      <c r="AL625" s="157">
        <f t="shared" si="427"/>
        <v>322.42475100000001</v>
      </c>
      <c r="AM625" s="158">
        <f t="shared" si="428"/>
        <v>2200</v>
      </c>
      <c r="AN625" s="159">
        <v>0.2</v>
      </c>
      <c r="AO625" s="160">
        <f t="shared" si="429"/>
        <v>8566943.2261221595</v>
      </c>
      <c r="AP625" s="161">
        <f t="shared" si="430"/>
        <v>2379.7066420771162</v>
      </c>
      <c r="AQ625" s="162">
        <f t="shared" si="431"/>
        <v>475.94132841542324</v>
      </c>
      <c r="AR625" s="580">
        <f t="shared" si="432"/>
        <v>6.7914002342383456E-2</v>
      </c>
      <c r="AS625" s="582">
        <f t="shared" si="433"/>
        <v>6.7914002342383456E-2</v>
      </c>
      <c r="AT625" s="165"/>
      <c r="AU625" s="166"/>
      <c r="AV625" s="167"/>
      <c r="AW625" s="146"/>
      <c r="AX625" s="168"/>
    </row>
    <row r="626" spans="1:51" ht="10.9" customHeight="1" x14ac:dyDescent="0.25">
      <c r="A626" s="140">
        <v>25</v>
      </c>
      <c r="B626" s="342" t="s">
        <v>632</v>
      </c>
      <c r="C626" s="235"/>
      <c r="D626" s="236"/>
      <c r="E626" s="236"/>
      <c r="F626" s="236"/>
      <c r="G626" s="236"/>
      <c r="H626" s="236"/>
      <c r="I626" s="236"/>
      <c r="J626" s="236"/>
      <c r="K626" s="236"/>
      <c r="L626" s="236"/>
      <c r="M626" s="236">
        <v>114427</v>
      </c>
      <c r="N626" s="236"/>
      <c r="O626" s="237"/>
      <c r="P626" s="223">
        <f t="shared" si="423"/>
        <v>114427</v>
      </c>
      <c r="Q626" s="147">
        <f t="shared" si="424"/>
        <v>12586.97</v>
      </c>
      <c r="R626" s="147">
        <f t="shared" si="425"/>
        <v>34.484849315068494</v>
      </c>
      <c r="S626" s="148">
        <f t="shared" si="426"/>
        <v>7552.1820000000007</v>
      </c>
      <c r="T626" s="199"/>
      <c r="U626" s="150"/>
      <c r="V626" s="249"/>
      <c r="W626" s="249"/>
      <c r="X626" s="152"/>
      <c r="Y626" s="153"/>
      <c r="Z626" s="153"/>
      <c r="AA626" s="154"/>
      <c r="AB626" s="155">
        <f>S626*$AB$3</f>
        <v>4380.2655599999998</v>
      </c>
      <c r="AC626" s="156">
        <f>S626*$AC$3</f>
        <v>981.78366000000017</v>
      </c>
      <c r="AD626" s="156">
        <f>S626*$AD$3</f>
        <v>662.70397049999997</v>
      </c>
      <c r="AE626" s="156">
        <f>S626*$AE$3</f>
        <v>302.08728000000002</v>
      </c>
      <c r="AF626" s="156">
        <f>S626*$AF$3</f>
        <v>151.04364000000001</v>
      </c>
      <c r="AG626" s="156">
        <f>S626*$AG$3</f>
        <v>151.04364000000001</v>
      </c>
      <c r="AH626" s="156">
        <f>S626*$AH$3</f>
        <v>75.521820000000005</v>
      </c>
      <c r="AI626" s="156">
        <f>S626*$AI$3</f>
        <v>151.04364000000001</v>
      </c>
      <c r="AJ626" s="156">
        <f>S626*$AJ$3</f>
        <v>151.04364000000001</v>
      </c>
      <c r="AK626" s="156">
        <f>S626*$AK$3</f>
        <v>528.65274000000011</v>
      </c>
      <c r="AL626" s="157">
        <f t="shared" si="427"/>
        <v>2324.1840105000001</v>
      </c>
      <c r="AM626" s="158">
        <f t="shared" si="428"/>
        <v>2200</v>
      </c>
      <c r="AN626" s="159">
        <v>0.2</v>
      </c>
      <c r="AO626" s="160">
        <f t="shared" si="429"/>
        <v>61754416.815892674</v>
      </c>
      <c r="AP626" s="161">
        <f t="shared" si="430"/>
        <v>17154.00604340167</v>
      </c>
      <c r="AQ626" s="162">
        <f t="shared" si="431"/>
        <v>3430.8012086803342</v>
      </c>
      <c r="AR626" s="580">
        <f t="shared" si="432"/>
        <v>0.48955496699205681</v>
      </c>
      <c r="AS626" s="582">
        <f t="shared" si="433"/>
        <v>0.48955496699205681</v>
      </c>
      <c r="AT626" s="165"/>
      <c r="AU626" s="166"/>
      <c r="AV626" s="167"/>
      <c r="AW626" s="146"/>
      <c r="AX626" s="168"/>
    </row>
    <row r="627" spans="1:51" ht="10.9" customHeight="1" x14ac:dyDescent="0.25">
      <c r="A627" s="140">
        <v>26</v>
      </c>
      <c r="B627" s="342" t="s">
        <v>633</v>
      </c>
      <c r="C627" s="235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>
        <v>24639</v>
      </c>
      <c r="N627" s="236"/>
      <c r="O627" s="237"/>
      <c r="P627" s="223">
        <f t="shared" si="423"/>
        <v>24639</v>
      </c>
      <c r="Q627" s="147">
        <f t="shared" si="424"/>
        <v>2710.29</v>
      </c>
      <c r="R627" s="147">
        <f t="shared" si="425"/>
        <v>7.4254520547945209</v>
      </c>
      <c r="S627" s="148">
        <f t="shared" si="426"/>
        <v>1626.174</v>
      </c>
      <c r="T627" s="199"/>
      <c r="U627" s="150"/>
      <c r="V627" s="249"/>
      <c r="W627" s="249"/>
      <c r="X627" s="152"/>
      <c r="Y627" s="153"/>
      <c r="Z627" s="153"/>
      <c r="AA627" s="154"/>
      <c r="AB627" s="155">
        <f>S627*$AB$3</f>
        <v>943.1809199999999</v>
      </c>
      <c r="AC627" s="156">
        <f>S627*$AC$3</f>
        <v>211.40262000000001</v>
      </c>
      <c r="AD627" s="156">
        <f>S627*$AD$3</f>
        <v>142.69676849999999</v>
      </c>
      <c r="AE627" s="156">
        <f>S627*$AE$3</f>
        <v>65.046959999999999</v>
      </c>
      <c r="AF627" s="156">
        <f>S627*$AF$3</f>
        <v>32.523479999999999</v>
      </c>
      <c r="AG627" s="156">
        <f>S627*$AG$3</f>
        <v>32.523479999999999</v>
      </c>
      <c r="AH627" s="156">
        <f>S627*$AH$3</f>
        <v>16.26174</v>
      </c>
      <c r="AI627" s="156">
        <f>S627*$AI$3</f>
        <v>32.523479999999999</v>
      </c>
      <c r="AJ627" s="156">
        <f>S627*$AJ$3</f>
        <v>32.523479999999999</v>
      </c>
      <c r="AK627" s="156">
        <f>S627*$AK$3</f>
        <v>113.83218000000001</v>
      </c>
      <c r="AL627" s="157">
        <f t="shared" si="427"/>
        <v>500.45504850000003</v>
      </c>
      <c r="AM627" s="158">
        <f t="shared" si="428"/>
        <v>2200</v>
      </c>
      <c r="AN627" s="159">
        <v>0.2</v>
      </c>
      <c r="AO627" s="160">
        <f t="shared" si="429"/>
        <v>13297273.160414759</v>
      </c>
      <c r="AP627" s="161">
        <f t="shared" si="430"/>
        <v>3693.6872844990589</v>
      </c>
      <c r="AQ627" s="162">
        <f t="shared" si="431"/>
        <v>738.73745689981183</v>
      </c>
      <c r="AR627" s="580">
        <f t="shared" si="432"/>
        <v>0.1054134499000873</v>
      </c>
      <c r="AS627" s="582">
        <f t="shared" si="433"/>
        <v>0.1054134499000873</v>
      </c>
      <c r="AT627" s="165"/>
      <c r="AU627" s="166"/>
      <c r="AV627" s="167"/>
      <c r="AW627" s="146"/>
      <c r="AX627" s="168"/>
    </row>
    <row r="628" spans="1:51" ht="10.9" customHeight="1" x14ac:dyDescent="0.25">
      <c r="A628" s="140">
        <v>27</v>
      </c>
      <c r="B628" s="342" t="s">
        <v>634</v>
      </c>
      <c r="C628" s="235"/>
      <c r="D628" s="236"/>
      <c r="E628" s="236"/>
      <c r="F628" s="236"/>
      <c r="G628" s="236"/>
      <c r="H628" s="236"/>
      <c r="I628" s="236"/>
      <c r="J628" s="236"/>
      <c r="K628" s="236"/>
      <c r="L628" s="236"/>
      <c r="M628" s="236">
        <v>164512</v>
      </c>
      <c r="N628" s="236"/>
      <c r="O628" s="237"/>
      <c r="P628" s="223">
        <f>MAX(C628:O628)</f>
        <v>164512</v>
      </c>
      <c r="Q628" s="147">
        <f t="shared" si="424"/>
        <v>18096.32</v>
      </c>
      <c r="R628" s="147">
        <f t="shared" si="425"/>
        <v>49.578958904109591</v>
      </c>
      <c r="S628" s="148">
        <f t="shared" si="426"/>
        <v>10857.791999999999</v>
      </c>
      <c r="T628" s="199"/>
      <c r="U628" s="150"/>
      <c r="V628" s="249"/>
      <c r="W628" s="249"/>
      <c r="X628" s="152"/>
      <c r="Y628" s="153"/>
      <c r="Z628" s="153"/>
      <c r="AA628" s="154"/>
      <c r="AB628" s="155">
        <f>S628*$AB$3</f>
        <v>6297.5193599999993</v>
      </c>
      <c r="AC628" s="156">
        <f>S628*$AC$3</f>
        <v>1411.51296</v>
      </c>
      <c r="AD628" s="156">
        <f>S628*$AD$3</f>
        <v>952.7712479999999</v>
      </c>
      <c r="AE628" s="156">
        <f>S628*$AE$3</f>
        <v>434.31167999999997</v>
      </c>
      <c r="AF628" s="156">
        <f>S628*$AF$3</f>
        <v>217.15583999999998</v>
      </c>
      <c r="AG628" s="156">
        <f>S628*$AG$3</f>
        <v>217.15583999999998</v>
      </c>
      <c r="AH628" s="156">
        <f>S628*$AH$3</f>
        <v>108.57791999999999</v>
      </c>
      <c r="AI628" s="156">
        <f>S628*$AI$3</f>
        <v>217.15583999999998</v>
      </c>
      <c r="AJ628" s="156">
        <f>S628*$AJ$3</f>
        <v>217.15583999999998</v>
      </c>
      <c r="AK628" s="156">
        <f>S628*$AK$3</f>
        <v>760.04543999999999</v>
      </c>
      <c r="AL628" s="157">
        <f t="shared" si="427"/>
        <v>3341.4854879999998</v>
      </c>
      <c r="AM628" s="158">
        <f t="shared" si="428"/>
        <v>2200</v>
      </c>
      <c r="AN628" s="159">
        <v>0.2</v>
      </c>
      <c r="AO628" s="160">
        <f t="shared" si="429"/>
        <v>88784488.094734073</v>
      </c>
      <c r="AP628" s="161">
        <f t="shared" si="430"/>
        <v>24662.359777081423</v>
      </c>
      <c r="AQ628" s="162">
        <f t="shared" si="431"/>
        <v>4932.4719554162848</v>
      </c>
      <c r="AR628" s="580">
        <f t="shared" si="432"/>
        <v>0.70383446852401321</v>
      </c>
      <c r="AS628" s="582">
        <f t="shared" si="433"/>
        <v>0.70383446852401321</v>
      </c>
      <c r="AT628" s="165"/>
      <c r="AU628" s="166"/>
      <c r="AV628" s="167"/>
      <c r="AW628" s="146"/>
      <c r="AX628" s="168"/>
    </row>
    <row r="629" spans="1:51" ht="10.9" customHeight="1" x14ac:dyDescent="0.25">
      <c r="A629" s="140">
        <v>28</v>
      </c>
      <c r="B629" s="342" t="s">
        <v>635</v>
      </c>
      <c r="C629" s="235"/>
      <c r="D629" s="236"/>
      <c r="E629" s="236"/>
      <c r="F629" s="236"/>
      <c r="G629" s="236"/>
      <c r="H629" s="236"/>
      <c r="I629" s="236"/>
      <c r="J629" s="236"/>
      <c r="K629" s="236"/>
      <c r="L629" s="236"/>
      <c r="M629" s="236">
        <v>50763</v>
      </c>
      <c r="N629" s="236"/>
      <c r="O629" s="237"/>
      <c r="P629" s="223">
        <f>MAX(C629:O629)</f>
        <v>50763</v>
      </c>
      <c r="Q629" s="147">
        <f t="shared" si="424"/>
        <v>5583.93</v>
      </c>
      <c r="R629" s="147">
        <f t="shared" si="425"/>
        <v>15.298438356164384</v>
      </c>
      <c r="S629" s="148">
        <f t="shared" si="426"/>
        <v>3350.3580000000002</v>
      </c>
      <c r="T629" s="199"/>
      <c r="U629" s="150"/>
      <c r="V629" s="249"/>
      <c r="W629" s="249"/>
      <c r="X629" s="152"/>
      <c r="Y629" s="153"/>
      <c r="Z629" s="153"/>
      <c r="AA629" s="154"/>
      <c r="AB629" s="155">
        <f>S629*$AB$3</f>
        <v>1943.2076399999999</v>
      </c>
      <c r="AC629" s="156">
        <f>S629*$AC$3</f>
        <v>435.54654000000005</v>
      </c>
      <c r="AD629" s="156">
        <f>S629*$AD$3</f>
        <v>293.99391450000002</v>
      </c>
      <c r="AE629" s="156">
        <f>S629*$AE$3</f>
        <v>134.01432</v>
      </c>
      <c r="AF629" s="156">
        <f>S629*$AF$3</f>
        <v>67.007159999999999</v>
      </c>
      <c r="AG629" s="156">
        <f>S629*$AG$3</f>
        <v>67.007159999999999</v>
      </c>
      <c r="AH629" s="156">
        <f>S629*$AH$3</f>
        <v>33.503579999999999</v>
      </c>
      <c r="AI629" s="156">
        <f>S629*$AI$3</f>
        <v>67.007159999999999</v>
      </c>
      <c r="AJ629" s="156">
        <f>S629*$AJ$3</f>
        <v>67.007159999999999</v>
      </c>
      <c r="AK629" s="156">
        <f>S629*$AK$3</f>
        <v>234.52506000000002</v>
      </c>
      <c r="AL629" s="157">
        <f t="shared" si="427"/>
        <v>1031.0726745000002</v>
      </c>
      <c r="AM629" s="158">
        <f t="shared" si="428"/>
        <v>2200</v>
      </c>
      <c r="AN629" s="159">
        <v>0.2</v>
      </c>
      <c r="AO629" s="160">
        <f t="shared" si="429"/>
        <v>27395977.005646918</v>
      </c>
      <c r="AP629" s="161">
        <f t="shared" si="430"/>
        <v>7609.9942214791881</v>
      </c>
      <c r="AQ629" s="162">
        <f t="shared" si="431"/>
        <v>1521.9988442958377</v>
      </c>
      <c r="AR629" s="580">
        <f t="shared" si="432"/>
        <v>0.21718020038468003</v>
      </c>
      <c r="AS629" s="582">
        <f t="shared" si="433"/>
        <v>0.21718020038468003</v>
      </c>
      <c r="AT629" s="165"/>
      <c r="AU629" s="166"/>
      <c r="AV629" s="167"/>
      <c r="AW629" s="146"/>
      <c r="AX629" s="168"/>
    </row>
    <row r="630" spans="1:51" ht="10.9" customHeight="1" x14ac:dyDescent="0.25">
      <c r="A630" s="140">
        <v>29</v>
      </c>
      <c r="B630" s="342" t="s">
        <v>636</v>
      </c>
      <c r="C630" s="235"/>
      <c r="D630" s="236"/>
      <c r="E630" s="236"/>
      <c r="F630" s="236"/>
      <c r="G630" s="236"/>
      <c r="H630" s="236"/>
      <c r="I630" s="236"/>
      <c r="J630" s="236"/>
      <c r="K630" s="236"/>
      <c r="L630" s="236"/>
      <c r="M630" s="236">
        <v>256705</v>
      </c>
      <c r="N630" s="236"/>
      <c r="O630" s="237"/>
      <c r="P630" s="223">
        <f>MAX(C630:O630)</f>
        <v>256705</v>
      </c>
      <c r="Q630" s="147">
        <f t="shared" si="424"/>
        <v>28237.55</v>
      </c>
      <c r="R630" s="147">
        <f t="shared" si="425"/>
        <v>77.363150684931512</v>
      </c>
      <c r="S630" s="148">
        <f t="shared" si="426"/>
        <v>16942.530000000002</v>
      </c>
      <c r="T630" s="199"/>
      <c r="U630" s="150"/>
      <c r="V630" s="249"/>
      <c r="W630" s="249"/>
      <c r="X630" s="152"/>
      <c r="Y630" s="153"/>
      <c r="Z630" s="153"/>
      <c r="AA630" s="154"/>
      <c r="AB630" s="155">
        <f>S630*$AB$3</f>
        <v>9826.6674000000003</v>
      </c>
      <c r="AC630" s="156">
        <f>S630*$AC$3</f>
        <v>2202.5289000000002</v>
      </c>
      <c r="AD630" s="156">
        <f>S630*$AD$3</f>
        <v>1486.7070075000001</v>
      </c>
      <c r="AE630" s="156">
        <f>S630*$AE$3</f>
        <v>677.70120000000009</v>
      </c>
      <c r="AF630" s="156">
        <f>S630*$AF$3</f>
        <v>338.85060000000004</v>
      </c>
      <c r="AG630" s="156">
        <f>S630*$AG$3</f>
        <v>338.85060000000004</v>
      </c>
      <c r="AH630" s="156">
        <f>S630*$AH$3</f>
        <v>169.42530000000002</v>
      </c>
      <c r="AI630" s="156">
        <f>S630*$AI$3</f>
        <v>338.85060000000004</v>
      </c>
      <c r="AJ630" s="156">
        <f>S630*$AJ$3</f>
        <v>338.85060000000004</v>
      </c>
      <c r="AK630" s="156">
        <f>S630*$AK$3</f>
        <v>1185.9771000000003</v>
      </c>
      <c r="AL630" s="157">
        <f t="shared" si="427"/>
        <v>5214.0636075000002</v>
      </c>
      <c r="AM630" s="158">
        <f t="shared" si="428"/>
        <v>2200</v>
      </c>
      <c r="AN630" s="159">
        <v>0.2</v>
      </c>
      <c r="AO630" s="160">
        <f t="shared" si="429"/>
        <v>138539571.68084222</v>
      </c>
      <c r="AP630" s="161">
        <f t="shared" si="430"/>
        <v>38483.217434446655</v>
      </c>
      <c r="AQ630" s="162">
        <f t="shared" si="431"/>
        <v>7696.6434868893311</v>
      </c>
      <c r="AR630" s="580">
        <f t="shared" si="432"/>
        <v>1.0982653377410576</v>
      </c>
      <c r="AS630" s="582">
        <f t="shared" si="433"/>
        <v>1.0982653377410576</v>
      </c>
      <c r="AT630" s="165"/>
      <c r="AU630" s="166"/>
      <c r="AV630" s="167"/>
      <c r="AW630" s="146"/>
      <c r="AX630" s="168"/>
    </row>
    <row r="631" spans="1:51" s="263" customFormat="1" ht="17.25" customHeight="1" x14ac:dyDescent="0.25">
      <c r="A631" s="365"/>
      <c r="B631" s="352" t="s">
        <v>637</v>
      </c>
      <c r="C631" s="240">
        <f>SUM(C602:C630)</f>
        <v>0</v>
      </c>
      <c r="D631" s="240">
        <f t="shared" ref="D631:O631" si="434">SUM(D602:D630)</f>
        <v>0</v>
      </c>
      <c r="E631" s="240">
        <f t="shared" si="434"/>
        <v>0</v>
      </c>
      <c r="F631" s="240">
        <f t="shared" si="434"/>
        <v>0</v>
      </c>
      <c r="G631" s="240">
        <f t="shared" si="434"/>
        <v>0</v>
      </c>
      <c r="H631" s="240">
        <f t="shared" si="434"/>
        <v>0</v>
      </c>
      <c r="I631" s="240">
        <f t="shared" si="434"/>
        <v>0</v>
      </c>
      <c r="J631" s="240">
        <f t="shared" si="434"/>
        <v>0</v>
      </c>
      <c r="K631" s="240">
        <f t="shared" si="434"/>
        <v>0</v>
      </c>
      <c r="L631" s="240">
        <f t="shared" si="434"/>
        <v>0</v>
      </c>
      <c r="M631" s="240">
        <f t="shared" si="434"/>
        <v>2832381</v>
      </c>
      <c r="N631" s="240">
        <f t="shared" si="434"/>
        <v>0</v>
      </c>
      <c r="O631" s="240">
        <f t="shared" si="434"/>
        <v>0</v>
      </c>
      <c r="P631" s="304">
        <f>MAX(C631:O631)</f>
        <v>2832381</v>
      </c>
      <c r="Q631" s="304">
        <f>MAX(D631:P631)</f>
        <v>2832381</v>
      </c>
      <c r="R631" s="304">
        <f>MAX(E631:Q631)</f>
        <v>2832381</v>
      </c>
      <c r="S631" s="304">
        <f>MAX(F631:R631)</f>
        <v>2832381</v>
      </c>
      <c r="T631" s="199"/>
      <c r="U631" s="179"/>
      <c r="V631" s="180"/>
      <c r="W631" s="180"/>
      <c r="X631" s="227"/>
      <c r="Y631" s="181"/>
      <c r="Z631" s="181"/>
      <c r="AA631" s="182"/>
      <c r="AB631" s="240">
        <f t="shared" ref="AB631:AL631" si="435">SUM(AB602:AB630)</f>
        <v>108423.54467999996</v>
      </c>
      <c r="AC631" s="244">
        <f t="shared" si="435"/>
        <v>24301.828979999998</v>
      </c>
      <c r="AD631" s="244">
        <f t="shared" si="435"/>
        <v>16403.734561500001</v>
      </c>
      <c r="AE631" s="244">
        <f t="shared" si="435"/>
        <v>7477.4858400000003</v>
      </c>
      <c r="AF631" s="244">
        <f t="shared" si="435"/>
        <v>3738.7429200000001</v>
      </c>
      <c r="AG631" s="244">
        <f t="shared" si="435"/>
        <v>3738.7429200000001</v>
      </c>
      <c r="AH631" s="244">
        <f t="shared" si="435"/>
        <v>1869.3714600000001</v>
      </c>
      <c r="AI631" s="244">
        <f t="shared" si="435"/>
        <v>3738.7429200000001</v>
      </c>
      <c r="AJ631" s="244">
        <f t="shared" si="435"/>
        <v>3738.7429200000001</v>
      </c>
      <c r="AK631" s="244">
        <f t="shared" si="435"/>
        <v>13085.60022</v>
      </c>
      <c r="AL631" s="245">
        <f t="shared" si="435"/>
        <v>57529.906681499982</v>
      </c>
      <c r="AM631" s="261"/>
      <c r="AN631" s="262"/>
      <c r="AO631" s="184">
        <f>SUM(AO602:AO630)</f>
        <v>1528590602.3527222</v>
      </c>
      <c r="AP631" s="184">
        <f>SUM(AP602:AP630)</f>
        <v>424608.53462221392</v>
      </c>
      <c r="AQ631" s="184">
        <f>SUM(AQ602:AQ630)</f>
        <v>84921.706924442784</v>
      </c>
      <c r="AR631" s="186">
        <f>SUM(AR602:AR630)</f>
        <v>12.117823476661357</v>
      </c>
      <c r="AS631" s="435">
        <f>SUM(AS602:AS630)</f>
        <v>12.117823476661357</v>
      </c>
      <c r="AT631" s="187"/>
      <c r="AU631" s="246">
        <f>SUM(AU602:AU630)</f>
        <v>0</v>
      </c>
      <c r="AV631" s="246"/>
      <c r="AW631" s="185">
        <f>SUM(AW602:AW630)</f>
        <v>0</v>
      </c>
      <c r="AX631" s="189"/>
    </row>
    <row r="632" spans="1:51" s="139" customFormat="1" ht="10.9" customHeight="1" x14ac:dyDescent="0.25">
      <c r="A632" s="247"/>
      <c r="B632" s="152"/>
      <c r="C632" s="247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248"/>
      <c r="P632" s="249"/>
      <c r="Q632" s="250"/>
      <c r="R632" s="250"/>
      <c r="S632" s="251"/>
      <c r="T632" s="199"/>
      <c r="U632" s="179"/>
      <c r="V632" s="249"/>
      <c r="W632" s="249"/>
      <c r="X632" s="152"/>
      <c r="Y632" s="153"/>
      <c r="Z632" s="153"/>
      <c r="AA632" s="154"/>
      <c r="AB632" s="247"/>
      <c r="AC632" s="252"/>
      <c r="AD632" s="252"/>
      <c r="AE632" s="252"/>
      <c r="AF632" s="252"/>
      <c r="AG632" s="252"/>
      <c r="AH632" s="252"/>
      <c r="AI632" s="252"/>
      <c r="AJ632" s="252"/>
      <c r="AK632" s="252"/>
      <c r="AL632" s="214"/>
      <c r="AM632" s="203"/>
      <c r="AN632" s="204"/>
      <c r="AO632" s="203"/>
      <c r="AP632" s="205"/>
      <c r="AQ632" s="206"/>
      <c r="AR632" s="253"/>
      <c r="AS632" s="254"/>
      <c r="AT632" s="255"/>
      <c r="AU632" s="256"/>
      <c r="AV632" s="257"/>
      <c r="AW632" s="214"/>
      <c r="AX632" s="212"/>
    </row>
    <row r="633" spans="1:51" s="289" customFormat="1" ht="20.85" customHeight="1" x14ac:dyDescent="0.25">
      <c r="A633" s="272"/>
      <c r="B633" s="356" t="s">
        <v>637</v>
      </c>
      <c r="C633" s="272">
        <f>C599+C631</f>
        <v>0</v>
      </c>
      <c r="D633" s="272">
        <f t="shared" ref="D633:S633" si="436">D599+D631</f>
        <v>0</v>
      </c>
      <c r="E633" s="272">
        <f t="shared" si="436"/>
        <v>0</v>
      </c>
      <c r="F633" s="272">
        <f t="shared" si="436"/>
        <v>0</v>
      </c>
      <c r="G633" s="272">
        <f t="shared" si="436"/>
        <v>0</v>
      </c>
      <c r="H633" s="272">
        <f t="shared" si="436"/>
        <v>0</v>
      </c>
      <c r="I633" s="272">
        <f t="shared" si="436"/>
        <v>0</v>
      </c>
      <c r="J633" s="272">
        <f t="shared" si="436"/>
        <v>0</v>
      </c>
      <c r="K633" s="272">
        <f t="shared" si="436"/>
        <v>729962</v>
      </c>
      <c r="L633" s="272">
        <f t="shared" si="436"/>
        <v>743860</v>
      </c>
      <c r="M633" s="272">
        <f t="shared" si="436"/>
        <v>3592803</v>
      </c>
      <c r="N633" s="272">
        <f t="shared" si="436"/>
        <v>789013</v>
      </c>
      <c r="O633" s="272">
        <f t="shared" si="436"/>
        <v>0</v>
      </c>
      <c r="P633" s="272">
        <f t="shared" si="436"/>
        <v>3621394</v>
      </c>
      <c r="Q633" s="272">
        <f t="shared" si="436"/>
        <v>2919172.43</v>
      </c>
      <c r="R633" s="272">
        <f t="shared" si="436"/>
        <v>2832618.7847397262</v>
      </c>
      <c r="S633" s="272">
        <f t="shared" si="436"/>
        <v>2884455.858</v>
      </c>
      <c r="T633" s="276"/>
      <c r="U633" s="277"/>
      <c r="V633" s="278"/>
      <c r="W633" s="278"/>
      <c r="X633" s="279"/>
      <c r="Y633" s="280"/>
      <c r="Z633" s="280"/>
      <c r="AA633" s="281"/>
      <c r="AB633" s="272">
        <f t="shared" ref="AB633:AL633" si="437">AB599+AB631</f>
        <v>138626.96231999996</v>
      </c>
      <c r="AC633" s="272">
        <f t="shared" si="437"/>
        <v>31071.560519999999</v>
      </c>
      <c r="AD633" s="272">
        <f t="shared" si="437"/>
        <v>20973.303351000002</v>
      </c>
      <c r="AE633" s="272">
        <f t="shared" si="437"/>
        <v>9560.4801599999992</v>
      </c>
      <c r="AF633" s="272">
        <f t="shared" si="437"/>
        <v>4780.2400799999996</v>
      </c>
      <c r="AG633" s="272">
        <f t="shared" si="437"/>
        <v>4780.2400799999996</v>
      </c>
      <c r="AH633" s="272">
        <f t="shared" si="437"/>
        <v>2390.1200399999998</v>
      </c>
      <c r="AI633" s="272">
        <f t="shared" si="437"/>
        <v>4780.2400799999996</v>
      </c>
      <c r="AJ633" s="272">
        <f t="shared" si="437"/>
        <v>4780.2400799999996</v>
      </c>
      <c r="AK633" s="272">
        <f t="shared" si="437"/>
        <v>16730.84028</v>
      </c>
      <c r="AL633" s="272">
        <f t="shared" si="437"/>
        <v>73555.944230999972</v>
      </c>
      <c r="AM633" s="284"/>
      <c r="AN633" s="285"/>
      <c r="AO633" s="272">
        <f t="shared" ref="AO633:AW633" si="438">AO599+AO631</f>
        <v>1788545573.5734932</v>
      </c>
      <c r="AP633" s="272">
        <f t="shared" si="438"/>
        <v>496818.25462698308</v>
      </c>
      <c r="AQ633" s="272">
        <f t="shared" si="438"/>
        <v>99363.650925396607</v>
      </c>
      <c r="AR633" s="272">
        <f t="shared" si="438"/>
        <v>14.178603157162758</v>
      </c>
      <c r="AS633" s="272">
        <f t="shared" si="438"/>
        <v>14.178603157162758</v>
      </c>
      <c r="AT633" s="272">
        <f t="shared" si="438"/>
        <v>0</v>
      </c>
      <c r="AU633" s="272">
        <f t="shared" si="438"/>
        <v>0</v>
      </c>
      <c r="AV633" s="272"/>
      <c r="AW633" s="272">
        <f t="shared" si="438"/>
        <v>0</v>
      </c>
      <c r="AX633" s="288"/>
    </row>
    <row r="634" spans="1:51" s="139" customFormat="1" ht="10.9" customHeight="1" x14ac:dyDescent="0.25">
      <c r="P634" s="310"/>
      <c r="Q634" s="310"/>
      <c r="R634" s="310"/>
      <c r="S634" s="310"/>
      <c r="T634" s="311"/>
      <c r="U634" s="312"/>
      <c r="V634" s="310"/>
      <c r="W634" s="310"/>
      <c r="Y634" s="86"/>
      <c r="Z634" s="86"/>
      <c r="AA634" s="313"/>
      <c r="AC634" s="314"/>
      <c r="AD634" s="314"/>
      <c r="AE634" s="314"/>
      <c r="AF634" s="314"/>
      <c r="AG634" s="314"/>
      <c r="AH634" s="314"/>
      <c r="AI634" s="314"/>
      <c r="AJ634" s="314"/>
      <c r="AK634" s="314"/>
      <c r="AL634" s="315"/>
      <c r="AM634" s="310"/>
      <c r="AN634" s="316"/>
      <c r="AO634" s="310"/>
      <c r="AP634" s="317"/>
      <c r="AQ634" s="317"/>
      <c r="AR634" s="318"/>
      <c r="AS634" s="318"/>
      <c r="AT634" s="319"/>
      <c r="AU634" s="310"/>
      <c r="AV634" s="310"/>
      <c r="AW634" s="310"/>
      <c r="AX634" s="310"/>
    </row>
    <row r="635" spans="1:51" s="289" customFormat="1" ht="32.25" customHeight="1" thickBot="1" x14ac:dyDescent="0.3">
      <c r="A635" s="272"/>
      <c r="B635" s="366" t="s">
        <v>638</v>
      </c>
      <c r="C635" s="367">
        <f t="shared" ref="C635:S635" si="439">C192+C260+C415+C455+C551+C581+C633</f>
        <v>830184</v>
      </c>
      <c r="D635" s="367">
        <f t="shared" si="439"/>
        <v>0</v>
      </c>
      <c r="E635" s="367">
        <f t="shared" si="439"/>
        <v>0</v>
      </c>
      <c r="F635" s="367">
        <f t="shared" si="439"/>
        <v>0</v>
      </c>
      <c r="G635" s="367">
        <f t="shared" si="439"/>
        <v>0</v>
      </c>
      <c r="H635" s="367">
        <f t="shared" si="439"/>
        <v>71670408</v>
      </c>
      <c r="I635" s="367">
        <f t="shared" si="439"/>
        <v>73829090</v>
      </c>
      <c r="J635" s="367">
        <f t="shared" si="439"/>
        <v>78874695</v>
      </c>
      <c r="K635" s="367">
        <f t="shared" si="439"/>
        <v>81918814</v>
      </c>
      <c r="L635" s="367">
        <f t="shared" si="439"/>
        <v>84585034</v>
      </c>
      <c r="M635" s="367">
        <f t="shared" si="439"/>
        <v>118334425</v>
      </c>
      <c r="N635" s="367">
        <f t="shared" si="439"/>
        <v>164124842</v>
      </c>
      <c r="O635" s="367">
        <f t="shared" si="439"/>
        <v>2671903</v>
      </c>
      <c r="P635" s="368">
        <f t="shared" si="439"/>
        <v>244617234</v>
      </c>
      <c r="Q635" s="368">
        <f t="shared" si="439"/>
        <v>44835588.644000001</v>
      </c>
      <c r="R635" s="368">
        <f t="shared" si="439"/>
        <v>5186499.1175452061</v>
      </c>
      <c r="S635" s="368">
        <f t="shared" si="439"/>
        <v>36628342.927000001</v>
      </c>
      <c r="T635" s="276"/>
      <c r="U635" s="277"/>
      <c r="V635" s="278"/>
      <c r="W635" s="278"/>
      <c r="X635" s="279"/>
      <c r="Y635" s="280"/>
      <c r="Z635" s="280"/>
      <c r="AA635" s="281"/>
      <c r="AB635" s="369">
        <f t="shared" ref="AB635:AL635" si="440">AB192+AB260+AB415+AB455+AB551+AB581+AB633</f>
        <v>18499755.342968352</v>
      </c>
      <c r="AC635" s="369">
        <f t="shared" si="440"/>
        <v>4146496.8872170458</v>
      </c>
      <c r="AD635" s="369">
        <f t="shared" si="440"/>
        <v>2798885.3988715052</v>
      </c>
      <c r="AE635" s="369">
        <f t="shared" si="440"/>
        <v>1275845.196066783</v>
      </c>
      <c r="AF635" s="369">
        <f t="shared" si="440"/>
        <v>637922.59803339152</v>
      </c>
      <c r="AG635" s="369">
        <f t="shared" si="440"/>
        <v>637922.59803339152</v>
      </c>
      <c r="AH635" s="369">
        <f t="shared" si="440"/>
        <v>318961.29901669576</v>
      </c>
      <c r="AI635" s="369">
        <f t="shared" si="440"/>
        <v>637922.59803339152</v>
      </c>
      <c r="AJ635" s="369">
        <f t="shared" si="440"/>
        <v>637922.59803339152</v>
      </c>
      <c r="AK635" s="369">
        <f t="shared" si="440"/>
        <v>2232729.0931168711</v>
      </c>
      <c r="AL635" s="369">
        <f t="shared" si="440"/>
        <v>9816033.9772388134</v>
      </c>
      <c r="AM635" s="284"/>
      <c r="AN635" s="285"/>
      <c r="AO635" s="370">
        <f>AO192+AO260+AO415+AO455+AO551+AO581+AO633</f>
        <v>260649740105.50385</v>
      </c>
      <c r="AP635" s="370">
        <f t="shared" ref="AP635:AU635" si="441">AP192+AP260+AP415+AP455+AP551+AP581+AP633</f>
        <v>72402711.377078652</v>
      </c>
      <c r="AQ635" s="370">
        <f t="shared" si="441"/>
        <v>14480542.275415726</v>
      </c>
      <c r="AR635" s="368">
        <f t="shared" si="441"/>
        <v>2066.2874251449389</v>
      </c>
      <c r="AS635" s="368">
        <f t="shared" si="441"/>
        <v>2066.2874251449389</v>
      </c>
      <c r="AT635" s="368">
        <f t="shared" si="441"/>
        <v>0</v>
      </c>
      <c r="AU635" s="368">
        <f t="shared" si="441"/>
        <v>0</v>
      </c>
      <c r="AV635" s="368"/>
      <c r="AW635" s="368">
        <f>AW192+AW260+AW415+AW455+AW551+AW581+AW633</f>
        <v>0</v>
      </c>
      <c r="AX635" s="288"/>
    </row>
    <row r="636" spans="1:51" s="139" customFormat="1" ht="10.9" customHeight="1" x14ac:dyDescent="0.25">
      <c r="P636" s="310"/>
      <c r="Q636" s="310"/>
      <c r="R636" s="310"/>
      <c r="S636" s="310"/>
      <c r="T636" s="311"/>
      <c r="U636" s="312"/>
      <c r="V636" s="310"/>
      <c r="W636" s="310"/>
      <c r="Y636" s="86"/>
      <c r="Z636" s="86"/>
      <c r="AA636" s="313"/>
      <c r="AC636" s="314"/>
      <c r="AD636" s="314"/>
      <c r="AE636" s="314"/>
      <c r="AF636" s="314"/>
      <c r="AG636" s="314"/>
      <c r="AH636" s="314"/>
      <c r="AI636" s="314"/>
      <c r="AJ636" s="314"/>
      <c r="AK636" s="314"/>
      <c r="AL636" s="315"/>
      <c r="AM636" s="310"/>
      <c r="AN636" s="316"/>
      <c r="AO636" s="310"/>
      <c r="AP636" s="317"/>
      <c r="AQ636" s="317"/>
      <c r="AR636" s="318"/>
      <c r="AS636" s="318"/>
      <c r="AT636" s="319"/>
      <c r="AU636" s="310"/>
      <c r="AV636" s="310"/>
      <c r="AW636" s="310"/>
      <c r="AX636" s="310"/>
    </row>
    <row r="637" spans="1:51" s="139" customFormat="1" ht="10.9" hidden="1" customHeight="1" x14ac:dyDescent="0.25">
      <c r="P637" s="310"/>
      <c r="Q637" s="310"/>
      <c r="R637" s="310"/>
      <c r="S637" s="310"/>
      <c r="T637" s="311"/>
      <c r="U637" s="312"/>
      <c r="V637" s="310"/>
      <c r="W637" s="310"/>
      <c r="Y637" s="86"/>
      <c r="Z637" s="86"/>
      <c r="AA637" s="313"/>
      <c r="AC637" s="314"/>
      <c r="AD637" s="314"/>
      <c r="AE637" s="314"/>
      <c r="AF637" s="314"/>
      <c r="AG637" s="314"/>
      <c r="AH637" s="314"/>
      <c r="AI637" s="314"/>
      <c r="AJ637" s="314"/>
      <c r="AK637" s="314"/>
      <c r="AL637" s="315"/>
      <c r="AM637" s="310"/>
      <c r="AN637" s="316"/>
      <c r="AO637" s="310"/>
      <c r="AP637" s="317"/>
      <c r="AQ637" s="317"/>
      <c r="AR637" s="318"/>
      <c r="AS637" s="318"/>
      <c r="AT637" s="319"/>
      <c r="AU637" s="310"/>
      <c r="AV637" s="310"/>
      <c r="AW637" s="310"/>
      <c r="AX637" s="310"/>
    </row>
    <row r="638" spans="1:51" s="86" customFormat="1" ht="26.45" hidden="1" customHeight="1" x14ac:dyDescent="0.3">
      <c r="A638" s="12" t="s">
        <v>639</v>
      </c>
      <c r="B638" s="13"/>
      <c r="C638" s="371"/>
      <c r="D638" s="372"/>
      <c r="E638" s="372"/>
      <c r="F638" s="372"/>
      <c r="G638" s="372"/>
      <c r="H638" s="372"/>
      <c r="I638" s="372"/>
      <c r="J638" s="372"/>
      <c r="K638" s="372"/>
      <c r="L638" s="372"/>
      <c r="M638" s="372"/>
      <c r="N638" s="372"/>
      <c r="O638" s="372"/>
      <c r="P638" s="373"/>
      <c r="Q638" s="373"/>
      <c r="R638" s="373"/>
      <c r="S638" s="374"/>
      <c r="T638" s="375"/>
      <c r="U638" s="376"/>
      <c r="V638" s="377"/>
      <c r="W638" s="377"/>
      <c r="X638" s="378"/>
      <c r="Y638" s="379"/>
      <c r="Z638" s="379"/>
      <c r="AA638" s="380"/>
      <c r="AB638" s="371"/>
      <c r="AC638" s="372"/>
      <c r="AD638" s="372"/>
      <c r="AE638" s="372"/>
      <c r="AF638" s="372"/>
      <c r="AG638" s="372"/>
      <c r="AH638" s="372"/>
      <c r="AI638" s="372"/>
      <c r="AJ638" s="372"/>
      <c r="AK638" s="372"/>
      <c r="AL638" s="378"/>
      <c r="AM638" s="381"/>
      <c r="AN638" s="382"/>
      <c r="AO638" s="383"/>
      <c r="AP638" s="384"/>
      <c r="AQ638" s="385"/>
      <c r="AR638" s="386"/>
      <c r="AS638" s="387"/>
      <c r="AT638" s="388"/>
      <c r="AU638" s="389"/>
      <c r="AV638" s="390"/>
      <c r="AW638" s="391"/>
      <c r="AX638" s="392"/>
    </row>
    <row r="639" spans="1:51" s="109" customFormat="1" ht="22.5" hidden="1" customHeight="1" x14ac:dyDescent="0.25">
      <c r="A639" s="110" t="s">
        <v>61</v>
      </c>
      <c r="B639" s="111"/>
      <c r="C639" s="393"/>
      <c r="D639" s="394"/>
      <c r="E639" s="394"/>
      <c r="F639" s="394"/>
      <c r="G639" s="394"/>
      <c r="H639" s="394"/>
      <c r="I639" s="394"/>
      <c r="J639" s="394"/>
      <c r="K639" s="394"/>
      <c r="L639" s="394"/>
      <c r="M639" s="394"/>
      <c r="N639" s="394"/>
      <c r="O639" s="394"/>
      <c r="P639" s="394"/>
      <c r="Q639" s="394"/>
      <c r="R639" s="395"/>
      <c r="S639" s="394"/>
      <c r="T639" s="394"/>
      <c r="U639" s="394"/>
      <c r="V639" s="394"/>
      <c r="W639" s="394"/>
      <c r="X639" s="394"/>
      <c r="Y639" s="394"/>
      <c r="Z639" s="396"/>
      <c r="AA639" s="397"/>
      <c r="AB639" s="398"/>
      <c r="AC639" s="398"/>
      <c r="AD639" s="398"/>
      <c r="AE639" s="398"/>
      <c r="AF639" s="398"/>
      <c r="AG639" s="398"/>
      <c r="AH639" s="398"/>
      <c r="AI639" s="398"/>
      <c r="AJ639" s="398"/>
      <c r="AK639" s="398"/>
      <c r="AL639" s="398"/>
      <c r="AM639" s="399"/>
      <c r="AN639" s="394"/>
      <c r="AO639" s="394"/>
      <c r="AP639" s="394"/>
      <c r="AQ639" s="394"/>
      <c r="AR639" s="394"/>
      <c r="AS639" s="394"/>
      <c r="AT639" s="394"/>
      <c r="AU639" s="394"/>
      <c r="AV639" s="394"/>
      <c r="AW639" s="394"/>
      <c r="AX639" s="394"/>
      <c r="AY639" s="119"/>
    </row>
    <row r="640" spans="1:51" x14ac:dyDescent="0.25">
      <c r="AT640" s="507" t="s">
        <v>788</v>
      </c>
      <c r="AV640" s="478" t="s">
        <v>789</v>
      </c>
    </row>
    <row r="641" spans="46:48" x14ac:dyDescent="0.25">
      <c r="AT641" s="507" t="s">
        <v>790</v>
      </c>
      <c r="AV641" s="478" t="s">
        <v>791</v>
      </c>
    </row>
    <row r="642" spans="46:48" x14ac:dyDescent="0.25">
      <c r="AT642" s="507" t="s">
        <v>792</v>
      </c>
      <c r="AV642" s="478" t="s">
        <v>793</v>
      </c>
    </row>
    <row r="643" spans="46:48" x14ac:dyDescent="0.25">
      <c r="AT643" s="507" t="s">
        <v>794</v>
      </c>
      <c r="AV643" s="478" t="s">
        <v>795</v>
      </c>
    </row>
    <row r="644" spans="46:48" x14ac:dyDescent="0.25">
      <c r="AT644" s="507" t="s">
        <v>796</v>
      </c>
      <c r="AV644" s="478" t="s">
        <v>797</v>
      </c>
    </row>
    <row r="645" spans="46:48" x14ac:dyDescent="0.25">
      <c r="AT645" s="507" t="s">
        <v>798</v>
      </c>
      <c r="AV645" s="478" t="s">
        <v>799</v>
      </c>
    </row>
    <row r="646" spans="46:48" x14ac:dyDescent="0.25">
      <c r="AT646" s="507" t="s">
        <v>800</v>
      </c>
      <c r="AV646" s="478" t="s">
        <v>801</v>
      </c>
    </row>
  </sheetData>
  <mergeCells count="4">
    <mergeCell ref="A1:AS1"/>
    <mergeCell ref="A9:B9"/>
    <mergeCell ref="AM4:AN4"/>
    <mergeCell ref="AO4:AP4"/>
  </mergeCells>
  <pageMargins left="0.7" right="0.7" top="0.75" bottom="0.75" header="0.3" footer="0.3"/>
  <pageSetup scale="7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TPA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ESDM</dc:creator>
  <cp:lastModifiedBy>MSI_Pokja NF 2</cp:lastModifiedBy>
  <cp:lastPrinted>2016-06-30T08:44:47Z</cp:lastPrinted>
  <dcterms:created xsi:type="dcterms:W3CDTF">2016-06-28T02:34:51Z</dcterms:created>
  <dcterms:modified xsi:type="dcterms:W3CDTF">2016-06-30T08:45:59Z</dcterms:modified>
</cp:coreProperties>
</file>